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xr:revisionPtr revIDLastSave="0" documentId="8_{CF5507BA-DE34-8B43-B2A7-B84261669F43}" xr6:coauthVersionLast="47" xr6:coauthVersionMax="47" xr10:uidLastSave="{00000000-0000-0000-0000-000000000000}"/>
  <bookViews>
    <workbookView xWindow="-105" yWindow="-105" windowWidth="19425" windowHeight="10425" firstSheet="6" activeTab="6" xr2:uid="{00000000-000D-0000-FFFF-FFFF00000000}"/>
  </bookViews>
  <sheets>
    <sheet name="BESCOM D-22(Current Tariff)" sheetId="3" state="hidden" r:id="rId1"/>
    <sheet name="BESCOM D-22(A) KERC (2)" sheetId="18" state="hidden" r:id="rId2"/>
    <sheet name="Abstract" sheetId="5" state="hidden" r:id="rId3"/>
    <sheet name="D-20 " sheetId="7" state="hidden" r:id="rId4"/>
    <sheet name="Sales_FY24" sheetId="17" state="hidden" r:id="rId5"/>
    <sheet name="BESCOM" sheetId="33" state="hidden" r:id="rId6"/>
    <sheet name="BESCOM1" sheetId="38" r:id="rId7"/>
    <sheet name="MESCOM" sheetId="34" state="hidden" r:id="rId8"/>
    <sheet name="Sheet2" sheetId="35" state="hidden" r:id="rId9"/>
    <sheet name="Tariff Comparison (2)" sheetId="36" state="hidden" r:id="rId10"/>
    <sheet name="Urban Rural Impact calculations" sheetId="22" state="hidden" r:id="rId11"/>
    <sheet name="Comparison Ur_Ru" sheetId="23" state="hidden" r:id="rId12"/>
    <sheet name="Equating with BBMP" sheetId="24" state="hidden" r:id="rId13"/>
    <sheet name="Equating with BBMP comparison" sheetId="25" state="hidden" r:id="rId14"/>
  </sheets>
  <externalReferences>
    <externalReference r:id="rId15"/>
  </externalReferences>
  <definedNames>
    <definedName name="add.mandya">#N/A</definedName>
    <definedName name="billrdtotthermal1000" localSheetId="3">#REF!</definedName>
    <definedName name="billrdtotthermal1000" localSheetId="9">#REF!</definedName>
    <definedName name="billrdtotthermal1000">#REF!</definedName>
    <definedName name="billrdtotthermal400" localSheetId="3">#REF!</definedName>
    <definedName name="billrdtotthermal400" localSheetId="9">#REF!</definedName>
    <definedName name="billrdtotthermal400">#REF!</definedName>
    <definedName name="billrdtotthermal500" localSheetId="3">#REF!</definedName>
    <definedName name="billrdtotthermal500" localSheetId="9">#REF!</definedName>
    <definedName name="billrdtotthermal500">#REF!</definedName>
    <definedName name="billrdtotthermal600" localSheetId="3">#REF!</definedName>
    <definedName name="billrdtotthermal600" localSheetId="9">#REF!</definedName>
    <definedName name="billrdtotthermal600">#REF!</definedName>
    <definedName name="billrdtotthermal700" localSheetId="3">#REF!</definedName>
    <definedName name="billrdtotthermal700" localSheetId="9">#REF!</definedName>
    <definedName name="billrdtotthermal700">#REF!</definedName>
    <definedName name="billrdtotthermal800" localSheetId="3">#REF!</definedName>
    <definedName name="billrdtotthermal800" localSheetId="9">#REF!</definedName>
    <definedName name="billrdtotthermal800">#REF!</definedName>
    <definedName name="billrdtotthermal900" localSheetId="3">#REF!</definedName>
    <definedName name="billrdtotthermal900" localSheetId="9">#REF!</definedName>
    <definedName name="billrdtotthermal900">#REF!</definedName>
    <definedName name="billrstothydal1000" localSheetId="3">#REF!</definedName>
    <definedName name="billrstothydal1000" localSheetId="9">#REF!</definedName>
    <definedName name="billrstothydal1000">#REF!</definedName>
    <definedName name="billrstothydal400" localSheetId="3">#REF!</definedName>
    <definedName name="billrstothydal400" localSheetId="9">#REF!</definedName>
    <definedName name="billrstothydal400">#REF!</definedName>
    <definedName name="billrstothydal500" localSheetId="3">#REF!</definedName>
    <definedName name="billrstothydal500" localSheetId="9">#REF!</definedName>
    <definedName name="billrstothydal500">#REF!</definedName>
    <definedName name="billrstothydal600" localSheetId="3">#REF!</definedName>
    <definedName name="billrstothydal600" localSheetId="9">#REF!</definedName>
    <definedName name="billrstothydal600">#REF!</definedName>
    <definedName name="billrstothydal700" localSheetId="3">#REF!</definedName>
    <definedName name="billrstothydal700" localSheetId="9">#REF!</definedName>
    <definedName name="billrstothydal700">#REF!</definedName>
    <definedName name="billrstothydal800" localSheetId="3">#REF!</definedName>
    <definedName name="billrstothydal800" localSheetId="9">#REF!</definedName>
    <definedName name="billrstothydal800">#REF!</definedName>
    <definedName name="billrstothydal900" localSheetId="3">#REF!</definedName>
    <definedName name="billrstothydal900" localSheetId="9">#REF!</definedName>
    <definedName name="billrstothydal900">#REF!</definedName>
    <definedName name="cbamogha1001" localSheetId="3">#REF!</definedName>
    <definedName name="cbamogha1001" localSheetId="9">#REF!</definedName>
    <definedName name="cbamogha1001">#REF!</definedName>
    <definedName name="cbamogha102" localSheetId="3">#REF!</definedName>
    <definedName name="cbamogha102" localSheetId="9">#REF!</definedName>
    <definedName name="cbamogha102">#REF!</definedName>
    <definedName name="cbamogha1101" localSheetId="3">#REF!</definedName>
    <definedName name="cbamogha1101" localSheetId="9">#REF!</definedName>
    <definedName name="cbamogha1101">#REF!</definedName>
    <definedName name="cbamogha1201" localSheetId="3">#REF!</definedName>
    <definedName name="cbamogha1201" localSheetId="9">#REF!</definedName>
    <definedName name="cbamogha1201">#REF!</definedName>
    <definedName name="cbamogha202" localSheetId="3">#REF!</definedName>
    <definedName name="cbamogha202" localSheetId="9">#REF!</definedName>
    <definedName name="cbamogha202">#REF!</definedName>
    <definedName name="cbamogha302" localSheetId="3">#REF!</definedName>
    <definedName name="cbamogha302" localSheetId="9">#REF!</definedName>
    <definedName name="cbamogha302">#REF!</definedName>
    <definedName name="cbapseb1001" localSheetId="3">#REF!</definedName>
    <definedName name="cbapseb1001" localSheetId="9">#REF!</definedName>
    <definedName name="cbapseb1001">#REF!</definedName>
    <definedName name="cbatriashimsha1001" localSheetId="3">#REF!</definedName>
    <definedName name="cbatriashimsha1001" localSheetId="9">#REF!</definedName>
    <definedName name="cbatriashimsha1001">#REF!</definedName>
    <definedName name="cbatriashiva1001" localSheetId="3">#REF!</definedName>
    <definedName name="cbatriashiva1001" localSheetId="9">#REF!</definedName>
    <definedName name="cbatriashiva1001">#REF!</definedName>
    <definedName name="cbatriashiva102" localSheetId="3">#REF!</definedName>
    <definedName name="cbatriashiva102" localSheetId="9">#REF!</definedName>
    <definedName name="cbatriashiva102">#REF!</definedName>
    <definedName name="cbatriashiva1101" localSheetId="3">#REF!</definedName>
    <definedName name="cbatriashiva1101" localSheetId="9">#REF!</definedName>
    <definedName name="cbatriashiva1101">#REF!</definedName>
    <definedName name="cbatriashiva1201" localSheetId="3">#REF!</definedName>
    <definedName name="cbatriashiva1201" localSheetId="9">#REF!</definedName>
    <definedName name="cbatriashiva1201">#REF!</definedName>
    <definedName name="cbatriashiva202" localSheetId="3">#REF!</definedName>
    <definedName name="cbatriashiva202" localSheetId="9">#REF!</definedName>
    <definedName name="cbatriashiva202">#REF!</definedName>
    <definedName name="cbatriashiva302" localSheetId="3">#REF!</definedName>
    <definedName name="cbatriashiva302" localSheetId="9">#REF!</definedName>
    <definedName name="cbatriashiva302">#REF!</definedName>
    <definedName name="cbatriasmsa102" localSheetId="3">#REF!</definedName>
    <definedName name="cbatriasmsa102" localSheetId="9">#REF!</definedName>
    <definedName name="cbatriasmsa102">#REF!</definedName>
    <definedName name="cbatriasmsa1101" localSheetId="3">#REF!</definedName>
    <definedName name="cbatriasmsa1101" localSheetId="9">#REF!</definedName>
    <definedName name="cbatriasmsa1101">#REF!</definedName>
    <definedName name="cbatriasmsa1201" localSheetId="3">#REF!</definedName>
    <definedName name="cbatriasmsa1201" localSheetId="9">#REF!</definedName>
    <definedName name="cbatriasmsa1201">#REF!</definedName>
    <definedName name="cbatriasmsa202" localSheetId="3">#REF!</definedName>
    <definedName name="cbatriasmsa202" localSheetId="9">#REF!</definedName>
    <definedName name="cbatriasmsa202">#REF!</definedName>
    <definedName name="cbatriasmsa302" localSheetId="3">#REF!</definedName>
    <definedName name="cbatriasmsa302" localSheetId="9">#REF!</definedName>
    <definedName name="cbatriasmsa302">#REF!</definedName>
    <definedName name="cbbasugar1001" localSheetId="3">#REF!</definedName>
    <definedName name="cbbasugar1001" localSheetId="9">#REF!</definedName>
    <definedName name="cbbasugar1001">#REF!</definedName>
    <definedName name="cbbasugar102" localSheetId="3">#REF!</definedName>
    <definedName name="cbbasugar102" localSheetId="9">#REF!</definedName>
    <definedName name="cbbasugar102">#REF!</definedName>
    <definedName name="cbbasugar1101" localSheetId="3">#REF!</definedName>
    <definedName name="cbbasugar1101" localSheetId="9">#REF!</definedName>
    <definedName name="cbbasugar1101">#REF!</definedName>
    <definedName name="cbbasugar1201" localSheetId="3">#REF!</definedName>
    <definedName name="cbbasugar1201" localSheetId="9">#REF!</definedName>
    <definedName name="cbbasugar1201">#REF!</definedName>
    <definedName name="cbbasugar202" localSheetId="3">#REF!</definedName>
    <definedName name="cbbasugar202" localSheetId="9">#REF!</definedName>
    <definedName name="cbbasugar202">#REF!</definedName>
    <definedName name="cbbasugar302" localSheetId="3">#REF!</definedName>
    <definedName name="cbbasugar302" localSheetId="9">#REF!</definedName>
    <definedName name="cbbasugar302">#REF!</definedName>
    <definedName name="cbbhoruka1001" localSheetId="3">#REF!</definedName>
    <definedName name="cbbhoruka1001" localSheetId="9">#REF!</definedName>
    <definedName name="cbbhoruka1001">#REF!</definedName>
    <definedName name="cbbhoruka102" localSheetId="3">#REF!</definedName>
    <definedName name="cbbhoruka102" localSheetId="9">#REF!</definedName>
    <definedName name="cbbhoruka102">#REF!</definedName>
    <definedName name="cbbhoruka1101" localSheetId="3">#REF!</definedName>
    <definedName name="cbbhoruka1101" localSheetId="9">#REF!</definedName>
    <definedName name="cbbhoruka1101">#REF!</definedName>
    <definedName name="cbbhoruka1201" localSheetId="3">#REF!</definedName>
    <definedName name="cbbhoruka1201" localSheetId="9">#REF!</definedName>
    <definedName name="cbbhoruka1201">#REF!</definedName>
    <definedName name="cbbhoruka202" localSheetId="3">#REF!</definedName>
    <definedName name="cbbhoruka202" localSheetId="9">#REF!</definedName>
    <definedName name="cbbhoruka202">#REF!</definedName>
    <definedName name="cbbhoruka302" localSheetId="3">#REF!</definedName>
    <definedName name="cbbhoruka302" localSheetId="9">#REF!</definedName>
    <definedName name="cbbhoruka302">#REF!</definedName>
    <definedName name="cbcepco102" localSheetId="3">#REF!</definedName>
    <definedName name="cbcepco102" localSheetId="9">#REF!</definedName>
    <definedName name="cbcepco102">#REF!</definedName>
    <definedName name="cbcepco202" localSheetId="3">#REF!</definedName>
    <definedName name="cbcepco202" localSheetId="9">#REF!</definedName>
    <definedName name="cbcepco202">#REF!</definedName>
    <definedName name="cbcepco302" localSheetId="3">#REF!</definedName>
    <definedName name="cbcepco302" localSheetId="9">#REF!</definedName>
    <definedName name="cbcepco302">#REF!</definedName>
    <definedName name="cbdandeli1001" localSheetId="3">#REF!</definedName>
    <definedName name="cbdandeli1001" localSheetId="9">#REF!</definedName>
    <definedName name="cbdandeli1001">#REF!</definedName>
    <definedName name="cbdandeli102" localSheetId="3">#REF!</definedName>
    <definedName name="cbdandeli102" localSheetId="9">#REF!</definedName>
    <definedName name="cbdandeli102">#REF!</definedName>
    <definedName name="cbdandeli1101" localSheetId="3">#REF!</definedName>
    <definedName name="cbdandeli1101" localSheetId="9">#REF!</definedName>
    <definedName name="cbdandeli1101">#REF!</definedName>
    <definedName name="cbdandeli1201" localSheetId="3">#REF!</definedName>
    <definedName name="cbdandeli1201" localSheetId="9">#REF!</definedName>
    <definedName name="cbdandeli1201">#REF!</definedName>
    <definedName name="cbdandeli202" localSheetId="3">#REF!</definedName>
    <definedName name="cbdandeli202" localSheetId="9">#REF!</definedName>
    <definedName name="cbdandeli202">#REF!</definedName>
    <definedName name="cbdandeli302" localSheetId="3">#REF!</definedName>
    <definedName name="cbdandeli302" localSheetId="9">#REF!</definedName>
    <definedName name="cbdandeli302">#REF!</definedName>
    <definedName name="cbedcl1001" localSheetId="3">#REF!</definedName>
    <definedName name="cbedcl1001" localSheetId="9">#REF!</definedName>
    <definedName name="cbedcl1001">#REF!</definedName>
    <definedName name="cbedcl102" localSheetId="3">#REF!</definedName>
    <definedName name="cbedcl102" localSheetId="9">#REF!</definedName>
    <definedName name="cbedcl102">#REF!</definedName>
    <definedName name="cbedcl1101" localSheetId="3">#REF!</definedName>
    <definedName name="cbedcl1101" localSheetId="9">#REF!</definedName>
    <definedName name="cbedcl1101">#REF!</definedName>
    <definedName name="cbedcl1201" localSheetId="3">#REF!</definedName>
    <definedName name="cbedcl1201" localSheetId="9">#REF!</definedName>
    <definedName name="cbedcl1201">#REF!</definedName>
    <definedName name="cbedcl202" localSheetId="3">#REF!</definedName>
    <definedName name="cbedcl202" localSheetId="9">#REF!</definedName>
    <definedName name="cbedcl202">#REF!</definedName>
    <definedName name="cbedcl302" localSheetId="3">#REF!</definedName>
    <definedName name="cbedcl302" localSheetId="9">#REF!</definedName>
    <definedName name="cbedcl302">#REF!</definedName>
    <definedName name="cbenercon102" localSheetId="3">#REF!</definedName>
    <definedName name="cbenercon102" localSheetId="9">#REF!</definedName>
    <definedName name="cbenercon102">#REF!</definedName>
    <definedName name="cbenercon202" localSheetId="3">#REF!</definedName>
    <definedName name="cbenercon202" localSheetId="9">#REF!</definedName>
    <definedName name="cbenercon202">#REF!</definedName>
    <definedName name="cbenercon302" localSheetId="3">#REF!</definedName>
    <definedName name="cbenercon302" localSheetId="9">#REF!</definedName>
    <definedName name="cbenercon302">#REF!</definedName>
    <definedName name="cbgridco1001" localSheetId="3">#REF!</definedName>
    <definedName name="cbgridco1001" localSheetId="9">#REF!</definedName>
    <definedName name="cbgridco1001">#REF!</definedName>
    <definedName name="cbgridco102" localSheetId="3">#REF!</definedName>
    <definedName name="cbgridco102" localSheetId="9">#REF!</definedName>
    <definedName name="cbgridco102">#REF!</definedName>
    <definedName name="cbgridco1101" localSheetId="3">#REF!</definedName>
    <definedName name="cbgridco1101" localSheetId="9">#REF!</definedName>
    <definedName name="cbgridco1101">#REF!</definedName>
    <definedName name="cbgridco1201" localSheetId="3">#REF!</definedName>
    <definedName name="cbgridco1201" localSheetId="9">#REF!</definedName>
    <definedName name="cbgridco1201">#REF!</definedName>
    <definedName name="cbgridco202" localSheetId="3">#REF!</definedName>
    <definedName name="cbgridco202" localSheetId="9">#REF!</definedName>
    <definedName name="cbgridco202">#REF!</definedName>
    <definedName name="cbgridco302" localSheetId="3">#REF!</definedName>
    <definedName name="cbgridco302" localSheetId="9">#REF!</definedName>
    <definedName name="cbgridco302">#REF!</definedName>
    <definedName name="cbiclsugar1001" localSheetId="3">#REF!</definedName>
    <definedName name="cbiclsugar1001" localSheetId="9">#REF!</definedName>
    <definedName name="cbiclsugar1001">#REF!</definedName>
    <definedName name="cbiclsugar102" localSheetId="3">#REF!</definedName>
    <definedName name="cbiclsugar102" localSheetId="9">#REF!</definedName>
    <definedName name="cbiclsugar102">#REF!</definedName>
    <definedName name="cbiclsugar1101" localSheetId="3">#REF!</definedName>
    <definedName name="cbiclsugar1101" localSheetId="9">#REF!</definedName>
    <definedName name="cbiclsugar1101">#REF!</definedName>
    <definedName name="cbiclsugar1201" localSheetId="3">#REF!</definedName>
    <definedName name="cbiclsugar1201" localSheetId="9">#REF!</definedName>
    <definedName name="cbiclsugar1201">#REF!</definedName>
    <definedName name="cbiclsugar202" localSheetId="3">#REF!</definedName>
    <definedName name="cbiclsugar202" localSheetId="9">#REF!</definedName>
    <definedName name="cbiclsugar202">#REF!</definedName>
    <definedName name="cbiclsugar302" localSheetId="3">#REF!</definedName>
    <definedName name="cbiclsugar302" localSheetId="9">#REF!</definedName>
    <definedName name="cbiclsugar302">#REF!</definedName>
    <definedName name="cbitpl1001" localSheetId="3">#REF!</definedName>
    <definedName name="cbitpl1001" localSheetId="9">#REF!</definedName>
    <definedName name="cbitpl1001">#REF!</definedName>
    <definedName name="cbitpl102" localSheetId="3">#REF!</definedName>
    <definedName name="cbitpl102" localSheetId="9">#REF!</definedName>
    <definedName name="cbitpl102">#REF!</definedName>
    <definedName name="cbitpl1101" localSheetId="3">#REF!</definedName>
    <definedName name="cbitpl1101" localSheetId="9">#REF!</definedName>
    <definedName name="cbitpl1101">#REF!</definedName>
    <definedName name="cbitpl1201" localSheetId="3">#REF!</definedName>
    <definedName name="cbitpl1201" localSheetId="9">#REF!</definedName>
    <definedName name="cbitpl1201">#REF!</definedName>
    <definedName name="cbitpl202" localSheetId="3">#REF!</definedName>
    <definedName name="cbitpl202" localSheetId="9">#REF!</definedName>
    <definedName name="cbitpl202">#REF!</definedName>
    <definedName name="cbitpl302" localSheetId="3">#REF!</definedName>
    <definedName name="cbitpl302" localSheetId="9">#REF!</definedName>
    <definedName name="cbitpl302">#REF!</definedName>
    <definedName name="cbjtpcl1001" localSheetId="3">#REF!</definedName>
    <definedName name="cbjtpcl1001" localSheetId="9">#REF!</definedName>
    <definedName name="cbjtpcl1001">#REF!</definedName>
    <definedName name="cbjtpcl102" localSheetId="3">#REF!</definedName>
    <definedName name="cbjtpcl102" localSheetId="9">#REF!</definedName>
    <definedName name="cbjtpcl102">#REF!</definedName>
    <definedName name="cbjtpcl1101" localSheetId="3">#REF!</definedName>
    <definedName name="cbjtpcl1101" localSheetId="9">#REF!</definedName>
    <definedName name="cbjtpcl1101">#REF!</definedName>
    <definedName name="cbjtpcl1201" localSheetId="3">#REF!</definedName>
    <definedName name="cbjtpcl1201" localSheetId="9">#REF!</definedName>
    <definedName name="cbjtpcl1201">#REF!</definedName>
    <definedName name="cbjtpcl202" localSheetId="3">#REF!</definedName>
    <definedName name="cbjtpcl202" localSheetId="9">#REF!</definedName>
    <definedName name="cbjtpcl202">#REF!</definedName>
    <definedName name="cbjtpcl302" localSheetId="3">#REF!</definedName>
    <definedName name="cbjtpcl302" localSheetId="9">#REF!</definedName>
    <definedName name="cbjtpcl302">#REF!</definedName>
    <definedName name="cbkaps1001" localSheetId="3">#REF!</definedName>
    <definedName name="cbkaps1001" localSheetId="9">#REF!</definedName>
    <definedName name="cbkaps1001">#REF!</definedName>
    <definedName name="cbkaps102" localSheetId="3">#REF!</definedName>
    <definedName name="cbkaps102" localSheetId="9">#REF!</definedName>
    <definedName name="cbkaps102">#REF!</definedName>
    <definedName name="cbkaps1101" localSheetId="3">#REF!</definedName>
    <definedName name="cbkaps1101" localSheetId="9">#REF!</definedName>
    <definedName name="cbkaps1101">#REF!</definedName>
    <definedName name="cbkaps1201" localSheetId="3">#REF!</definedName>
    <definedName name="cbkaps1201" localSheetId="9">#REF!</definedName>
    <definedName name="cbkaps1201">#REF!</definedName>
    <definedName name="cbkaps202" localSheetId="3">#REF!</definedName>
    <definedName name="cbkaps202" localSheetId="9">#REF!</definedName>
    <definedName name="cbkaps202">#REF!</definedName>
    <definedName name="cbkaps302" localSheetId="3">#REF!</definedName>
    <definedName name="cbkaps302" localSheetId="9">#REF!</definedName>
    <definedName name="cbkaps302">#REF!</definedName>
    <definedName name="cbkaps401" localSheetId="3">#REF!</definedName>
    <definedName name="cbkaps401" localSheetId="9">#REF!</definedName>
    <definedName name="cbkaps401">#REF!</definedName>
    <definedName name="cbkaps501" localSheetId="3">#REF!</definedName>
    <definedName name="cbkaps501" localSheetId="9">#REF!</definedName>
    <definedName name="cbkaps501">#REF!</definedName>
    <definedName name="cbkaps601" localSheetId="3">#REF!</definedName>
    <definedName name="cbkaps601" localSheetId="9">#REF!</definedName>
    <definedName name="cbkaps601">#REF!</definedName>
    <definedName name="cbkaps701" localSheetId="3">#REF!</definedName>
    <definedName name="cbkaps701" localSheetId="9">#REF!</definedName>
    <definedName name="cbkaps701">#REF!</definedName>
    <definedName name="cbkaps801" localSheetId="3">#REF!</definedName>
    <definedName name="cbkaps801" localSheetId="9">#REF!</definedName>
    <definedName name="cbkaps801">#REF!</definedName>
    <definedName name="cbkaps901" localSheetId="3">#REF!</definedName>
    <definedName name="cbkaps901" localSheetId="9">#REF!</definedName>
    <definedName name="cbkaps901">#REF!</definedName>
    <definedName name="cbkpcl1001" localSheetId="3">#REF!</definedName>
    <definedName name="cbkpcl1001" localSheetId="9">#REF!</definedName>
    <definedName name="cbkpcl1001">#REF!</definedName>
    <definedName name="cbkpcl102" localSheetId="3">#REF!</definedName>
    <definedName name="cbkpcl102" localSheetId="9">#REF!</definedName>
    <definedName name="cbkpcl102">#REF!</definedName>
    <definedName name="cbkpcl1101" localSheetId="3">#REF!</definedName>
    <definedName name="cbkpcl1101" localSheetId="9">#REF!</definedName>
    <definedName name="cbkpcl1101">#REF!</definedName>
    <definedName name="cbkpcl1201" localSheetId="3">#REF!</definedName>
    <definedName name="cbkpcl1201" localSheetId="9">#REF!</definedName>
    <definedName name="cbkpcl1201">#REF!</definedName>
    <definedName name="cbkpcl202" localSheetId="3">#REF!</definedName>
    <definedName name="cbkpcl202" localSheetId="9">#REF!</definedName>
    <definedName name="cbkpcl202">#REF!</definedName>
    <definedName name="cbkpcl302" localSheetId="3">#REF!</definedName>
    <definedName name="cbkpcl302" localSheetId="9">#REF!</definedName>
    <definedName name="cbkpcl302">#REF!</definedName>
    <definedName name="cbkpcl401" localSheetId="3">#REF!</definedName>
    <definedName name="cbkpcl401" localSheetId="9">#REF!</definedName>
    <definedName name="cbkpcl401">#REF!</definedName>
    <definedName name="cbkpcl501" localSheetId="3">#REF!</definedName>
    <definedName name="cbkpcl501" localSheetId="9">#REF!</definedName>
    <definedName name="cbkpcl501">#REF!</definedName>
    <definedName name="cbkpcl601" localSheetId="3">#REF!</definedName>
    <definedName name="cbkpcl601" localSheetId="9">#REF!</definedName>
    <definedName name="cbkpcl601">#REF!</definedName>
    <definedName name="cbkpcl701" localSheetId="3">#REF!</definedName>
    <definedName name="cbkpcl701" localSheetId="9">#REF!</definedName>
    <definedName name="cbkpcl701">#REF!</definedName>
    <definedName name="cbkpcl801" localSheetId="3">#REF!</definedName>
    <definedName name="cbkpcl801" localSheetId="9">#REF!</definedName>
    <definedName name="cbkpcl801">#REF!</definedName>
    <definedName name="cbkpcl901" localSheetId="3">#REF!</definedName>
    <definedName name="cbkpcl901" localSheetId="9">#REF!</definedName>
    <definedName name="cbkpcl901">#REF!</definedName>
    <definedName name="cbmalavalli1001" localSheetId="3">#REF!</definedName>
    <definedName name="cbmalavalli1001" localSheetId="9">#REF!</definedName>
    <definedName name="cbmalavalli1001">#REF!</definedName>
    <definedName name="cbmalavalli102" localSheetId="3">#REF!</definedName>
    <definedName name="cbmalavalli102" localSheetId="9">#REF!</definedName>
    <definedName name="cbmalavalli102">#REF!</definedName>
    <definedName name="cbmalavalli1101" localSheetId="3">#REF!</definedName>
    <definedName name="cbmalavalli1101" localSheetId="9">#REF!</definedName>
    <definedName name="cbmalavalli1101">#REF!</definedName>
    <definedName name="cbmalavalli1201" localSheetId="3">#REF!</definedName>
    <definedName name="cbmalavalli1201" localSheetId="9">#REF!</definedName>
    <definedName name="cbmalavalli1201">#REF!</definedName>
    <definedName name="cbmalavalli202" localSheetId="3">#REF!</definedName>
    <definedName name="cbmalavalli202" localSheetId="9">#REF!</definedName>
    <definedName name="cbmalavalli202">#REF!</definedName>
    <definedName name="cbmalavalli302" localSheetId="3">#REF!</definedName>
    <definedName name="cbmalavalli302" localSheetId="9">#REF!</definedName>
    <definedName name="cbmalavalli302">#REF!</definedName>
    <definedName name="cbmaps1001" localSheetId="3">#REF!</definedName>
    <definedName name="cbmaps1001" localSheetId="9">#REF!</definedName>
    <definedName name="cbmaps1001">#REF!</definedName>
    <definedName name="cbmaps102" localSheetId="3">#REF!</definedName>
    <definedName name="cbmaps102" localSheetId="9">#REF!</definedName>
    <definedName name="cbmaps102">#REF!</definedName>
    <definedName name="cbmaps1101" localSheetId="3">#REF!</definedName>
    <definedName name="cbmaps1101" localSheetId="9">#REF!</definedName>
    <definedName name="cbmaps1101">#REF!</definedName>
    <definedName name="cbmaps1201" localSheetId="3">#REF!</definedName>
    <definedName name="cbmaps1201" localSheetId="9">#REF!</definedName>
    <definedName name="cbmaps1201">#REF!</definedName>
    <definedName name="cbmaps202" localSheetId="3">#REF!</definedName>
    <definedName name="cbmaps202" localSheetId="9">#REF!</definedName>
    <definedName name="cbmaps202">#REF!</definedName>
    <definedName name="cbmaps302" localSheetId="3">#REF!</definedName>
    <definedName name="cbmaps302" localSheetId="9">#REF!</definedName>
    <definedName name="cbmaps302">#REF!</definedName>
    <definedName name="cbmaps401" localSheetId="3">#REF!</definedName>
    <definedName name="cbmaps401" localSheetId="9">#REF!</definedName>
    <definedName name="cbmaps401">#REF!</definedName>
    <definedName name="cbmaps501" localSheetId="3">#REF!</definedName>
    <definedName name="cbmaps501" localSheetId="9">#REF!</definedName>
    <definedName name="cbmaps501">#REF!</definedName>
    <definedName name="cbmaps601" localSheetId="3">#REF!</definedName>
    <definedName name="cbmaps601" localSheetId="9">#REF!</definedName>
    <definedName name="cbmaps601">#REF!</definedName>
    <definedName name="cbmaps701" localSheetId="3">#REF!</definedName>
    <definedName name="cbmaps701" localSheetId="9">#REF!</definedName>
    <definedName name="cbmaps701">#REF!</definedName>
    <definedName name="cbmaps801" localSheetId="3">#REF!</definedName>
    <definedName name="cbmaps801" localSheetId="9">#REF!</definedName>
    <definedName name="cbmaps801">#REF!</definedName>
    <definedName name="cbmaps901" localSheetId="3">#REF!</definedName>
    <definedName name="cbmaps901" localSheetId="9">#REF!</definedName>
    <definedName name="cbmaps901">#REF!</definedName>
    <definedName name="cbmurd1001" localSheetId="3">#REF!</definedName>
    <definedName name="cbmurd1001" localSheetId="9">#REF!</definedName>
    <definedName name="cbmurd1001">#REF!</definedName>
    <definedName name="cbmurd102" localSheetId="3">#REF!</definedName>
    <definedName name="cbmurd102" localSheetId="9">#REF!</definedName>
    <definedName name="cbmurd102">#REF!</definedName>
    <definedName name="cbmurd1101" localSheetId="3">#REF!</definedName>
    <definedName name="cbmurd1101" localSheetId="9">#REF!</definedName>
    <definedName name="cbmurd1101">#REF!</definedName>
    <definedName name="cbmurd1201" localSheetId="3">#REF!</definedName>
    <definedName name="cbmurd1201" localSheetId="9">#REF!</definedName>
    <definedName name="cbmurd1201">#REF!</definedName>
    <definedName name="cbmurd202" localSheetId="3">#REF!</definedName>
    <definedName name="cbmurd202" localSheetId="9">#REF!</definedName>
    <definedName name="cbmurd202">#REF!</definedName>
    <definedName name="cbmurd302" localSheetId="3">#REF!</definedName>
    <definedName name="cbmurd302" localSheetId="9">#REF!</definedName>
    <definedName name="cbmurd302">#REF!</definedName>
    <definedName name="cbnjvdu1001" localSheetId="3">#REF!</definedName>
    <definedName name="cbnjvdu1001" localSheetId="9">#REF!</definedName>
    <definedName name="cbnjvdu1001">#REF!</definedName>
    <definedName name="cbnjvdu102" localSheetId="3">#REF!</definedName>
    <definedName name="cbnjvdu102" localSheetId="9">#REF!</definedName>
    <definedName name="cbnjvdu102">#REF!</definedName>
    <definedName name="cbnjvdu1101" localSheetId="3">#REF!</definedName>
    <definedName name="cbnjvdu1101" localSheetId="9">#REF!</definedName>
    <definedName name="cbnjvdu1101">#REF!</definedName>
    <definedName name="cbnjvdu1201" localSheetId="3">#REF!</definedName>
    <definedName name="cbnjvdu1201" localSheetId="9">#REF!</definedName>
    <definedName name="cbnjvdu1201">#REF!</definedName>
    <definedName name="cbnjvdu202" localSheetId="3">#REF!</definedName>
    <definedName name="cbnjvdu202" localSheetId="9">#REF!</definedName>
    <definedName name="cbnjvdu202">#REF!</definedName>
    <definedName name="cbnjvdu302" localSheetId="3">#REF!</definedName>
    <definedName name="cbnjvdu302" localSheetId="9">#REF!</definedName>
    <definedName name="cbnjvdu302">#REF!</definedName>
    <definedName name="cbnlc1001" localSheetId="3">#REF!</definedName>
    <definedName name="cbnlc1001" localSheetId="9">#REF!</definedName>
    <definedName name="cbnlc1001">#REF!</definedName>
    <definedName name="cbnlc102" localSheetId="3">#REF!</definedName>
    <definedName name="cbnlc102" localSheetId="9">#REF!</definedName>
    <definedName name="cbnlc102">#REF!</definedName>
    <definedName name="cbnlc1101" localSheetId="3">#REF!</definedName>
    <definedName name="cbnlc1101" localSheetId="9">#REF!</definedName>
    <definedName name="cbnlc1101">#REF!</definedName>
    <definedName name="cbnlc1201" localSheetId="3">#REF!</definedName>
    <definedName name="cbnlc1201" localSheetId="9">#REF!</definedName>
    <definedName name="cbnlc1201">#REF!</definedName>
    <definedName name="cbnlc202" localSheetId="3">#REF!</definedName>
    <definedName name="cbnlc202" localSheetId="9">#REF!</definedName>
    <definedName name="cbnlc202">#REF!</definedName>
    <definedName name="cbnlc302" localSheetId="3">#REF!</definedName>
    <definedName name="cbnlc302" localSheetId="9">#REF!</definedName>
    <definedName name="cbnlc302">#REF!</definedName>
    <definedName name="cbnlc401" localSheetId="3">#REF!</definedName>
    <definedName name="cbnlc401" localSheetId="9">#REF!</definedName>
    <definedName name="cbnlc401">#REF!</definedName>
    <definedName name="cbnlc501" localSheetId="3">#REF!</definedName>
    <definedName name="cbnlc501" localSheetId="9">#REF!</definedName>
    <definedName name="cbnlc501">#REF!</definedName>
    <definedName name="cbnlc601" localSheetId="3">#REF!</definedName>
    <definedName name="cbnlc601" localSheetId="9">#REF!</definedName>
    <definedName name="cbnlc601">#REF!</definedName>
    <definedName name="cbnlc701" localSheetId="3">#REF!</definedName>
    <definedName name="cbnlc701" localSheetId="9">#REF!</definedName>
    <definedName name="cbnlc701">#REF!</definedName>
    <definedName name="cbnlc801" localSheetId="3">#REF!</definedName>
    <definedName name="cbnlc801" localSheetId="9">#REF!</definedName>
    <definedName name="cbnlc801">#REF!</definedName>
    <definedName name="cbnlc901" localSheetId="3">#REF!</definedName>
    <definedName name="cbnlc901" localSheetId="9">#REF!</definedName>
    <definedName name="cbnlc901">#REF!</definedName>
    <definedName name="cbntpcer1001" localSheetId="3">#REF!</definedName>
    <definedName name="cbntpcer1001" localSheetId="9">#REF!</definedName>
    <definedName name="cbntpcer1001">#REF!</definedName>
    <definedName name="cbntpcer102" localSheetId="3">#REF!</definedName>
    <definedName name="cbntpcer102" localSheetId="9">#REF!</definedName>
    <definedName name="cbntpcer102">#REF!</definedName>
    <definedName name="cbntpcer1101" localSheetId="3">#REF!</definedName>
    <definedName name="cbntpcer1101" localSheetId="9">#REF!</definedName>
    <definedName name="cbntpcer1101">#REF!</definedName>
    <definedName name="cbntpcer1201" localSheetId="3">#REF!</definedName>
    <definedName name="cbntpcer1201" localSheetId="9">#REF!</definedName>
    <definedName name="cbntpcer1201">#REF!</definedName>
    <definedName name="cbntpcer202" localSheetId="3">#REF!</definedName>
    <definedName name="cbntpcer202" localSheetId="9">#REF!</definedName>
    <definedName name="cbntpcer202">#REF!</definedName>
    <definedName name="cbntpcer302" localSheetId="3">#REF!</definedName>
    <definedName name="cbntpcer302" localSheetId="9">#REF!</definedName>
    <definedName name="cbntpcer302">#REF!</definedName>
    <definedName name="cbntpcer401" localSheetId="3">#REF!</definedName>
    <definedName name="cbntpcer401" localSheetId="9">#REF!</definedName>
    <definedName name="cbntpcer401">#REF!</definedName>
    <definedName name="cbntpcer501" localSheetId="3">#REF!</definedName>
    <definedName name="cbntpcer501" localSheetId="9">#REF!</definedName>
    <definedName name="cbntpcer501">#REF!</definedName>
    <definedName name="cbntpcer601" localSheetId="3">#REF!</definedName>
    <definedName name="cbntpcer601" localSheetId="9">#REF!</definedName>
    <definedName name="cbntpcer601">#REF!</definedName>
    <definedName name="cbntpcer701" localSheetId="3">#REF!</definedName>
    <definedName name="cbntpcer701" localSheetId="9">#REF!</definedName>
    <definedName name="cbntpcer701">#REF!</definedName>
    <definedName name="cbntpcer801" localSheetId="3">#REF!</definedName>
    <definedName name="cbntpcer801" localSheetId="9">#REF!</definedName>
    <definedName name="cbntpcer801">#REF!</definedName>
    <definedName name="cbntpcer901" localSheetId="3">#REF!</definedName>
    <definedName name="cbntpcer901" localSheetId="9">#REF!</definedName>
    <definedName name="cbntpcer901">#REF!</definedName>
    <definedName name="cbntpcsr1001" localSheetId="3">#REF!</definedName>
    <definedName name="cbntpcsr1001" localSheetId="9">#REF!</definedName>
    <definedName name="cbntpcsr1001">#REF!</definedName>
    <definedName name="cbntpcsr102" localSheetId="3">#REF!</definedName>
    <definedName name="cbntpcsr102" localSheetId="9">#REF!</definedName>
    <definedName name="cbntpcsr102">#REF!</definedName>
    <definedName name="cbntpcsr1101" localSheetId="3">#REF!</definedName>
    <definedName name="cbntpcsr1101" localSheetId="9">#REF!</definedName>
    <definedName name="cbntpcsr1101">#REF!</definedName>
    <definedName name="cbntpcsr1201" localSheetId="3">#REF!</definedName>
    <definedName name="cbntpcsr1201" localSheetId="9">#REF!</definedName>
    <definedName name="cbntpcsr1201">#REF!</definedName>
    <definedName name="cbntpcsr202" localSheetId="3">#REF!</definedName>
    <definedName name="cbntpcsr202" localSheetId="9">#REF!</definedName>
    <definedName name="cbntpcsr202">#REF!</definedName>
    <definedName name="cbntpcsr302" localSheetId="3">#REF!</definedName>
    <definedName name="cbntpcsr302" localSheetId="9">#REF!</definedName>
    <definedName name="cbntpcsr302">#REF!</definedName>
    <definedName name="cbntpcsr401" localSheetId="3">#REF!</definedName>
    <definedName name="cbntpcsr401" localSheetId="9">#REF!</definedName>
    <definedName name="cbntpcsr401">#REF!</definedName>
    <definedName name="cbntpcsr501" localSheetId="3">#REF!</definedName>
    <definedName name="cbntpcsr501" localSheetId="9">#REF!</definedName>
    <definedName name="cbntpcsr501">#REF!</definedName>
    <definedName name="cbntpcsr601" localSheetId="3">#REF!</definedName>
    <definedName name="cbntpcsr601" localSheetId="9">#REF!</definedName>
    <definedName name="cbntpcsr601">#REF!</definedName>
    <definedName name="cbntpcsr701" localSheetId="3">#REF!</definedName>
    <definedName name="cbntpcsr701" localSheetId="9">#REF!</definedName>
    <definedName name="cbntpcsr701">#REF!</definedName>
    <definedName name="cbntpcsr801" localSheetId="3">#REF!</definedName>
    <definedName name="cbntpcsr801" localSheetId="9">#REF!</definedName>
    <definedName name="cbntpcsr801">#REF!</definedName>
    <definedName name="cbntpcsr901" localSheetId="3">#REF!</definedName>
    <definedName name="cbntpcsr901" localSheetId="9">#REF!</definedName>
    <definedName name="cbntpcsr901">#REF!</definedName>
    <definedName name="cbpbs1001" localSheetId="3">#REF!</definedName>
    <definedName name="cbpbs1001" localSheetId="9">#REF!</definedName>
    <definedName name="cbpbs1001">#REF!</definedName>
    <definedName name="cbpbs102" localSheetId="3">#REF!</definedName>
    <definedName name="cbpbs102" localSheetId="9">#REF!</definedName>
    <definedName name="cbpbs102">#REF!</definedName>
    <definedName name="cbpbs1101" localSheetId="3">#REF!</definedName>
    <definedName name="cbpbs1101" localSheetId="9">#REF!</definedName>
    <definedName name="cbpbs1101">#REF!</definedName>
    <definedName name="cbpbs1201" localSheetId="3">#REF!</definedName>
    <definedName name="cbpbs1201" localSheetId="9">#REF!</definedName>
    <definedName name="cbpbs1201">#REF!</definedName>
    <definedName name="cbpbs202" localSheetId="3">#REF!</definedName>
    <definedName name="cbpbs202" localSheetId="9">#REF!</definedName>
    <definedName name="cbpbs202">#REF!</definedName>
    <definedName name="cbpbs302" localSheetId="3">#REF!</definedName>
    <definedName name="cbpbs302" localSheetId="9">#REF!</definedName>
    <definedName name="cbpbs302">#REF!</definedName>
    <definedName name="cbpgcil1001" localSheetId="3">#REF!</definedName>
    <definedName name="cbpgcil1001" localSheetId="9">#REF!</definedName>
    <definedName name="cbpgcil1001">#REF!</definedName>
    <definedName name="cbpgcil102" localSheetId="3">#REF!</definedName>
    <definedName name="cbpgcil102" localSheetId="9">#REF!</definedName>
    <definedName name="cbpgcil102">#REF!</definedName>
    <definedName name="cbpgcil1101" localSheetId="3">#REF!</definedName>
    <definedName name="cbpgcil1101" localSheetId="9">#REF!</definedName>
    <definedName name="cbpgcil1101">#REF!</definedName>
    <definedName name="cbpgcil1201" localSheetId="3">#REF!</definedName>
    <definedName name="cbpgcil1201" localSheetId="9">#REF!</definedName>
    <definedName name="cbpgcil1201">#REF!</definedName>
    <definedName name="cbpgcil202" localSheetId="3">#REF!</definedName>
    <definedName name="cbpgcil202" localSheetId="9">#REF!</definedName>
    <definedName name="cbpgcil202">#REF!</definedName>
    <definedName name="cbpgcil302" localSheetId="3">#REF!</definedName>
    <definedName name="cbpgcil302" localSheetId="9">#REF!</definedName>
    <definedName name="cbpgcil302">#REF!</definedName>
    <definedName name="cbpgcil901" localSheetId="3">#REF!</definedName>
    <definedName name="cbpgcil901" localSheetId="9">#REF!</definedName>
    <definedName name="cbpgcil901">#REF!</definedName>
    <definedName name="cbptcil102" localSheetId="3">#REF!</definedName>
    <definedName name="cbptcil102" localSheetId="9">#REF!</definedName>
    <definedName name="cbptcil102">#REF!</definedName>
    <definedName name="cbptcil1101" localSheetId="3">#REF!</definedName>
    <definedName name="cbptcil1101" localSheetId="9">#REF!</definedName>
    <definedName name="cbptcil1101">#REF!</definedName>
    <definedName name="cbptcil1201" localSheetId="3">#REF!</definedName>
    <definedName name="cbptcil1201" localSheetId="9">#REF!</definedName>
    <definedName name="cbptcil1201">#REF!</definedName>
    <definedName name="cbptcil202" localSheetId="3">#REF!</definedName>
    <definedName name="cbptcil202" localSheetId="9">#REF!</definedName>
    <definedName name="cbptcil202">#REF!</definedName>
    <definedName name="cbptcil302" localSheetId="3">#REF!</definedName>
    <definedName name="cbptcil302" localSheetId="9">#REF!</definedName>
    <definedName name="cbptcil302">#REF!</definedName>
    <definedName name="cbrenuka1001" localSheetId="3">#REF!</definedName>
    <definedName name="cbrenuka1001" localSheetId="9">#REF!</definedName>
    <definedName name="cbrenuka1001">#REF!</definedName>
    <definedName name="cbrenuka102" localSheetId="3">#REF!</definedName>
    <definedName name="cbrenuka102" localSheetId="9">#REF!</definedName>
    <definedName name="cbrenuka102">#REF!</definedName>
    <definedName name="cbrenuka1101" localSheetId="3">#REF!</definedName>
    <definedName name="cbrenuka1101" localSheetId="9">#REF!</definedName>
    <definedName name="cbrenuka1101">#REF!</definedName>
    <definedName name="cbrenuka1201" localSheetId="3">#REF!</definedName>
    <definedName name="cbrenuka1201" localSheetId="9">#REF!</definedName>
    <definedName name="cbrenuka1201">#REF!</definedName>
    <definedName name="cbrenuka202" localSheetId="3">#REF!</definedName>
    <definedName name="cbrenuka202" localSheetId="9">#REF!</definedName>
    <definedName name="cbrenuka202">#REF!</definedName>
    <definedName name="cbrenuka302" localSheetId="3">#REF!</definedName>
    <definedName name="cbrenuka302" localSheetId="9">#REF!</definedName>
    <definedName name="cbrenuka302">#REF!</definedName>
    <definedName name="cbrssk102" localSheetId="3">#REF!</definedName>
    <definedName name="cbrssk102" localSheetId="9">#REF!</definedName>
    <definedName name="cbrssk102">#REF!</definedName>
    <definedName name="cbrssk202" localSheetId="3">#REF!</definedName>
    <definedName name="cbrssk202" localSheetId="9">#REF!</definedName>
    <definedName name="cbrssk202">#REF!</definedName>
    <definedName name="cbrssk302" localSheetId="3">#REF!</definedName>
    <definedName name="cbrssk302" localSheetId="9">#REF!</definedName>
    <definedName name="cbrssk302">#REF!</definedName>
    <definedName name="cbSIP1001" localSheetId="3">#REF!</definedName>
    <definedName name="cbSIP1001" localSheetId="9">#REF!</definedName>
    <definedName name="cbSIP1001">#REF!</definedName>
    <definedName name="cbSIP102" localSheetId="3">#REF!</definedName>
    <definedName name="cbSIP102" localSheetId="9">#REF!</definedName>
    <definedName name="cbSIP102">#REF!</definedName>
    <definedName name="cbSIP1101" localSheetId="3">#REF!</definedName>
    <definedName name="cbSIP1101" localSheetId="9">#REF!</definedName>
    <definedName name="cbSIP1101">#REF!</definedName>
    <definedName name="cbSIP1201" localSheetId="3">#REF!</definedName>
    <definedName name="cbSIP1201" localSheetId="9">#REF!</definedName>
    <definedName name="cbSIP1201">#REF!</definedName>
    <definedName name="cbSIP202" localSheetId="3">#REF!</definedName>
    <definedName name="cbSIP202" localSheetId="9">#REF!</definedName>
    <definedName name="cbSIP202">#REF!</definedName>
    <definedName name="cbSIP302" localSheetId="3">#REF!</definedName>
    <definedName name="cbSIP302" localSheetId="9">#REF!</definedName>
    <definedName name="cbSIP302">#REF!</definedName>
    <definedName name="cbsmiore1001" localSheetId="3">#REF!</definedName>
    <definedName name="cbsmiore1001" localSheetId="9">#REF!</definedName>
    <definedName name="cbsmiore1001">#REF!</definedName>
    <definedName name="cbsmiore102" localSheetId="3">#REF!</definedName>
    <definedName name="cbsmiore102" localSheetId="9">#REF!</definedName>
    <definedName name="cbsmiore102">#REF!</definedName>
    <definedName name="cbsmiore1101" localSheetId="3">#REF!</definedName>
    <definedName name="cbsmiore1101" localSheetId="9">#REF!</definedName>
    <definedName name="cbsmiore1101">#REF!</definedName>
    <definedName name="cbsmiore1201" localSheetId="3">#REF!</definedName>
    <definedName name="cbsmiore1201" localSheetId="9">#REF!</definedName>
    <definedName name="cbsmiore1201">#REF!</definedName>
    <definedName name="cbsmiore202" localSheetId="3">#REF!</definedName>
    <definedName name="cbsmiore202" localSheetId="9">#REF!</definedName>
    <definedName name="cbsmiore202">#REF!</definedName>
    <definedName name="cbsmiore302" localSheetId="3">#REF!</definedName>
    <definedName name="cbsmiore302" localSheetId="9">#REF!</definedName>
    <definedName name="cbsmiore302">#REF!</definedName>
    <definedName name="cbsraac1001" localSheetId="3">#REF!</definedName>
    <definedName name="cbsraac1001" localSheetId="9">#REF!</definedName>
    <definedName name="cbsraac1001">#REF!</definedName>
    <definedName name="cbsraac102" localSheetId="3">#REF!</definedName>
    <definedName name="cbsraac102" localSheetId="9">#REF!</definedName>
    <definedName name="cbsraac102">#REF!</definedName>
    <definedName name="cbsraac1101" localSheetId="3">#REF!</definedName>
    <definedName name="cbsraac1101" localSheetId="9">#REF!</definedName>
    <definedName name="cbsraac1101">#REF!</definedName>
    <definedName name="cbsraac1201" localSheetId="3">#REF!</definedName>
    <definedName name="cbsraac1201" localSheetId="9">#REF!</definedName>
    <definedName name="cbsraac1201">#REF!</definedName>
    <definedName name="cbsraac202" localSheetId="3">#REF!</definedName>
    <definedName name="cbsraac202" localSheetId="9">#REF!</definedName>
    <definedName name="cbsraac202">#REF!</definedName>
    <definedName name="cbsraac302" localSheetId="3">#REF!</definedName>
    <definedName name="cbsraac302" localSheetId="9">#REF!</definedName>
    <definedName name="cbsraac302">#REF!</definedName>
    <definedName name="cbSS1001" localSheetId="3">#REF!</definedName>
    <definedName name="cbSS1001" localSheetId="9">#REF!</definedName>
    <definedName name="cbSS1001">#REF!</definedName>
    <definedName name="cbSS102" localSheetId="3">#REF!</definedName>
    <definedName name="cbSS102" localSheetId="9">#REF!</definedName>
    <definedName name="cbSS102">#REF!</definedName>
    <definedName name="cbSS1101" localSheetId="3">#REF!</definedName>
    <definedName name="cbSS1101" localSheetId="9">#REF!</definedName>
    <definedName name="cbSS1101">#REF!</definedName>
    <definedName name="cbSS1201" localSheetId="3">#REF!</definedName>
    <definedName name="cbSS1201" localSheetId="9">#REF!</definedName>
    <definedName name="cbSS1201">#REF!</definedName>
    <definedName name="cbSS202" localSheetId="3">#REF!</definedName>
    <definedName name="cbSS202" localSheetId="9">#REF!</definedName>
    <definedName name="cbSS202">#REF!</definedName>
    <definedName name="cbSS302" localSheetId="3">#REF!</definedName>
    <definedName name="cbSS302" localSheetId="9">#REF!</definedName>
    <definedName name="cbSS302">#REF!</definedName>
    <definedName name="cbtata1001" localSheetId="3">#REF!</definedName>
    <definedName name="cbtata1001" localSheetId="9">#REF!</definedName>
    <definedName name="cbtata1001">#REF!</definedName>
    <definedName name="cbtata102" localSheetId="3">#REF!</definedName>
    <definedName name="cbtata102" localSheetId="9">#REF!</definedName>
    <definedName name="cbtata102">#REF!</definedName>
    <definedName name="cbtata1101" localSheetId="3">#REF!</definedName>
    <definedName name="cbtata1101" localSheetId="9">#REF!</definedName>
    <definedName name="cbtata1101">#REF!</definedName>
    <definedName name="cbtata1201" localSheetId="3">#REF!</definedName>
    <definedName name="cbtata1201" localSheetId="9">#REF!</definedName>
    <definedName name="cbtata1201">#REF!</definedName>
    <definedName name="cbtata202" localSheetId="3">#REF!</definedName>
    <definedName name="cbtata202" localSheetId="9">#REF!</definedName>
    <definedName name="cbtata202">#REF!</definedName>
    <definedName name="cbtata302" localSheetId="3">#REF!</definedName>
    <definedName name="cbtata302" localSheetId="9">#REF!</definedName>
    <definedName name="cbtata302">#REF!</definedName>
    <definedName name="cbtbs1001" localSheetId="3">#REF!</definedName>
    <definedName name="cbtbs1001" localSheetId="9">#REF!</definedName>
    <definedName name="cbtbs1001">#REF!</definedName>
    <definedName name="cbtbs102" localSheetId="3">#REF!</definedName>
    <definedName name="cbtbs102" localSheetId="9">#REF!</definedName>
    <definedName name="cbtbs102">#REF!</definedName>
    <definedName name="cbtbs1101" localSheetId="3">#REF!</definedName>
    <definedName name="cbtbs1101" localSheetId="9">#REF!</definedName>
    <definedName name="cbtbs1101">#REF!</definedName>
    <definedName name="cbtbs1201" localSheetId="3">#REF!</definedName>
    <definedName name="cbtbs1201" localSheetId="9">#REF!</definedName>
    <definedName name="cbtbs1201">#REF!</definedName>
    <definedName name="cbtbs202" localSheetId="3">#REF!</definedName>
    <definedName name="cbtbs202" localSheetId="9">#REF!</definedName>
    <definedName name="cbtbs202">#REF!</definedName>
    <definedName name="cbtbs302" localSheetId="3">#REF!</definedName>
    <definedName name="cbtbs302" localSheetId="9">#REF!</definedName>
    <definedName name="cbtbs302">#REF!</definedName>
    <definedName name="cbtnb1001" localSheetId="3">#REF!</definedName>
    <definedName name="cbtnb1001" localSheetId="9">#REF!</definedName>
    <definedName name="cbtnb1001">#REF!</definedName>
    <definedName name="cbtnb102" localSheetId="3">#REF!</definedName>
    <definedName name="cbtnb102" localSheetId="9">#REF!</definedName>
    <definedName name="cbtnb102">#REF!</definedName>
    <definedName name="cbtnb1101" localSheetId="3">#REF!</definedName>
    <definedName name="cbtnb1101" localSheetId="9">#REF!</definedName>
    <definedName name="cbtnb1101">#REF!</definedName>
    <definedName name="cbtnb1201" localSheetId="3">#REF!</definedName>
    <definedName name="cbtnb1201" localSheetId="9">#REF!</definedName>
    <definedName name="cbtnb1201">#REF!</definedName>
    <definedName name="cbtnb202" localSheetId="3">#REF!</definedName>
    <definedName name="cbtnb202" localSheetId="9">#REF!</definedName>
    <definedName name="cbtnb202">#REF!</definedName>
    <definedName name="cbtnb302" localSheetId="3">#REF!</definedName>
    <definedName name="cbtnb302" localSheetId="9">#REF!</definedName>
    <definedName name="cbtnb302">#REF!</definedName>
    <definedName name="cbtneb1001" localSheetId="3">#REF!</definedName>
    <definedName name="cbtneb1001" localSheetId="9">#REF!</definedName>
    <definedName name="cbtneb1001">#REF!</definedName>
    <definedName name="cbtopaz102" localSheetId="3">#REF!</definedName>
    <definedName name="cbtopaz102" localSheetId="9">#REF!</definedName>
    <definedName name="cbtopaz102">#REF!</definedName>
    <definedName name="cbtopaz202" localSheetId="3">#REF!</definedName>
    <definedName name="cbtopaz202" localSheetId="9">#REF!</definedName>
    <definedName name="cbtopaz202">#REF!</definedName>
    <definedName name="cbtopaz302" localSheetId="3">#REF!</definedName>
    <definedName name="cbtopaz302" localSheetId="9">#REF!</definedName>
    <definedName name="cbtopaz302">#REF!</definedName>
    <definedName name="cbUS1001" localSheetId="3">#REF!</definedName>
    <definedName name="cbUS1001" localSheetId="9">#REF!</definedName>
    <definedName name="cbUS1001">#REF!</definedName>
    <definedName name="cbUS102" localSheetId="3">#REF!</definedName>
    <definedName name="cbUS102" localSheetId="9">#REF!</definedName>
    <definedName name="cbUS102">#REF!</definedName>
    <definedName name="cbUS1101" localSheetId="3">#REF!</definedName>
    <definedName name="cbUS1101" localSheetId="9">#REF!</definedName>
    <definedName name="cbUS1101">#REF!</definedName>
    <definedName name="cbUS1201" localSheetId="3">#REF!</definedName>
    <definedName name="cbUS1201" localSheetId="9">#REF!</definedName>
    <definedName name="cbUS1201">#REF!</definedName>
    <definedName name="cbUS202" localSheetId="3">#REF!</definedName>
    <definedName name="cbUS202" localSheetId="9">#REF!</definedName>
    <definedName name="cbUS202">#REF!</definedName>
    <definedName name="cbUS302" localSheetId="3">#REF!</definedName>
    <definedName name="cbUS302" localSheetId="9">#REF!</definedName>
    <definedName name="cbUS302">#REF!</definedName>
    <definedName name="cbwreb1001" localSheetId="3">#REF!</definedName>
    <definedName name="cbwreb1001" localSheetId="9">#REF!</definedName>
    <definedName name="cbwreb1001">#REF!</definedName>
    <definedName name="cbwreb102" localSheetId="3">#REF!</definedName>
    <definedName name="cbwreb102" localSheetId="9">#REF!</definedName>
    <definedName name="cbwreb102">#REF!</definedName>
    <definedName name="cbwreb1101" localSheetId="3">#REF!</definedName>
    <definedName name="cbwreb1101" localSheetId="9">#REF!</definedName>
    <definedName name="cbwreb1101">#REF!</definedName>
    <definedName name="cbwreb1201" localSheetId="3">#REF!</definedName>
    <definedName name="cbwreb1201" localSheetId="9">#REF!</definedName>
    <definedName name="cbwreb1201">#REF!</definedName>
    <definedName name="cbwreb202" localSheetId="3">#REF!</definedName>
    <definedName name="cbwreb202" localSheetId="9">#REF!</definedName>
    <definedName name="cbwreb202">#REF!</definedName>
    <definedName name="cbwreb302" localSheetId="3">#REF!</definedName>
    <definedName name="cbwreb302" localSheetId="9">#REF!</definedName>
    <definedName name="cbwreb302">#REF!</definedName>
    <definedName name="cbwreb401" localSheetId="3">#REF!</definedName>
    <definedName name="cbwreb401" localSheetId="9">#REF!</definedName>
    <definedName name="cbwreb401">#REF!</definedName>
    <definedName name="cbwreb501" localSheetId="3">#REF!</definedName>
    <definedName name="cbwreb501" localSheetId="9">#REF!</definedName>
    <definedName name="cbwreb501">#REF!</definedName>
    <definedName name="cbwreb601" localSheetId="3">#REF!</definedName>
    <definedName name="cbwreb601" localSheetId="9">#REF!</definedName>
    <definedName name="cbwreb601">#REF!</definedName>
    <definedName name="cbwreb701" localSheetId="3">#REF!</definedName>
    <definedName name="cbwreb701" localSheetId="9">#REF!</definedName>
    <definedName name="cbwreb701">#REF!</definedName>
    <definedName name="cbwreb801" localSheetId="3">#REF!</definedName>
    <definedName name="cbwreb801" localSheetId="9">#REF!</definedName>
    <definedName name="cbwreb801">#REF!</definedName>
    <definedName name="cbwreb901" localSheetId="3">#REF!</definedName>
    <definedName name="cbwreb901" localSheetId="9">#REF!</definedName>
    <definedName name="cbwreb901">#REF!</definedName>
    <definedName name="ccon1001" localSheetId="3">#REF!</definedName>
    <definedName name="ccon1001" localSheetId="9">#REF!</definedName>
    <definedName name="ccon1001">#REF!</definedName>
    <definedName name="ccon102" localSheetId="3">#REF!</definedName>
    <definedName name="ccon102" localSheetId="9">#REF!</definedName>
    <definedName name="ccon102">#REF!</definedName>
    <definedName name="ccon1101" localSheetId="3">#REF!</definedName>
    <definedName name="ccon1101" localSheetId="9">#REF!</definedName>
    <definedName name="ccon1101">#REF!</definedName>
    <definedName name="ccon1201" localSheetId="3">#REF!</definedName>
    <definedName name="ccon1201" localSheetId="9">#REF!</definedName>
    <definedName name="ccon1201">#REF!</definedName>
    <definedName name="ccon202" localSheetId="3">#REF!</definedName>
    <definedName name="ccon202" localSheetId="9">#REF!</definedName>
    <definedName name="ccon202">#REF!</definedName>
    <definedName name="ccon302" localSheetId="3">#REF!</definedName>
    <definedName name="ccon302" localSheetId="9">#REF!</definedName>
    <definedName name="ccon302">#REF!</definedName>
    <definedName name="ccon401" localSheetId="3">#REF!</definedName>
    <definedName name="ccon401" localSheetId="9">#REF!</definedName>
    <definedName name="ccon401">#REF!</definedName>
    <definedName name="ccon501" localSheetId="3">#REF!</definedName>
    <definedName name="ccon501" localSheetId="9">#REF!</definedName>
    <definedName name="ccon501">#REF!</definedName>
    <definedName name="ccon601" localSheetId="3">#REF!</definedName>
    <definedName name="ccon601" localSheetId="9">#REF!</definedName>
    <definedName name="ccon601">#REF!</definedName>
    <definedName name="ccon701" localSheetId="3">#REF!</definedName>
    <definedName name="ccon701" localSheetId="9">#REF!</definedName>
    <definedName name="ccon701">#REF!</definedName>
    <definedName name="ccon801" localSheetId="3">#REF!</definedName>
    <definedName name="ccon801" localSheetId="9">#REF!</definedName>
    <definedName name="ccon801">#REF!</definedName>
    <definedName name="ccon901" localSheetId="3">#REF!</definedName>
    <definedName name="ccon901" localSheetId="9">#REF!</definedName>
    <definedName name="ccon901">#REF!</definedName>
    <definedName name="ccost1001" localSheetId="3">#REF!</definedName>
    <definedName name="ccost1001" localSheetId="9">#REF!</definedName>
    <definedName name="ccost1001">#REF!</definedName>
    <definedName name="ccost102" localSheetId="3">#REF!</definedName>
    <definedName name="ccost102" localSheetId="9">#REF!</definedName>
    <definedName name="ccost102">#REF!</definedName>
    <definedName name="ccost1101" localSheetId="3">#REF!</definedName>
    <definedName name="ccost1101" localSheetId="9">#REF!</definedName>
    <definedName name="ccost1101">#REF!</definedName>
    <definedName name="ccost1201" localSheetId="3">#REF!</definedName>
    <definedName name="ccost1201" localSheetId="9">#REF!</definedName>
    <definedName name="ccost1201">#REF!</definedName>
    <definedName name="ccost202" localSheetId="3">#REF!</definedName>
    <definedName name="ccost202" localSheetId="9">#REF!</definedName>
    <definedName name="ccost202">#REF!</definedName>
    <definedName name="ccost302" localSheetId="3">#REF!</definedName>
    <definedName name="ccost302" localSheetId="9">#REF!</definedName>
    <definedName name="ccost302">#REF!</definedName>
    <definedName name="ccost401" localSheetId="3">#REF!</definedName>
    <definedName name="ccost401" localSheetId="9">#REF!</definedName>
    <definedName name="ccost401">#REF!</definedName>
    <definedName name="ccost501" localSheetId="3">#REF!</definedName>
    <definedName name="ccost501" localSheetId="9">#REF!</definedName>
    <definedName name="ccost501">#REF!</definedName>
    <definedName name="ccost601" localSheetId="3">#REF!</definedName>
    <definedName name="ccost601" localSheetId="9">#REF!</definedName>
    <definedName name="ccost601">#REF!</definedName>
    <definedName name="ccost701" localSheetId="3">#REF!</definedName>
    <definedName name="ccost701" localSheetId="9">#REF!</definedName>
    <definedName name="ccost701">#REF!</definedName>
    <definedName name="ccost801" localSheetId="3">#REF!</definedName>
    <definedName name="ccost801" localSheetId="9">#REF!</definedName>
    <definedName name="ccost801">#REF!</definedName>
    <definedName name="ccost901" localSheetId="3">#REF!</definedName>
    <definedName name="ccost901" localSheetId="9">#REF!</definedName>
    <definedName name="ccost901">#REF!</definedName>
    <definedName name="CMC">#N/A</definedName>
    <definedName name="contothydal1000" localSheetId="3">#REF!</definedName>
    <definedName name="contothydal1000" localSheetId="9">#REF!</definedName>
    <definedName name="contothydal1000">#REF!</definedName>
    <definedName name="contothydal400" localSheetId="3">#REF!</definedName>
    <definedName name="contothydal400" localSheetId="9">#REF!</definedName>
    <definedName name="contothydal400">#REF!</definedName>
    <definedName name="contothydal500" localSheetId="3">#REF!</definedName>
    <definedName name="contothydal500" localSheetId="9">#REF!</definedName>
    <definedName name="contothydal500">#REF!</definedName>
    <definedName name="contothydal600" localSheetId="3">#REF!</definedName>
    <definedName name="contothydal600" localSheetId="9">#REF!</definedName>
    <definedName name="contothydal600">#REF!</definedName>
    <definedName name="contothydal700" localSheetId="3">#REF!</definedName>
    <definedName name="contothydal700" localSheetId="9">#REF!</definedName>
    <definedName name="contothydal700">#REF!</definedName>
    <definedName name="contothydal800" localSheetId="3">#REF!</definedName>
    <definedName name="contothydal800" localSheetId="9">#REF!</definedName>
    <definedName name="contothydal800">#REF!</definedName>
    <definedName name="contothydal900" localSheetId="3">#REF!</definedName>
    <definedName name="contothydal900" localSheetId="9">#REF!</definedName>
    <definedName name="contothydal900">#REF!</definedName>
    <definedName name="contotthermal1000" localSheetId="3">#REF!</definedName>
    <definedName name="contotthermal1000" localSheetId="9">#REF!</definedName>
    <definedName name="contotthermal1000">#REF!</definedName>
    <definedName name="contotthermal400" localSheetId="3">#REF!</definedName>
    <definedName name="contotthermal400" localSheetId="9">#REF!</definedName>
    <definedName name="contotthermal400">#REF!</definedName>
    <definedName name="contotthermal500" localSheetId="3">#REF!</definedName>
    <definedName name="contotthermal500" localSheetId="9">#REF!</definedName>
    <definedName name="contotthermal500">#REF!</definedName>
    <definedName name="contotthermal600" localSheetId="3">#REF!</definedName>
    <definedName name="contotthermal600" localSheetId="9">#REF!</definedName>
    <definedName name="contotthermal600">#REF!</definedName>
    <definedName name="contotthermal700" localSheetId="3">#REF!</definedName>
    <definedName name="contotthermal700" localSheetId="9">#REF!</definedName>
    <definedName name="contotthermal700">#REF!</definedName>
    <definedName name="contotthermal800" localSheetId="3">#REF!</definedName>
    <definedName name="contotthermal800" localSheetId="9">#REF!</definedName>
    <definedName name="contotthermal800">#REF!</definedName>
    <definedName name="contotthermal900" localSheetId="3">#REF!</definedName>
    <definedName name="contotthermal900" localSheetId="9">#REF!</definedName>
    <definedName name="contotthermal900">#REF!</definedName>
    <definedName name="d" localSheetId="9">#REF!</definedName>
    <definedName name="d">#REF!</definedName>
    <definedName name="_xlnm.Database">#N/A</definedName>
    <definedName name="Gerusoppa" localSheetId="3">#REF!</definedName>
    <definedName name="Gerusoppa" localSheetId="9">#REF!</definedName>
    <definedName name="Gerusoppa">#REF!</definedName>
    <definedName name="HESCOM" localSheetId="9">#REF!</definedName>
    <definedName name="HESCOM">#REF!</definedName>
    <definedName name="M.R.r">#N/A</definedName>
    <definedName name="MPR">#N/A</definedName>
    <definedName name="MPRR">#N/A</definedName>
    <definedName name="Name">#N/A</definedName>
    <definedName name="OLE_LINK6" localSheetId="9">#REF!</definedName>
    <definedName name="OLE_LINK6">#REF!</definedName>
    <definedName name="Print.Titles">#N/A</definedName>
    <definedName name="_xlnm.Print_Area" localSheetId="5">BESCOM!$A$2:$R$117</definedName>
    <definedName name="_xlnm.Print_Area" localSheetId="1">'BESCOM D-22(A) KERC (2)'!$A$1:$AD$241</definedName>
    <definedName name="_xlnm.Print_Area" localSheetId="0">'BESCOM D-22(Current Tariff)'!$A$1:$R$225</definedName>
    <definedName name="_xlnm.Print_Area" localSheetId="11">'Comparison Ur_Ru'!$A$2:$P$152</definedName>
    <definedName name="_xlnm.Print_Area" localSheetId="3">'D-20 '!$A$1:$G$199</definedName>
    <definedName name="_xlnm.Print_Area" localSheetId="13">'Equating with BBMP comparison'!$A$2:$P$152</definedName>
    <definedName name="_xlnm.Print_Area" localSheetId="9">'Tariff Comparison (2)'!$A$2:$R$118</definedName>
    <definedName name="_xlnm.Print_Area">'BESCOM D-22(Current Tariff)'!$A$1:$R$223</definedName>
    <definedName name="_xlnm.Print_Titles" localSheetId="5">BESCOM!$2:$3</definedName>
    <definedName name="_xlnm.Print_Titles" localSheetId="0">'BESCOM D-22(Current Tariff)'!$6:$7</definedName>
    <definedName name="_xlnm.Print_Titles" localSheetId="6">BESCOM1!$3:$5</definedName>
    <definedName name="_xlnm.Print_Titles" localSheetId="11">'Comparison Ur_Ru'!$2:$4</definedName>
    <definedName name="_xlnm.Print_Titles" localSheetId="3">'D-20 '!$4:$5</definedName>
    <definedName name="_xlnm.Print_Titles" localSheetId="13">'Equating with BBMP comparison'!$2:$4</definedName>
    <definedName name="_xlnm.Print_Titles" localSheetId="9">'Tariff Comparison (2)'!$2:$4</definedName>
    <definedName name="_xlnm.Print_Titles">#N/A</definedName>
    <definedName name="RTPS_Ist___2nd_Unit" localSheetId="3">#REF!</definedName>
    <definedName name="RTPS_Ist___2nd_Unit" localSheetId="9">#REF!</definedName>
    <definedName name="RTPS_Ist___2nd_Unit">#REF!</definedName>
    <definedName name="wrn.Q." hidden="1">{#N/A,#N/A,FALSE,"DA DIFFERENCE";#N/A,#N/A,FALSE,"DA DIFFERENCE"}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5" i="24" l="1"/>
  <c r="K624" i="24"/>
  <c r="J624" i="24"/>
  <c r="K616" i="24"/>
  <c r="K615" i="24"/>
  <c r="J615" i="24"/>
  <c r="K492" i="24"/>
  <c r="K491" i="24"/>
  <c r="J491" i="24"/>
  <c r="K483" i="24"/>
  <c r="K482" i="24"/>
  <c r="J482" i="24"/>
  <c r="K359" i="24"/>
  <c r="K358" i="24"/>
  <c r="J358" i="24"/>
  <c r="K350" i="24"/>
  <c r="K349" i="24"/>
  <c r="J349" i="24"/>
  <c r="K226" i="24"/>
  <c r="K225" i="24"/>
  <c r="J225" i="24"/>
  <c r="K217" i="24"/>
  <c r="K216" i="24"/>
  <c r="J216" i="24"/>
  <c r="K10" i="24"/>
  <c r="U13" i="25"/>
  <c r="L926" i="24"/>
  <c r="L904" i="24"/>
  <c r="L900" i="24"/>
  <c r="L895" i="24"/>
  <c r="L891" i="24"/>
  <c r="L886" i="24"/>
  <c r="L882" i="24"/>
  <c r="M869" i="24"/>
  <c r="L869" i="24"/>
  <c r="I869" i="24"/>
  <c r="G869" i="24"/>
  <c r="F869" i="24"/>
  <c r="E869" i="24"/>
  <c r="M868" i="24"/>
  <c r="L868" i="24"/>
  <c r="I868" i="24"/>
  <c r="G868" i="24"/>
  <c r="F868" i="24"/>
  <c r="E868" i="24"/>
  <c r="L817" i="24"/>
  <c r="L811" i="24"/>
  <c r="L802" i="24"/>
  <c r="M793" i="24"/>
  <c r="N793" i="24"/>
  <c r="K783" i="24"/>
  <c r="J783" i="24"/>
  <c r="F783" i="24"/>
  <c r="G783" i="24"/>
  <c r="E783" i="24"/>
  <c r="K781" i="24"/>
  <c r="J781" i="24"/>
  <c r="F781" i="24"/>
  <c r="G781" i="24"/>
  <c r="E781" i="24"/>
  <c r="F779" i="24"/>
  <c r="E779" i="24"/>
  <c r="K778" i="24"/>
  <c r="J778" i="24"/>
  <c r="K777" i="24"/>
  <c r="J777" i="24"/>
  <c r="K776" i="24"/>
  <c r="J776" i="24"/>
  <c r="K775" i="24"/>
  <c r="J775" i="24"/>
  <c r="F773" i="24"/>
  <c r="F768" i="24"/>
  <c r="F766" i="24"/>
  <c r="G766" i="24"/>
  <c r="E773" i="24"/>
  <c r="K771" i="24"/>
  <c r="K770" i="24"/>
  <c r="J770" i="24"/>
  <c r="K767" i="24"/>
  <c r="K766" i="24"/>
  <c r="J766" i="24"/>
  <c r="F764" i="24"/>
  <c r="F759" i="24"/>
  <c r="F757" i="24"/>
  <c r="G757" i="24"/>
  <c r="E764" i="24"/>
  <c r="K762" i="24"/>
  <c r="K761" i="24"/>
  <c r="J761" i="24"/>
  <c r="K758" i="24"/>
  <c r="K757" i="24"/>
  <c r="J757" i="24"/>
  <c r="L757" i="24"/>
  <c r="L759" i="24"/>
  <c r="F755" i="24"/>
  <c r="E755" i="24"/>
  <c r="K753" i="24"/>
  <c r="K752" i="24"/>
  <c r="J752" i="24"/>
  <c r="K749" i="24"/>
  <c r="K748" i="24"/>
  <c r="J748" i="24"/>
  <c r="K746" i="24"/>
  <c r="J746" i="24"/>
  <c r="F746" i="24"/>
  <c r="G746" i="24"/>
  <c r="E746" i="24"/>
  <c r="F742" i="24"/>
  <c r="F740" i="24"/>
  <c r="E742" i="24"/>
  <c r="K741" i="24"/>
  <c r="J741" i="24"/>
  <c r="K740" i="24"/>
  <c r="J740" i="24"/>
  <c r="J736" i="24"/>
  <c r="J735" i="24"/>
  <c r="K734" i="24"/>
  <c r="J734" i="24"/>
  <c r="F734" i="24"/>
  <c r="G734" i="24"/>
  <c r="E734" i="24"/>
  <c r="E737" i="24"/>
  <c r="K732" i="24"/>
  <c r="J732" i="24"/>
  <c r="F732" i="24"/>
  <c r="G732" i="24"/>
  <c r="E732" i="24"/>
  <c r="J729" i="24"/>
  <c r="K728" i="24"/>
  <c r="J728" i="24"/>
  <c r="F728" i="24"/>
  <c r="E728" i="24"/>
  <c r="E730" i="24"/>
  <c r="F726" i="24"/>
  <c r="E726" i="24"/>
  <c r="E718" i="24"/>
  <c r="E715" i="24"/>
  <c r="J724" i="24"/>
  <c r="J723" i="24"/>
  <c r="K722" i="24"/>
  <c r="J722" i="24"/>
  <c r="K721" i="24"/>
  <c r="J721" i="24"/>
  <c r="K720" i="24"/>
  <c r="J720" i="24"/>
  <c r="J717" i="24"/>
  <c r="J716" i="24"/>
  <c r="K715" i="24"/>
  <c r="J715" i="24"/>
  <c r="K714" i="24"/>
  <c r="J714" i="24"/>
  <c r="K713" i="24"/>
  <c r="J713" i="24"/>
  <c r="K710" i="24"/>
  <c r="J710" i="24"/>
  <c r="F710" i="24"/>
  <c r="G710" i="24"/>
  <c r="E710" i="24"/>
  <c r="K709" i="24"/>
  <c r="I709" i="24"/>
  <c r="M709" i="24"/>
  <c r="J709" i="24"/>
  <c r="F709" i="24"/>
  <c r="E709" i="24"/>
  <c r="K708" i="24"/>
  <c r="F706" i="24"/>
  <c r="E706" i="24"/>
  <c r="E701" i="24"/>
  <c r="K704" i="24"/>
  <c r="J704" i="24"/>
  <c r="K703" i="24"/>
  <c r="J703" i="24"/>
  <c r="K700" i="24"/>
  <c r="J700" i="24"/>
  <c r="K699" i="24"/>
  <c r="J699" i="24"/>
  <c r="F697" i="24"/>
  <c r="F691" i="24"/>
  <c r="E697" i="24"/>
  <c r="E691" i="24"/>
  <c r="J695" i="24"/>
  <c r="K694" i="24"/>
  <c r="J694" i="24"/>
  <c r="K693" i="24"/>
  <c r="J693" i="24"/>
  <c r="J690" i="24"/>
  <c r="K689" i="24"/>
  <c r="J689" i="24"/>
  <c r="K688" i="24"/>
  <c r="J688" i="24"/>
  <c r="F686" i="24"/>
  <c r="E686" i="24"/>
  <c r="K684" i="24"/>
  <c r="K683" i="24"/>
  <c r="J683" i="24"/>
  <c r="K682" i="24"/>
  <c r="K671" i="24"/>
  <c r="J682" i="24"/>
  <c r="K681" i="24"/>
  <c r="K670" i="24"/>
  <c r="J681" i="24"/>
  <c r="J670" i="24"/>
  <c r="K678" i="24"/>
  <c r="K677" i="24"/>
  <c r="J677" i="24"/>
  <c r="K676" i="24"/>
  <c r="J676" i="24"/>
  <c r="K675" i="24"/>
  <c r="J675" i="24"/>
  <c r="F670" i="24"/>
  <c r="E670" i="24"/>
  <c r="G670" i="24"/>
  <c r="G672" i="24"/>
  <c r="K669" i="24"/>
  <c r="J669" i="24"/>
  <c r="F669" i="24"/>
  <c r="E669" i="24"/>
  <c r="G669" i="24"/>
  <c r="M660" i="24"/>
  <c r="N660" i="24"/>
  <c r="K650" i="24"/>
  <c r="J650" i="24"/>
  <c r="F650" i="24"/>
  <c r="G650" i="24"/>
  <c r="E650" i="24"/>
  <c r="K648" i="24"/>
  <c r="J648" i="24"/>
  <c r="F648" i="24"/>
  <c r="G648" i="24"/>
  <c r="E648" i="24"/>
  <c r="F646" i="24"/>
  <c r="F642" i="24"/>
  <c r="G642" i="24"/>
  <c r="E646" i="24"/>
  <c r="K645" i="24"/>
  <c r="J645" i="24"/>
  <c r="K644" i="24"/>
  <c r="J644" i="24"/>
  <c r="K643" i="24"/>
  <c r="J643" i="24"/>
  <c r="K642" i="24"/>
  <c r="J642" i="24"/>
  <c r="F640" i="24"/>
  <c r="F635" i="24"/>
  <c r="F633" i="24"/>
  <c r="G633" i="24"/>
  <c r="E640" i="24"/>
  <c r="K638" i="24"/>
  <c r="K637" i="24"/>
  <c r="J637" i="24"/>
  <c r="K634" i="24"/>
  <c r="K633" i="24"/>
  <c r="J633" i="24"/>
  <c r="F631" i="24"/>
  <c r="E631" i="24"/>
  <c r="E626" i="24"/>
  <c r="F622" i="24"/>
  <c r="F617" i="24"/>
  <c r="F621" i="24"/>
  <c r="F619" i="24"/>
  <c r="G619" i="24"/>
  <c r="E622" i="24"/>
  <c r="K613" i="24"/>
  <c r="J613" i="24"/>
  <c r="F613" i="24"/>
  <c r="G613" i="24"/>
  <c r="E613" i="24"/>
  <c r="F609" i="24"/>
  <c r="F607" i="24"/>
  <c r="E609" i="24"/>
  <c r="K608" i="24"/>
  <c r="J608" i="24"/>
  <c r="K607" i="24"/>
  <c r="J607" i="24"/>
  <c r="J603" i="24"/>
  <c r="J602" i="24"/>
  <c r="K601" i="24"/>
  <c r="J601" i="24"/>
  <c r="F601" i="24"/>
  <c r="G601" i="24"/>
  <c r="L601" i="24"/>
  <c r="L604" i="24"/>
  <c r="E601" i="24"/>
  <c r="E604" i="24"/>
  <c r="K599" i="24"/>
  <c r="J599" i="24"/>
  <c r="F599" i="24"/>
  <c r="G599" i="24"/>
  <c r="E599" i="24"/>
  <c r="J596" i="24"/>
  <c r="K595" i="24"/>
  <c r="J595" i="24"/>
  <c r="F595" i="24"/>
  <c r="G595" i="24"/>
  <c r="E595" i="24"/>
  <c r="E597" i="24"/>
  <c r="F593" i="24"/>
  <c r="F585" i="24"/>
  <c r="E593" i="24"/>
  <c r="E585" i="24"/>
  <c r="E583" i="24"/>
  <c r="J584" i="24"/>
  <c r="J583" i="24"/>
  <c r="K582" i="24"/>
  <c r="J582" i="24"/>
  <c r="K581" i="24"/>
  <c r="J581" i="24"/>
  <c r="K580" i="24"/>
  <c r="J580" i="24"/>
  <c r="K577" i="24"/>
  <c r="J577" i="24"/>
  <c r="F577" i="24"/>
  <c r="G577" i="24"/>
  <c r="E577" i="24"/>
  <c r="K576" i="24"/>
  <c r="J576" i="24"/>
  <c r="F576" i="24"/>
  <c r="G576" i="24"/>
  <c r="E576" i="24"/>
  <c r="K575" i="24"/>
  <c r="F575" i="24"/>
  <c r="G575" i="24"/>
  <c r="E575" i="24"/>
  <c r="F573" i="24"/>
  <c r="F568" i="24"/>
  <c r="F566" i="24"/>
  <c r="F567" i="24"/>
  <c r="G567" i="24"/>
  <c r="E573" i="24"/>
  <c r="K567" i="24"/>
  <c r="J567" i="24"/>
  <c r="K566" i="24"/>
  <c r="J566" i="24"/>
  <c r="F564" i="24"/>
  <c r="F558" i="24"/>
  <c r="F563" i="24"/>
  <c r="E564" i="24"/>
  <c r="E558" i="24"/>
  <c r="J557" i="24"/>
  <c r="K556" i="24"/>
  <c r="J556" i="24"/>
  <c r="K555" i="24"/>
  <c r="J555" i="24"/>
  <c r="F553" i="24"/>
  <c r="E553" i="24"/>
  <c r="E546" i="24"/>
  <c r="K545" i="24"/>
  <c r="K544" i="24"/>
  <c r="J544" i="24"/>
  <c r="K543" i="24"/>
  <c r="J543" i="24"/>
  <c r="K542" i="24"/>
  <c r="J542" i="24"/>
  <c r="K538" i="24"/>
  <c r="K537" i="24"/>
  <c r="F537" i="24"/>
  <c r="E537" i="24"/>
  <c r="K536" i="24"/>
  <c r="J536" i="24"/>
  <c r="F536" i="24"/>
  <c r="E536" i="24"/>
  <c r="G536" i="24"/>
  <c r="M527" i="24"/>
  <c r="N527" i="24"/>
  <c r="K517" i="24"/>
  <c r="J517" i="24"/>
  <c r="F517" i="24"/>
  <c r="G517" i="24"/>
  <c r="E517" i="24"/>
  <c r="K515" i="24"/>
  <c r="J515" i="24"/>
  <c r="F515" i="24"/>
  <c r="G515" i="24"/>
  <c r="E515" i="24"/>
  <c r="F513" i="24"/>
  <c r="F512" i="24"/>
  <c r="G512" i="24"/>
  <c r="E513" i="24"/>
  <c r="E509" i="24"/>
  <c r="K512" i="24"/>
  <c r="J512" i="24"/>
  <c r="K511" i="24"/>
  <c r="J511" i="24"/>
  <c r="E511" i="24"/>
  <c r="K510" i="24"/>
  <c r="J510" i="24"/>
  <c r="K509" i="24"/>
  <c r="J509" i="24"/>
  <c r="F507" i="24"/>
  <c r="F502" i="24"/>
  <c r="F500" i="24"/>
  <c r="G500" i="24"/>
  <c r="J500" i="24"/>
  <c r="L500" i="24"/>
  <c r="L502" i="24"/>
  <c r="E507" i="24"/>
  <c r="K505" i="24"/>
  <c r="K504" i="24"/>
  <c r="J504" i="24"/>
  <c r="K501" i="24"/>
  <c r="K500" i="24"/>
  <c r="F498" i="24"/>
  <c r="E498" i="24"/>
  <c r="E493" i="24"/>
  <c r="F489" i="24"/>
  <c r="F484" i="24"/>
  <c r="F482" i="24"/>
  <c r="G482" i="24"/>
  <c r="E489" i="24"/>
  <c r="E484" i="24"/>
  <c r="K480" i="24"/>
  <c r="J480" i="24"/>
  <c r="F480" i="24"/>
  <c r="G480" i="24"/>
  <c r="E480" i="24"/>
  <c r="F476" i="24"/>
  <c r="E476" i="24"/>
  <c r="K475" i="24"/>
  <c r="J475" i="24"/>
  <c r="K474" i="24"/>
  <c r="J474" i="24"/>
  <c r="J470" i="24"/>
  <c r="J469" i="24"/>
  <c r="K468" i="24"/>
  <c r="J468" i="24"/>
  <c r="F468" i="24"/>
  <c r="E468" i="24"/>
  <c r="E471" i="24"/>
  <c r="K466" i="24"/>
  <c r="J466" i="24"/>
  <c r="F466" i="24"/>
  <c r="G466" i="24"/>
  <c r="E466" i="24"/>
  <c r="J463" i="24"/>
  <c r="K462" i="24"/>
  <c r="J462" i="24"/>
  <c r="F462" i="24"/>
  <c r="G462" i="24"/>
  <c r="E462" i="24"/>
  <c r="F460" i="24"/>
  <c r="E460" i="24"/>
  <c r="J451" i="24"/>
  <c r="J450" i="24"/>
  <c r="K449" i="24"/>
  <c r="J449" i="24"/>
  <c r="K448" i="24"/>
  <c r="J448" i="24"/>
  <c r="K447" i="24"/>
  <c r="J447" i="24"/>
  <c r="K444" i="24"/>
  <c r="J444" i="24"/>
  <c r="F444" i="24"/>
  <c r="G444" i="24"/>
  <c r="E444" i="24"/>
  <c r="K443" i="24"/>
  <c r="J443" i="24"/>
  <c r="F443" i="24"/>
  <c r="E443" i="24"/>
  <c r="K442" i="24"/>
  <c r="F442" i="24"/>
  <c r="G442" i="24"/>
  <c r="E442" i="24"/>
  <c r="F440" i="24"/>
  <c r="F435" i="24"/>
  <c r="E440" i="24"/>
  <c r="E435" i="24"/>
  <c r="K434" i="24"/>
  <c r="J434" i="24"/>
  <c r="K433" i="24"/>
  <c r="J433" i="24"/>
  <c r="F431" i="24"/>
  <c r="F425" i="24"/>
  <c r="E431" i="24"/>
  <c r="J424" i="24"/>
  <c r="K423" i="24"/>
  <c r="J423" i="24"/>
  <c r="K422" i="24"/>
  <c r="J422" i="24"/>
  <c r="F420" i="24"/>
  <c r="F413" i="24"/>
  <c r="E420" i="24"/>
  <c r="K412" i="24"/>
  <c r="K411" i="24"/>
  <c r="J411" i="24"/>
  <c r="K410" i="24"/>
  <c r="J410" i="24"/>
  <c r="K409" i="24"/>
  <c r="J409" i="24"/>
  <c r="K405" i="24"/>
  <c r="K404" i="24"/>
  <c r="F404" i="24"/>
  <c r="E404" i="24"/>
  <c r="G404" i="24"/>
  <c r="G406" i="24"/>
  <c r="K403" i="24"/>
  <c r="J403" i="24"/>
  <c r="F403" i="24"/>
  <c r="E403" i="24"/>
  <c r="G403" i="24"/>
  <c r="M394" i="24"/>
  <c r="K384" i="24"/>
  <c r="J384" i="24"/>
  <c r="F384" i="24"/>
  <c r="G384" i="24"/>
  <c r="E384" i="24"/>
  <c r="K382" i="24"/>
  <c r="J382" i="24"/>
  <c r="F382" i="24"/>
  <c r="G382" i="24"/>
  <c r="E382" i="24"/>
  <c r="F380" i="24"/>
  <c r="F376" i="24"/>
  <c r="G376" i="24"/>
  <c r="E380" i="24"/>
  <c r="E379" i="24"/>
  <c r="K379" i="24"/>
  <c r="J379" i="24"/>
  <c r="K378" i="24"/>
  <c r="J378" i="24"/>
  <c r="K377" i="24"/>
  <c r="J377" i="24"/>
  <c r="K376" i="24"/>
  <c r="J376" i="24"/>
  <c r="F374" i="24"/>
  <c r="E374" i="24"/>
  <c r="K372" i="24"/>
  <c r="K371" i="24"/>
  <c r="J371" i="24"/>
  <c r="E369" i="24"/>
  <c r="K368" i="24"/>
  <c r="K367" i="24"/>
  <c r="J367" i="24"/>
  <c r="F365" i="24"/>
  <c r="E365" i="24"/>
  <c r="E360" i="24"/>
  <c r="F356" i="24"/>
  <c r="E356" i="24"/>
  <c r="K347" i="24"/>
  <c r="J347" i="24"/>
  <c r="F347" i="24"/>
  <c r="G347" i="24"/>
  <c r="E347" i="24"/>
  <c r="F343" i="24"/>
  <c r="F341" i="24"/>
  <c r="G341" i="24"/>
  <c r="E343" i="24"/>
  <c r="K342" i="24"/>
  <c r="J342" i="24"/>
  <c r="K341" i="24"/>
  <c r="J341" i="24"/>
  <c r="J337" i="24"/>
  <c r="J336" i="24"/>
  <c r="K335" i="24"/>
  <c r="J335" i="24"/>
  <c r="F335" i="24"/>
  <c r="G335" i="24"/>
  <c r="E335" i="24"/>
  <c r="E338" i="24"/>
  <c r="K333" i="24"/>
  <c r="J333" i="24"/>
  <c r="F333" i="24"/>
  <c r="E333" i="24"/>
  <c r="J330" i="24"/>
  <c r="K329" i="24"/>
  <c r="J329" i="24"/>
  <c r="F329" i="24"/>
  <c r="E329" i="24"/>
  <c r="E331" i="24"/>
  <c r="F327" i="24"/>
  <c r="E327" i="24"/>
  <c r="J318" i="24"/>
  <c r="J317" i="24"/>
  <c r="K316" i="24"/>
  <c r="J316" i="24"/>
  <c r="K315" i="24"/>
  <c r="J315" i="24"/>
  <c r="K314" i="24"/>
  <c r="J314" i="24"/>
  <c r="K311" i="24"/>
  <c r="J311" i="24"/>
  <c r="F311" i="24"/>
  <c r="G311" i="24"/>
  <c r="E311" i="24"/>
  <c r="K310" i="24"/>
  <c r="J310" i="24"/>
  <c r="F310" i="24"/>
  <c r="G310" i="24"/>
  <c r="E310" i="24"/>
  <c r="K309" i="24"/>
  <c r="F309" i="24"/>
  <c r="E309" i="24"/>
  <c r="F307" i="24"/>
  <c r="F302" i="24"/>
  <c r="E307" i="24"/>
  <c r="E302" i="24"/>
  <c r="K301" i="24"/>
  <c r="J301" i="24"/>
  <c r="K300" i="24"/>
  <c r="J300" i="24"/>
  <c r="F298" i="24"/>
  <c r="E298" i="24"/>
  <c r="E292" i="24"/>
  <c r="J291" i="24"/>
  <c r="K290" i="24"/>
  <c r="J290" i="24"/>
  <c r="K289" i="24"/>
  <c r="J289" i="24"/>
  <c r="F287" i="24"/>
  <c r="E287" i="24"/>
  <c r="E280" i="24"/>
  <c r="K279" i="24"/>
  <c r="K278" i="24"/>
  <c r="J278" i="24"/>
  <c r="K277" i="24"/>
  <c r="J277" i="24"/>
  <c r="K276" i="24"/>
  <c r="J276" i="24"/>
  <c r="K272" i="24"/>
  <c r="K271" i="24"/>
  <c r="F271" i="24"/>
  <c r="E271" i="24"/>
  <c r="E273" i="24"/>
  <c r="K270" i="24"/>
  <c r="J270" i="24"/>
  <c r="F270" i="24"/>
  <c r="E270" i="24"/>
  <c r="M261" i="24"/>
  <c r="N261" i="24"/>
  <c r="K251" i="24"/>
  <c r="J251" i="24"/>
  <c r="F251" i="24"/>
  <c r="E251" i="24"/>
  <c r="K249" i="24"/>
  <c r="J249" i="24"/>
  <c r="F249" i="24"/>
  <c r="G249" i="24"/>
  <c r="F116" i="24"/>
  <c r="G116" i="24"/>
  <c r="G914" i="24"/>
  <c r="E249" i="24"/>
  <c r="F247" i="24"/>
  <c r="F245" i="24"/>
  <c r="G245" i="24"/>
  <c r="F246" i="24"/>
  <c r="G246" i="24"/>
  <c r="E247" i="24"/>
  <c r="K246" i="24"/>
  <c r="J246" i="24"/>
  <c r="K245" i="24"/>
  <c r="J245" i="24"/>
  <c r="K244" i="24"/>
  <c r="J244" i="24"/>
  <c r="K243" i="24"/>
  <c r="J243" i="24"/>
  <c r="F241" i="24"/>
  <c r="F236" i="24"/>
  <c r="E241" i="24"/>
  <c r="E236" i="24"/>
  <c r="E234" i="24"/>
  <c r="K239" i="24"/>
  <c r="K238" i="24"/>
  <c r="J238" i="24"/>
  <c r="K235" i="24"/>
  <c r="K234" i="24"/>
  <c r="J234" i="24"/>
  <c r="F232" i="24"/>
  <c r="E232" i="24"/>
  <c r="E227" i="24"/>
  <c r="E225" i="24"/>
  <c r="F223" i="24"/>
  <c r="F218" i="24"/>
  <c r="F216" i="24"/>
  <c r="G216" i="24"/>
  <c r="E223" i="24"/>
  <c r="K214" i="24"/>
  <c r="J214" i="24"/>
  <c r="F214" i="24"/>
  <c r="G214" i="24"/>
  <c r="E214" i="24"/>
  <c r="F210" i="24"/>
  <c r="F208" i="24"/>
  <c r="G208" i="24"/>
  <c r="E210" i="24"/>
  <c r="E208" i="24"/>
  <c r="K209" i="24"/>
  <c r="J209" i="24"/>
  <c r="K208" i="24"/>
  <c r="J208" i="24"/>
  <c r="J204" i="24"/>
  <c r="J203" i="24"/>
  <c r="K202" i="24"/>
  <c r="J202" i="24"/>
  <c r="F202" i="24"/>
  <c r="E202" i="24"/>
  <c r="E205" i="24"/>
  <c r="K200" i="24"/>
  <c r="J200" i="24"/>
  <c r="F200" i="24"/>
  <c r="G200" i="24"/>
  <c r="E200" i="24"/>
  <c r="J197" i="24"/>
  <c r="K196" i="24"/>
  <c r="J196" i="24"/>
  <c r="F196" i="24"/>
  <c r="F198" i="24"/>
  <c r="E196" i="24"/>
  <c r="E198" i="24"/>
  <c r="F194" i="24"/>
  <c r="E194" i="24"/>
  <c r="J192" i="24"/>
  <c r="J191" i="24"/>
  <c r="K190" i="24"/>
  <c r="J190" i="24"/>
  <c r="K189" i="24"/>
  <c r="J189" i="24"/>
  <c r="K188" i="24"/>
  <c r="J188" i="24"/>
  <c r="J185" i="24"/>
  <c r="J184" i="24"/>
  <c r="K183" i="24"/>
  <c r="J183" i="24"/>
  <c r="K182" i="24"/>
  <c r="J182" i="24"/>
  <c r="K181" i="24"/>
  <c r="J181" i="24"/>
  <c r="K178" i="24"/>
  <c r="J178" i="24"/>
  <c r="F178" i="24"/>
  <c r="G178" i="24"/>
  <c r="E178" i="24"/>
  <c r="K177" i="24"/>
  <c r="J177" i="24"/>
  <c r="F177" i="24"/>
  <c r="G177" i="24"/>
  <c r="E177" i="24"/>
  <c r="K176" i="24"/>
  <c r="F176" i="24"/>
  <c r="G176" i="24"/>
  <c r="E176" i="24"/>
  <c r="F174" i="24"/>
  <c r="F169" i="24"/>
  <c r="E174" i="24"/>
  <c r="K172" i="24"/>
  <c r="J172" i="24"/>
  <c r="K171" i="24"/>
  <c r="J171" i="24"/>
  <c r="K168" i="24"/>
  <c r="J168" i="24"/>
  <c r="K167" i="24"/>
  <c r="J167" i="24"/>
  <c r="F165" i="24"/>
  <c r="E165" i="24"/>
  <c r="E159" i="24"/>
  <c r="J163" i="24"/>
  <c r="K162" i="24"/>
  <c r="J162" i="24"/>
  <c r="K161" i="24"/>
  <c r="J161" i="24"/>
  <c r="J158" i="24"/>
  <c r="K157" i="24"/>
  <c r="J157" i="24"/>
  <c r="K156" i="24"/>
  <c r="J156" i="24"/>
  <c r="F154" i="24"/>
  <c r="F147" i="24"/>
  <c r="F144" i="24"/>
  <c r="E154" i="24"/>
  <c r="K146" i="24"/>
  <c r="K145" i="24"/>
  <c r="J145" i="24"/>
  <c r="K144" i="24"/>
  <c r="J144" i="24"/>
  <c r="K143" i="24"/>
  <c r="J143" i="24"/>
  <c r="K139" i="24"/>
  <c r="K138" i="24"/>
  <c r="F138" i="24"/>
  <c r="L138" i="24"/>
  <c r="L140" i="24"/>
  <c r="L141" i="24"/>
  <c r="I33" i="25"/>
  <c r="E138" i="24"/>
  <c r="E140" i="24"/>
  <c r="K137" i="24"/>
  <c r="J137" i="24"/>
  <c r="F137" i="24"/>
  <c r="E137" i="24"/>
  <c r="M128" i="24"/>
  <c r="N128" i="24"/>
  <c r="K118" i="24"/>
  <c r="J118" i="24"/>
  <c r="F118" i="24"/>
  <c r="G118" i="24"/>
  <c r="E118" i="24"/>
  <c r="K116" i="24"/>
  <c r="J116" i="24"/>
  <c r="E116" i="24"/>
  <c r="F114" i="24"/>
  <c r="F112" i="24"/>
  <c r="E114" i="24"/>
  <c r="K113" i="24"/>
  <c r="J113" i="24"/>
  <c r="K112" i="24"/>
  <c r="J112" i="24"/>
  <c r="K111" i="24"/>
  <c r="J111" i="24"/>
  <c r="K110" i="24"/>
  <c r="J110" i="24"/>
  <c r="F108" i="24"/>
  <c r="F103" i="24"/>
  <c r="E108" i="24"/>
  <c r="E103" i="24"/>
  <c r="K106" i="24"/>
  <c r="K105" i="24"/>
  <c r="J105" i="24"/>
  <c r="K102" i="24"/>
  <c r="K101" i="24"/>
  <c r="J101" i="24"/>
  <c r="F99" i="24"/>
  <c r="E99" i="24"/>
  <c r="E94" i="24"/>
  <c r="E92" i="24"/>
  <c r="K93" i="24"/>
  <c r="K92" i="24"/>
  <c r="J92" i="24"/>
  <c r="F90" i="24"/>
  <c r="E90" i="24"/>
  <c r="E85" i="24"/>
  <c r="E83" i="24"/>
  <c r="K84" i="24"/>
  <c r="K83" i="24"/>
  <c r="J83" i="24"/>
  <c r="K81" i="24"/>
  <c r="J81" i="24"/>
  <c r="F81" i="24"/>
  <c r="E81" i="24"/>
  <c r="F77" i="24"/>
  <c r="F75" i="24"/>
  <c r="E77" i="24"/>
  <c r="K76" i="24"/>
  <c r="J76" i="24"/>
  <c r="K75" i="24"/>
  <c r="J75" i="24"/>
  <c r="J71" i="24"/>
  <c r="J70" i="24"/>
  <c r="K69" i="24"/>
  <c r="J69" i="24"/>
  <c r="F69" i="24"/>
  <c r="E69" i="24"/>
  <c r="K67" i="24"/>
  <c r="J67" i="24"/>
  <c r="F67" i="24"/>
  <c r="G67" i="24"/>
  <c r="E67" i="24"/>
  <c r="J64" i="24"/>
  <c r="K63" i="24"/>
  <c r="J63" i="24"/>
  <c r="F63" i="24"/>
  <c r="E63" i="24"/>
  <c r="F61" i="24"/>
  <c r="F53" i="24"/>
  <c r="E61" i="24"/>
  <c r="E53" i="24"/>
  <c r="J52" i="24"/>
  <c r="J51" i="24"/>
  <c r="J50" i="24"/>
  <c r="K49" i="24"/>
  <c r="J49" i="24"/>
  <c r="K48" i="24"/>
  <c r="J48" i="24"/>
  <c r="K45" i="24"/>
  <c r="J45" i="24"/>
  <c r="F45" i="24"/>
  <c r="E45" i="24"/>
  <c r="K44" i="24"/>
  <c r="J44" i="24"/>
  <c r="F44" i="24"/>
  <c r="E44" i="24"/>
  <c r="K43" i="24"/>
  <c r="F43" i="24"/>
  <c r="E43" i="24"/>
  <c r="E46" i="24"/>
  <c r="F41" i="24"/>
  <c r="F36" i="24"/>
  <c r="E41" i="24"/>
  <c r="E36" i="24"/>
  <c r="E34" i="24"/>
  <c r="K35" i="24"/>
  <c r="J35" i="24"/>
  <c r="K34" i="24"/>
  <c r="J34" i="24"/>
  <c r="F32" i="24"/>
  <c r="F26" i="24"/>
  <c r="E32" i="24"/>
  <c r="E26" i="24"/>
  <c r="J25" i="24"/>
  <c r="K24" i="24"/>
  <c r="J24" i="24"/>
  <c r="K23" i="24"/>
  <c r="J23" i="24"/>
  <c r="F21" i="24"/>
  <c r="E21" i="24"/>
  <c r="E14" i="24"/>
  <c r="K13" i="24"/>
  <c r="K12" i="24"/>
  <c r="J12" i="24"/>
  <c r="K11" i="24"/>
  <c r="J11" i="24"/>
  <c r="J10" i="24"/>
  <c r="K6" i="24"/>
  <c r="K5" i="24"/>
  <c r="F5" i="24"/>
  <c r="E5" i="24"/>
  <c r="K4" i="24"/>
  <c r="J4" i="24"/>
  <c r="F4" i="24"/>
  <c r="E4" i="24"/>
  <c r="K138" i="22"/>
  <c r="K139" i="22"/>
  <c r="J143" i="22"/>
  <c r="K143" i="22"/>
  <c r="J144" i="22"/>
  <c r="K144" i="22"/>
  <c r="J145" i="22"/>
  <c r="K145" i="22"/>
  <c r="K146" i="22"/>
  <c r="J156" i="22"/>
  <c r="K156" i="22"/>
  <c r="J157" i="22"/>
  <c r="K157" i="22"/>
  <c r="J158" i="22"/>
  <c r="J161" i="22"/>
  <c r="K161" i="22"/>
  <c r="J162" i="22"/>
  <c r="K162" i="22"/>
  <c r="J163" i="22"/>
  <c r="J167" i="22"/>
  <c r="K167" i="22"/>
  <c r="J168" i="22"/>
  <c r="K168" i="22"/>
  <c r="J171" i="22"/>
  <c r="K171" i="22"/>
  <c r="J172" i="22"/>
  <c r="K172" i="22"/>
  <c r="K271" i="22"/>
  <c r="K272" i="22"/>
  <c r="J276" i="22"/>
  <c r="K276" i="22"/>
  <c r="J277" i="22"/>
  <c r="K277" i="22"/>
  <c r="J278" i="22"/>
  <c r="K278" i="22"/>
  <c r="K279" i="22"/>
  <c r="J289" i="22"/>
  <c r="K289" i="22"/>
  <c r="J290" i="22"/>
  <c r="K290" i="22"/>
  <c r="J291" i="22"/>
  <c r="J300" i="22"/>
  <c r="K300" i="22"/>
  <c r="J301" i="22"/>
  <c r="K301" i="22"/>
  <c r="K404" i="22"/>
  <c r="K405" i="22"/>
  <c r="J409" i="22"/>
  <c r="K409" i="22"/>
  <c r="J410" i="22"/>
  <c r="K410" i="22"/>
  <c r="J411" i="22"/>
  <c r="K411" i="22"/>
  <c r="K412" i="22"/>
  <c r="J422" i="22"/>
  <c r="K422" i="22"/>
  <c r="J423" i="22"/>
  <c r="K423" i="22"/>
  <c r="J424" i="22"/>
  <c r="J433" i="22"/>
  <c r="K433" i="22"/>
  <c r="J434" i="22"/>
  <c r="K434" i="22"/>
  <c r="K537" i="22"/>
  <c r="K538" i="22"/>
  <c r="J542" i="22"/>
  <c r="K542" i="22"/>
  <c r="J543" i="22"/>
  <c r="K543" i="22"/>
  <c r="J544" i="22"/>
  <c r="K544" i="22"/>
  <c r="K545" i="22"/>
  <c r="J555" i="22"/>
  <c r="K555" i="22"/>
  <c r="J556" i="22"/>
  <c r="K556" i="22"/>
  <c r="J557" i="22"/>
  <c r="J566" i="22"/>
  <c r="K566" i="22"/>
  <c r="J567" i="22"/>
  <c r="K567" i="22"/>
  <c r="J181" i="22"/>
  <c r="K181" i="22"/>
  <c r="J182" i="22"/>
  <c r="K182" i="22"/>
  <c r="J183" i="22"/>
  <c r="K183" i="22"/>
  <c r="J184" i="22"/>
  <c r="J185" i="22"/>
  <c r="J188" i="22"/>
  <c r="K188" i="22"/>
  <c r="J189" i="22"/>
  <c r="K189" i="22"/>
  <c r="J190" i="22"/>
  <c r="K190" i="22"/>
  <c r="J191" i="22"/>
  <c r="J192" i="22"/>
  <c r="J196" i="22"/>
  <c r="K196" i="22"/>
  <c r="J197" i="22"/>
  <c r="J200" i="22"/>
  <c r="F200" i="22"/>
  <c r="G200" i="22"/>
  <c r="L200" i="22"/>
  <c r="K200" i="22"/>
  <c r="J202" i="22"/>
  <c r="K202" i="22"/>
  <c r="J203" i="22"/>
  <c r="J204" i="22"/>
  <c r="J208" i="22"/>
  <c r="K208" i="22"/>
  <c r="J209" i="22"/>
  <c r="K209" i="22"/>
  <c r="J214" i="22"/>
  <c r="K214" i="22"/>
  <c r="J216" i="22"/>
  <c r="K216" i="22"/>
  <c r="K217" i="22"/>
  <c r="J220" i="22"/>
  <c r="K220" i="22"/>
  <c r="K221" i="22"/>
  <c r="J225" i="22"/>
  <c r="K225" i="22"/>
  <c r="K226" i="22"/>
  <c r="J229" i="22"/>
  <c r="K229" i="22"/>
  <c r="K230" i="22"/>
  <c r="J314" i="22"/>
  <c r="K314" i="22"/>
  <c r="J315" i="22"/>
  <c r="K315" i="22"/>
  <c r="J316" i="22"/>
  <c r="K316" i="22"/>
  <c r="J317" i="22"/>
  <c r="J318" i="22"/>
  <c r="J329" i="22"/>
  <c r="F329" i="22"/>
  <c r="G329" i="22"/>
  <c r="L329" i="22"/>
  <c r="K329" i="22"/>
  <c r="J330" i="22"/>
  <c r="J333" i="22"/>
  <c r="K333" i="22"/>
  <c r="J335" i="22"/>
  <c r="K335" i="22"/>
  <c r="J336" i="22"/>
  <c r="J337" i="22"/>
  <c r="J341" i="22"/>
  <c r="K341" i="22"/>
  <c r="J342" i="22"/>
  <c r="K342" i="22"/>
  <c r="J347" i="22"/>
  <c r="K347" i="22"/>
  <c r="J349" i="22"/>
  <c r="K349" i="22"/>
  <c r="K350" i="22"/>
  <c r="J353" i="22"/>
  <c r="K353" i="22"/>
  <c r="K354" i="22"/>
  <c r="J358" i="22"/>
  <c r="K358" i="22"/>
  <c r="K359" i="22"/>
  <c r="J362" i="22"/>
  <c r="K362" i="22"/>
  <c r="K363" i="22"/>
  <c r="J367" i="22"/>
  <c r="K367" i="22"/>
  <c r="K368" i="22"/>
  <c r="J371" i="22"/>
  <c r="K371" i="22"/>
  <c r="K372" i="22"/>
  <c r="J447" i="22"/>
  <c r="K447" i="22"/>
  <c r="J448" i="22"/>
  <c r="K448" i="22"/>
  <c r="J449" i="22"/>
  <c r="K449" i="22"/>
  <c r="J450" i="22"/>
  <c r="J451" i="22"/>
  <c r="J462" i="22"/>
  <c r="K462" i="22"/>
  <c r="J463" i="22"/>
  <c r="J466" i="22"/>
  <c r="K466" i="22"/>
  <c r="J468" i="22"/>
  <c r="K468" i="22"/>
  <c r="J469" i="22"/>
  <c r="J470" i="22"/>
  <c r="J474" i="22"/>
  <c r="K474" i="22"/>
  <c r="J475" i="22"/>
  <c r="K475" i="22"/>
  <c r="J480" i="22"/>
  <c r="K480" i="22"/>
  <c r="J482" i="22"/>
  <c r="K482" i="22"/>
  <c r="K483" i="22"/>
  <c r="J486" i="22"/>
  <c r="K486" i="22"/>
  <c r="K487" i="22"/>
  <c r="J491" i="22"/>
  <c r="K491" i="22"/>
  <c r="K492" i="22"/>
  <c r="J495" i="22"/>
  <c r="K495" i="22"/>
  <c r="K496" i="22"/>
  <c r="J500" i="22"/>
  <c r="K500" i="22"/>
  <c r="K501" i="22"/>
  <c r="J504" i="22"/>
  <c r="K504" i="22"/>
  <c r="K505" i="22"/>
  <c r="J580" i="22"/>
  <c r="K580" i="22"/>
  <c r="J581" i="22"/>
  <c r="K581" i="22"/>
  <c r="J582" i="22"/>
  <c r="K582" i="22"/>
  <c r="J583" i="22"/>
  <c r="F593" i="22"/>
  <c r="F585" i="22"/>
  <c r="F583" i="22"/>
  <c r="G583" i="22"/>
  <c r="L583" i="22"/>
  <c r="J584" i="22"/>
  <c r="J595" i="22"/>
  <c r="K595" i="22"/>
  <c r="J596" i="22"/>
  <c r="J599" i="22"/>
  <c r="K599" i="22"/>
  <c r="J601" i="22"/>
  <c r="K601" i="22"/>
  <c r="J602" i="22"/>
  <c r="J603" i="22"/>
  <c r="J607" i="22"/>
  <c r="K607" i="22"/>
  <c r="J608" i="22"/>
  <c r="K608" i="22"/>
  <c r="J613" i="22"/>
  <c r="K613" i="22"/>
  <c r="J615" i="22"/>
  <c r="K615" i="22"/>
  <c r="K616" i="22"/>
  <c r="J619" i="22"/>
  <c r="K619" i="22"/>
  <c r="K620" i="22"/>
  <c r="J624" i="22"/>
  <c r="K624" i="22"/>
  <c r="K625" i="22"/>
  <c r="J628" i="22"/>
  <c r="K628" i="22"/>
  <c r="K629" i="22"/>
  <c r="J633" i="22"/>
  <c r="K633" i="22"/>
  <c r="K634" i="22"/>
  <c r="J637" i="22"/>
  <c r="K637" i="22"/>
  <c r="K638" i="22"/>
  <c r="J137" i="22"/>
  <c r="K137" i="22"/>
  <c r="K176" i="22"/>
  <c r="J177" i="22"/>
  <c r="K177" i="22"/>
  <c r="J178" i="22"/>
  <c r="K178" i="22"/>
  <c r="J234" i="22"/>
  <c r="K234" i="22"/>
  <c r="K235" i="22"/>
  <c r="J238" i="22"/>
  <c r="K238" i="22"/>
  <c r="K239" i="22"/>
  <c r="J243" i="22"/>
  <c r="K243" i="22"/>
  <c r="J244" i="22"/>
  <c r="K244" i="22"/>
  <c r="J245" i="22"/>
  <c r="K245" i="22"/>
  <c r="J246" i="22"/>
  <c r="K246" i="22"/>
  <c r="J249" i="22"/>
  <c r="F249" i="22"/>
  <c r="G249" i="22"/>
  <c r="L249" i="22"/>
  <c r="I48" i="23"/>
  <c r="K249" i="22"/>
  <c r="J251" i="22"/>
  <c r="K251" i="22"/>
  <c r="J270" i="22"/>
  <c r="K270" i="22"/>
  <c r="K309" i="22"/>
  <c r="J310" i="22"/>
  <c r="K310" i="22"/>
  <c r="J311" i="22"/>
  <c r="K311" i="22"/>
  <c r="J376" i="22"/>
  <c r="K376" i="22"/>
  <c r="J377" i="22"/>
  <c r="K377" i="22"/>
  <c r="J378" i="22"/>
  <c r="K378" i="22"/>
  <c r="J379" i="22"/>
  <c r="K379" i="22"/>
  <c r="J382" i="22"/>
  <c r="K382" i="22"/>
  <c r="J384" i="22"/>
  <c r="K384" i="22"/>
  <c r="L926" i="22"/>
  <c r="L904" i="22"/>
  <c r="L900" i="22"/>
  <c r="L895" i="22"/>
  <c r="L891" i="22"/>
  <c r="L886" i="22"/>
  <c r="L882" i="22"/>
  <c r="M869" i="22"/>
  <c r="L869" i="22"/>
  <c r="I869" i="22"/>
  <c r="G869" i="22"/>
  <c r="F869" i="22"/>
  <c r="E869" i="22"/>
  <c r="M868" i="22"/>
  <c r="L868" i="22"/>
  <c r="I868" i="22"/>
  <c r="G868" i="22"/>
  <c r="F868" i="22"/>
  <c r="E868" i="22"/>
  <c r="L817" i="22"/>
  <c r="L811" i="22"/>
  <c r="L802" i="22"/>
  <c r="M793" i="22"/>
  <c r="N793" i="22"/>
  <c r="K783" i="22"/>
  <c r="J783" i="22"/>
  <c r="F783" i="22"/>
  <c r="G783" i="22"/>
  <c r="L783" i="22"/>
  <c r="E783" i="22"/>
  <c r="K781" i="22"/>
  <c r="J781" i="22"/>
  <c r="F781" i="22"/>
  <c r="G781" i="22"/>
  <c r="E781" i="22"/>
  <c r="F779" i="22"/>
  <c r="F775" i="22"/>
  <c r="G775" i="22"/>
  <c r="E779" i="22"/>
  <c r="E775" i="22"/>
  <c r="K778" i="22"/>
  <c r="J778" i="22"/>
  <c r="F778" i="22"/>
  <c r="G778" i="22"/>
  <c r="K777" i="22"/>
  <c r="J777" i="22"/>
  <c r="F777" i="22"/>
  <c r="G777" i="22"/>
  <c r="K776" i="22"/>
  <c r="J776" i="22"/>
  <c r="F776" i="22"/>
  <c r="G776" i="22"/>
  <c r="K775" i="22"/>
  <c r="J775" i="22"/>
  <c r="F773" i="22"/>
  <c r="F768" i="22"/>
  <c r="F766" i="22"/>
  <c r="G766" i="22"/>
  <c r="E773" i="22"/>
  <c r="E768" i="22"/>
  <c r="K771" i="22"/>
  <c r="K770" i="22"/>
  <c r="J770" i="22"/>
  <c r="K767" i="22"/>
  <c r="K766" i="22"/>
  <c r="J766" i="22"/>
  <c r="F764" i="22"/>
  <c r="F759" i="22"/>
  <c r="F757" i="22"/>
  <c r="G757" i="22"/>
  <c r="E764" i="22"/>
  <c r="E759" i="22"/>
  <c r="K762" i="22"/>
  <c r="K761" i="22"/>
  <c r="J761" i="22"/>
  <c r="K758" i="22"/>
  <c r="K757" i="22"/>
  <c r="J757" i="22"/>
  <c r="F755" i="22"/>
  <c r="F750" i="22"/>
  <c r="E755" i="22"/>
  <c r="E750" i="22"/>
  <c r="E748" i="22"/>
  <c r="K753" i="22"/>
  <c r="K752" i="22"/>
  <c r="J752" i="22"/>
  <c r="K749" i="22"/>
  <c r="K748" i="22"/>
  <c r="J748" i="22"/>
  <c r="K746" i="22"/>
  <c r="J746" i="22"/>
  <c r="F746" i="22"/>
  <c r="G746" i="22"/>
  <c r="E746" i="22"/>
  <c r="F742" i="22"/>
  <c r="E742" i="22"/>
  <c r="E740" i="22"/>
  <c r="E741" i="22"/>
  <c r="K741" i="22"/>
  <c r="J741" i="22"/>
  <c r="K740" i="22"/>
  <c r="J740" i="22"/>
  <c r="J736" i="22"/>
  <c r="J735" i="22"/>
  <c r="K734" i="22"/>
  <c r="J734" i="22"/>
  <c r="F734" i="22"/>
  <c r="E734" i="22"/>
  <c r="E737" i="22"/>
  <c r="K732" i="22"/>
  <c r="J732" i="22"/>
  <c r="F732" i="22"/>
  <c r="G732" i="22"/>
  <c r="E732" i="22"/>
  <c r="J729" i="22"/>
  <c r="K728" i="22"/>
  <c r="J728" i="22"/>
  <c r="F728" i="22"/>
  <c r="G728" i="22"/>
  <c r="E728" i="22"/>
  <c r="E730" i="22"/>
  <c r="F726" i="22"/>
  <c r="F718" i="22"/>
  <c r="E726" i="22"/>
  <c r="J724" i="22"/>
  <c r="J723" i="22"/>
  <c r="K722" i="22"/>
  <c r="J722" i="22"/>
  <c r="K721" i="22"/>
  <c r="J721" i="22"/>
  <c r="K720" i="22"/>
  <c r="J720" i="22"/>
  <c r="E718" i="22"/>
  <c r="E725" i="22"/>
  <c r="J717" i="22"/>
  <c r="J716" i="22"/>
  <c r="K715" i="22"/>
  <c r="J715" i="22"/>
  <c r="K714" i="22"/>
  <c r="J714" i="22"/>
  <c r="K713" i="22"/>
  <c r="J713" i="22"/>
  <c r="K710" i="22"/>
  <c r="J710" i="22"/>
  <c r="F710" i="22"/>
  <c r="G710" i="22"/>
  <c r="E710" i="22"/>
  <c r="K709" i="22"/>
  <c r="I709" i="22"/>
  <c r="M709" i="22"/>
  <c r="J709" i="22"/>
  <c r="F709" i="22"/>
  <c r="G709" i="22"/>
  <c r="E709" i="22"/>
  <c r="K708" i="22"/>
  <c r="F706" i="22"/>
  <c r="F701" i="22"/>
  <c r="E706" i="22"/>
  <c r="E701" i="22"/>
  <c r="E705" i="22"/>
  <c r="K704" i="22"/>
  <c r="J704" i="22"/>
  <c r="K703" i="22"/>
  <c r="J703" i="22"/>
  <c r="K700" i="22"/>
  <c r="J700" i="22"/>
  <c r="K699" i="22"/>
  <c r="J699" i="22"/>
  <c r="F697" i="22"/>
  <c r="E697" i="22"/>
  <c r="E691" i="22"/>
  <c r="J695" i="22"/>
  <c r="K694" i="22"/>
  <c r="J694" i="22"/>
  <c r="K693" i="22"/>
  <c r="J693" i="22"/>
  <c r="J690" i="22"/>
  <c r="K689" i="22"/>
  <c r="J689" i="22"/>
  <c r="K688" i="22"/>
  <c r="J688" i="22"/>
  <c r="F686" i="22"/>
  <c r="E686" i="22"/>
  <c r="K684" i="22"/>
  <c r="K683" i="22"/>
  <c r="J683" i="22"/>
  <c r="K682" i="22"/>
  <c r="K671" i="22"/>
  <c r="J682" i="22"/>
  <c r="K681" i="22"/>
  <c r="J681" i="22"/>
  <c r="J670" i="22"/>
  <c r="F679" i="22"/>
  <c r="F676" i="22"/>
  <c r="G676" i="22"/>
  <c r="K678" i="22"/>
  <c r="K677" i="22"/>
  <c r="J677" i="22"/>
  <c r="K676" i="22"/>
  <c r="J676" i="22"/>
  <c r="K675" i="22"/>
  <c r="J675" i="22"/>
  <c r="F670" i="22"/>
  <c r="E670" i="22"/>
  <c r="E672" i="22"/>
  <c r="K669" i="22"/>
  <c r="J669" i="22"/>
  <c r="F669" i="22"/>
  <c r="E669" i="22"/>
  <c r="M660" i="22"/>
  <c r="N660" i="22"/>
  <c r="K650" i="22"/>
  <c r="J650" i="22"/>
  <c r="F650" i="22"/>
  <c r="G650" i="22"/>
  <c r="E650" i="22"/>
  <c r="K648" i="22"/>
  <c r="J648" i="22"/>
  <c r="F648" i="22"/>
  <c r="G648" i="22"/>
  <c r="E648" i="22"/>
  <c r="F646" i="22"/>
  <c r="E646" i="22"/>
  <c r="K645" i="22"/>
  <c r="J645" i="22"/>
  <c r="K644" i="22"/>
  <c r="J644" i="22"/>
  <c r="K643" i="22"/>
  <c r="J643" i="22"/>
  <c r="K642" i="22"/>
  <c r="J642" i="22"/>
  <c r="F640" i="22"/>
  <c r="F635" i="22"/>
  <c r="E640" i="22"/>
  <c r="F631" i="22"/>
  <c r="F626" i="22"/>
  <c r="F630" i="22"/>
  <c r="F628" i="22"/>
  <c r="G628" i="22"/>
  <c r="E631" i="22"/>
  <c r="F622" i="22"/>
  <c r="F617" i="22"/>
  <c r="F615" i="22"/>
  <c r="G615" i="22"/>
  <c r="E622" i="22"/>
  <c r="F613" i="22"/>
  <c r="E613" i="22"/>
  <c r="F609" i="22"/>
  <c r="E609" i="22"/>
  <c r="E607" i="22"/>
  <c r="F607" i="22"/>
  <c r="G607" i="22"/>
  <c r="F601" i="22"/>
  <c r="E601" i="22"/>
  <c r="E604" i="22"/>
  <c r="F599" i="22"/>
  <c r="G599" i="22"/>
  <c r="E599" i="22"/>
  <c r="F595" i="22"/>
  <c r="E595" i="22"/>
  <c r="E597" i="22"/>
  <c r="E593" i="22"/>
  <c r="E585" i="22"/>
  <c r="K577" i="22"/>
  <c r="J577" i="22"/>
  <c r="F577" i="22"/>
  <c r="G577" i="22"/>
  <c r="E577" i="22"/>
  <c r="K576" i="22"/>
  <c r="J576" i="22"/>
  <c r="F576" i="22"/>
  <c r="E576" i="22"/>
  <c r="K575" i="22"/>
  <c r="F575" i="22"/>
  <c r="G575" i="22"/>
  <c r="L575" i="22"/>
  <c r="E575" i="22"/>
  <c r="F573" i="22"/>
  <c r="E573" i="22"/>
  <c r="F564" i="22"/>
  <c r="E564" i="22"/>
  <c r="F553" i="22"/>
  <c r="F546" i="22"/>
  <c r="E553" i="22"/>
  <c r="E546" i="22"/>
  <c r="E552" i="22"/>
  <c r="E548" i="22"/>
  <c r="F537" i="22"/>
  <c r="L537" i="22"/>
  <c r="L539" i="22"/>
  <c r="E537" i="22"/>
  <c r="G537" i="22"/>
  <c r="G539" i="22"/>
  <c r="K536" i="22"/>
  <c r="J536" i="22"/>
  <c r="F536" i="22"/>
  <c r="E536" i="22"/>
  <c r="G536" i="22"/>
  <c r="M527" i="22"/>
  <c r="N527" i="22"/>
  <c r="K517" i="22"/>
  <c r="J517" i="22"/>
  <c r="F517" i="22"/>
  <c r="G517" i="22"/>
  <c r="E517" i="22"/>
  <c r="K515" i="22"/>
  <c r="J515" i="22"/>
  <c r="F515" i="22"/>
  <c r="G515" i="22"/>
  <c r="E515" i="22"/>
  <c r="F513" i="22"/>
  <c r="F512" i="22"/>
  <c r="G512" i="22"/>
  <c r="E513" i="22"/>
  <c r="E511" i="22"/>
  <c r="K512" i="22"/>
  <c r="J512" i="22"/>
  <c r="K511" i="22"/>
  <c r="J511" i="22"/>
  <c r="F511" i="22"/>
  <c r="G511" i="22"/>
  <c r="K510" i="22"/>
  <c r="J510" i="22"/>
  <c r="K509" i="22"/>
  <c r="J509" i="22"/>
  <c r="F507" i="22"/>
  <c r="E507" i="22"/>
  <c r="E502" i="22"/>
  <c r="E500" i="22"/>
  <c r="F498" i="22"/>
  <c r="F493" i="22"/>
  <c r="E498" i="22"/>
  <c r="F489" i="22"/>
  <c r="F484" i="22"/>
  <c r="F482" i="22"/>
  <c r="G482" i="22"/>
  <c r="E489" i="22"/>
  <c r="E484" i="22"/>
  <c r="E482" i="22"/>
  <c r="F480" i="22"/>
  <c r="G480" i="22"/>
  <c r="E480" i="22"/>
  <c r="F476" i="22"/>
  <c r="F474" i="22"/>
  <c r="G474" i="22"/>
  <c r="E476" i="22"/>
  <c r="E474" i="22"/>
  <c r="F468" i="22"/>
  <c r="G468" i="22"/>
  <c r="E468" i="22"/>
  <c r="E471" i="22"/>
  <c r="F466" i="22"/>
  <c r="G466" i="22"/>
  <c r="E466" i="22"/>
  <c r="F462" i="22"/>
  <c r="E462" i="22"/>
  <c r="E464" i="22"/>
  <c r="F460" i="22"/>
  <c r="F452" i="22"/>
  <c r="E460" i="22"/>
  <c r="K444" i="22"/>
  <c r="J444" i="22"/>
  <c r="F444" i="22"/>
  <c r="G444" i="22"/>
  <c r="E444" i="22"/>
  <c r="K443" i="22"/>
  <c r="J443" i="22"/>
  <c r="F443" i="22"/>
  <c r="G443" i="22"/>
  <c r="E443" i="22"/>
  <c r="K442" i="22"/>
  <c r="F442" i="22"/>
  <c r="E442" i="22"/>
  <c r="F440" i="22"/>
  <c r="F435" i="22"/>
  <c r="F433" i="22"/>
  <c r="E440" i="22"/>
  <c r="F431" i="22"/>
  <c r="E431" i="22"/>
  <c r="E425" i="22"/>
  <c r="E422" i="22"/>
  <c r="F420" i="22"/>
  <c r="E420" i="22"/>
  <c r="E413" i="22"/>
  <c r="E419" i="22"/>
  <c r="F404" i="22"/>
  <c r="L404" i="22"/>
  <c r="L406" i="22"/>
  <c r="E404" i="22"/>
  <c r="K403" i="22"/>
  <c r="J403" i="22"/>
  <c r="F403" i="22"/>
  <c r="E403" i="22"/>
  <c r="M394" i="22"/>
  <c r="N394" i="22"/>
  <c r="F384" i="22"/>
  <c r="G384" i="22"/>
  <c r="E384" i="22"/>
  <c r="F382" i="22"/>
  <c r="G382" i="22"/>
  <c r="E382" i="22"/>
  <c r="F380" i="22"/>
  <c r="E380" i="22"/>
  <c r="E376" i="22"/>
  <c r="F374" i="22"/>
  <c r="E374" i="22"/>
  <c r="E369" i="22"/>
  <c r="F369" i="22"/>
  <c r="F367" i="22"/>
  <c r="G367" i="22"/>
  <c r="F365" i="22"/>
  <c r="E365" i="22"/>
  <c r="E360" i="22"/>
  <c r="E358" i="22"/>
  <c r="F356" i="22"/>
  <c r="F351" i="22"/>
  <c r="F349" i="22"/>
  <c r="G349" i="22"/>
  <c r="E356" i="22"/>
  <c r="E351" i="22"/>
  <c r="F347" i="22"/>
  <c r="E347" i="22"/>
  <c r="F343" i="22"/>
  <c r="E343" i="22"/>
  <c r="E341" i="22"/>
  <c r="E342" i="22"/>
  <c r="F335" i="22"/>
  <c r="E335" i="22"/>
  <c r="E338" i="22"/>
  <c r="F333" i="22"/>
  <c r="G333" i="22"/>
  <c r="E333" i="22"/>
  <c r="E329" i="22"/>
  <c r="E331" i="22"/>
  <c r="F327" i="22"/>
  <c r="E327" i="22"/>
  <c r="E319" i="22"/>
  <c r="F311" i="22"/>
  <c r="G311" i="22"/>
  <c r="E311" i="22"/>
  <c r="F310" i="22"/>
  <c r="E310" i="22"/>
  <c r="F309" i="22"/>
  <c r="G309" i="22"/>
  <c r="E309" i="22"/>
  <c r="F307" i="22"/>
  <c r="E307" i="22"/>
  <c r="E302" i="22"/>
  <c r="F298" i="22"/>
  <c r="E298" i="22"/>
  <c r="E292" i="22"/>
  <c r="E289" i="22"/>
  <c r="F292" i="22"/>
  <c r="F289" i="22"/>
  <c r="G289" i="22"/>
  <c r="F287" i="22"/>
  <c r="E287" i="22"/>
  <c r="F271" i="22"/>
  <c r="I271" i="22"/>
  <c r="E271" i="22"/>
  <c r="F270" i="22"/>
  <c r="E270" i="22"/>
  <c r="G270" i="22"/>
  <c r="M261" i="22"/>
  <c r="N261" i="22"/>
  <c r="F251" i="22"/>
  <c r="E251" i="22"/>
  <c r="E249" i="22"/>
  <c r="F247" i="22"/>
  <c r="F245" i="22"/>
  <c r="G245" i="22"/>
  <c r="E247" i="22"/>
  <c r="F243" i="22"/>
  <c r="G243" i="22"/>
  <c r="F241" i="22"/>
  <c r="F236" i="22"/>
  <c r="E241" i="22"/>
  <c r="E236" i="22"/>
  <c r="E240" i="22"/>
  <c r="E238" i="22"/>
  <c r="F234" i="22"/>
  <c r="G234" i="22"/>
  <c r="F232" i="22"/>
  <c r="E232" i="22"/>
  <c r="E227" i="22"/>
  <c r="E225" i="22"/>
  <c r="F223" i="22"/>
  <c r="E223" i="22"/>
  <c r="F218" i="22"/>
  <c r="F216" i="22"/>
  <c r="G216" i="22"/>
  <c r="F214" i="22"/>
  <c r="E214" i="22"/>
  <c r="F210" i="22"/>
  <c r="F208" i="22"/>
  <c r="G208" i="22"/>
  <c r="E210" i="22"/>
  <c r="F202" i="22"/>
  <c r="F205" i="22"/>
  <c r="E202" i="22"/>
  <c r="E205" i="22"/>
  <c r="E200" i="22"/>
  <c r="F196" i="22"/>
  <c r="G196" i="22"/>
  <c r="E196" i="22"/>
  <c r="E198" i="22"/>
  <c r="F194" i="22"/>
  <c r="F186" i="22"/>
  <c r="F184" i="22"/>
  <c r="G184" i="22"/>
  <c r="E194" i="22"/>
  <c r="F178" i="22"/>
  <c r="G178" i="22"/>
  <c r="E178" i="22"/>
  <c r="F177" i="22"/>
  <c r="E177" i="22"/>
  <c r="F176" i="22"/>
  <c r="G176" i="22"/>
  <c r="L176" i="22"/>
  <c r="E176" i="22"/>
  <c r="F174" i="22"/>
  <c r="E174" i="22"/>
  <c r="F165" i="22"/>
  <c r="F159" i="22"/>
  <c r="F164" i="22"/>
  <c r="E165" i="22"/>
  <c r="E159" i="22"/>
  <c r="F154" i="22"/>
  <c r="F147" i="22"/>
  <c r="E154" i="22"/>
  <c r="E147" i="22"/>
  <c r="F138" i="22"/>
  <c r="L138" i="22"/>
  <c r="L140" i="22"/>
  <c r="E138" i="22"/>
  <c r="F137" i="22"/>
  <c r="E137" i="22"/>
  <c r="M128" i="22"/>
  <c r="M926" i="22"/>
  <c r="K118" i="22"/>
  <c r="J118" i="22"/>
  <c r="F118" i="22"/>
  <c r="E118" i="22"/>
  <c r="K116" i="22"/>
  <c r="J116" i="22"/>
  <c r="F116" i="22"/>
  <c r="E116" i="22"/>
  <c r="F114" i="22"/>
  <c r="F112" i="22"/>
  <c r="G112" i="22"/>
  <c r="E114" i="22"/>
  <c r="E110" i="22"/>
  <c r="K113" i="22"/>
  <c r="J113" i="22"/>
  <c r="K112" i="22"/>
  <c r="J112" i="22"/>
  <c r="K111" i="22"/>
  <c r="J111" i="22"/>
  <c r="E111" i="22"/>
  <c r="K110" i="22"/>
  <c r="J110" i="22"/>
  <c r="F108" i="22"/>
  <c r="F103" i="22"/>
  <c r="F101" i="22"/>
  <c r="E108" i="22"/>
  <c r="K106" i="22"/>
  <c r="K105" i="22"/>
  <c r="J105" i="22"/>
  <c r="E103" i="22"/>
  <c r="K102" i="22"/>
  <c r="K101" i="22"/>
  <c r="J101" i="22"/>
  <c r="F99" i="22"/>
  <c r="F94" i="22"/>
  <c r="F92" i="22"/>
  <c r="E99" i="22"/>
  <c r="E94" i="22"/>
  <c r="K93" i="22"/>
  <c r="K92" i="22"/>
  <c r="J92" i="22"/>
  <c r="F90" i="22"/>
  <c r="F85" i="22"/>
  <c r="E90" i="22"/>
  <c r="E85" i="22"/>
  <c r="E83" i="22"/>
  <c r="K84" i="22"/>
  <c r="K83" i="22"/>
  <c r="J83" i="22"/>
  <c r="K81" i="22"/>
  <c r="J81" i="22"/>
  <c r="F81" i="22"/>
  <c r="G81" i="22"/>
  <c r="E81" i="22"/>
  <c r="F77" i="22"/>
  <c r="F75" i="22"/>
  <c r="F76" i="22"/>
  <c r="G76" i="22"/>
  <c r="E77" i="22"/>
  <c r="E75" i="22"/>
  <c r="K76" i="22"/>
  <c r="J76" i="22"/>
  <c r="K75" i="22"/>
  <c r="J75" i="22"/>
  <c r="J71" i="22"/>
  <c r="J70" i="22"/>
  <c r="K69" i="22"/>
  <c r="J69" i="22"/>
  <c r="F69" i="22"/>
  <c r="G69" i="22"/>
  <c r="E69" i="22"/>
  <c r="K67" i="22"/>
  <c r="J67" i="22"/>
  <c r="F67" i="22"/>
  <c r="G67" i="22"/>
  <c r="E67" i="22"/>
  <c r="J64" i="22"/>
  <c r="K63" i="22"/>
  <c r="J63" i="22"/>
  <c r="F63" i="22"/>
  <c r="E63" i="22"/>
  <c r="E65" i="22"/>
  <c r="F61" i="22"/>
  <c r="F53" i="22"/>
  <c r="E61" i="22"/>
  <c r="E53" i="22"/>
  <c r="J52" i="22"/>
  <c r="J51" i="22"/>
  <c r="J50" i="22"/>
  <c r="K49" i="22"/>
  <c r="J49" i="22"/>
  <c r="K48" i="22"/>
  <c r="J48" i="22"/>
  <c r="K45" i="22"/>
  <c r="J45" i="22"/>
  <c r="F45" i="22"/>
  <c r="E45" i="22"/>
  <c r="K44" i="22"/>
  <c r="J44" i="22"/>
  <c r="F44" i="22"/>
  <c r="E44" i="22"/>
  <c r="K43" i="22"/>
  <c r="F43" i="22"/>
  <c r="E43" i="22"/>
  <c r="F41" i="22"/>
  <c r="E41" i="22"/>
  <c r="E36" i="22"/>
  <c r="K35" i="22"/>
  <c r="J35" i="22"/>
  <c r="K34" i="22"/>
  <c r="J34" i="22"/>
  <c r="F32" i="22"/>
  <c r="F26" i="22"/>
  <c r="F31" i="22"/>
  <c r="E32" i="22"/>
  <c r="J25" i="22"/>
  <c r="K24" i="22"/>
  <c r="J24" i="22"/>
  <c r="K23" i="22"/>
  <c r="J23" i="22"/>
  <c r="F21" i="22"/>
  <c r="F14" i="22"/>
  <c r="F10" i="22"/>
  <c r="E21" i="22"/>
  <c r="E14" i="22"/>
  <c r="E11" i="22"/>
  <c r="K6" i="22"/>
  <c r="K5" i="22"/>
  <c r="K13" i="22"/>
  <c r="K12" i="22"/>
  <c r="J12" i="22"/>
  <c r="K11" i="22"/>
  <c r="J11" i="22"/>
  <c r="K10" i="22"/>
  <c r="J10" i="22"/>
  <c r="F5" i="22"/>
  <c r="E5" i="22"/>
  <c r="E7" i="22"/>
  <c r="K4" i="22"/>
  <c r="J4" i="22"/>
  <c r="F4" i="22"/>
  <c r="E4" i="22"/>
  <c r="G4" i="22"/>
  <c r="Q263" i="17"/>
  <c r="Q257" i="17"/>
  <c r="V257" i="17"/>
  <c r="P257" i="17"/>
  <c r="P265" i="17"/>
  <c r="Q275" i="17"/>
  <c r="Q273" i="17"/>
  <c r="Q272" i="17"/>
  <c r="Q271" i="17"/>
  <c r="Q270" i="17"/>
  <c r="Q269" i="17"/>
  <c r="Q268" i="17"/>
  <c r="Q267" i="17"/>
  <c r="Q266" i="17"/>
  <c r="Q264" i="17"/>
  <c r="Q262" i="17"/>
  <c r="I732" i="22"/>
  <c r="Q261" i="17"/>
  <c r="Q260" i="17"/>
  <c r="Q259" i="17"/>
  <c r="Q256" i="17"/>
  <c r="I706" i="22"/>
  <c r="Q255" i="17"/>
  <c r="Q254" i="17"/>
  <c r="Q253" i="17"/>
  <c r="I672" i="24"/>
  <c r="Q252" i="17"/>
  <c r="V274" i="17"/>
  <c r="P274" i="17"/>
  <c r="Q281" i="17"/>
  <c r="Q280" i="17"/>
  <c r="Q279" i="17"/>
  <c r="Q278" i="17"/>
  <c r="Q277" i="17"/>
  <c r="Q196" i="17"/>
  <c r="Q195" i="17"/>
  <c r="Q194" i="17"/>
  <c r="Q193" i="17"/>
  <c r="Q192" i="17"/>
  <c r="Q191" i="17"/>
  <c r="Q190" i="17"/>
  <c r="Q189" i="17"/>
  <c r="Q188" i="17"/>
  <c r="Q187" i="17"/>
  <c r="Q186" i="17"/>
  <c r="Q185" i="17"/>
  <c r="Q184" i="17"/>
  <c r="Q183" i="17"/>
  <c r="Q182" i="17"/>
  <c r="Q181" i="17"/>
  <c r="Q180" i="17"/>
  <c r="Q179" i="17"/>
  <c r="D115" i="25"/>
  <c r="Q178" i="17"/>
  <c r="Q177" i="17"/>
  <c r="Q176" i="17"/>
  <c r="Q175" i="17"/>
  <c r="Q174" i="17"/>
  <c r="I577" i="24"/>
  <c r="Q173" i="17"/>
  <c r="Q172" i="17"/>
  <c r="Q171" i="17"/>
  <c r="I573" i="24"/>
  <c r="Q170" i="17"/>
  <c r="Q169" i="17"/>
  <c r="Q168" i="17"/>
  <c r="Q167" i="17"/>
  <c r="Q157" i="17"/>
  <c r="Q156" i="17"/>
  <c r="Q155" i="17"/>
  <c r="Q154" i="17"/>
  <c r="Q153" i="17"/>
  <c r="Q152" i="17"/>
  <c r="Q151" i="17"/>
  <c r="Q150" i="17"/>
  <c r="Q149" i="17"/>
  <c r="Q148" i="17"/>
  <c r="Q147" i="17"/>
  <c r="Q146" i="17"/>
  <c r="D95" i="25"/>
  <c r="Q145" i="17"/>
  <c r="I489" i="24"/>
  <c r="Q144" i="17"/>
  <c r="Q143" i="17"/>
  <c r="Q142" i="17"/>
  <c r="Q141" i="17"/>
  <c r="I476" i="24"/>
  <c r="Q140" i="17"/>
  <c r="Q139" i="17"/>
  <c r="Q138" i="17"/>
  <c r="Q137" i="17"/>
  <c r="Q136" i="17"/>
  <c r="Q135" i="17"/>
  <c r="I443" i="24"/>
  <c r="Q134" i="17"/>
  <c r="Q133" i="17"/>
  <c r="Q132" i="17"/>
  <c r="Q131" i="17"/>
  <c r="Q130" i="17"/>
  <c r="Q129" i="17"/>
  <c r="Q121" i="17"/>
  <c r="Q120" i="17"/>
  <c r="Q119" i="17"/>
  <c r="Q118" i="17"/>
  <c r="Q117" i="17"/>
  <c r="Q116" i="17"/>
  <c r="Q115" i="17"/>
  <c r="Q114" i="17"/>
  <c r="Q113" i="17"/>
  <c r="Q112" i="17"/>
  <c r="Q111" i="17"/>
  <c r="I384" i="24"/>
  <c r="M384" i="24"/>
  <c r="J74" i="25"/>
  <c r="Q110" i="17"/>
  <c r="Q109" i="17"/>
  <c r="Q108" i="17"/>
  <c r="Q107" i="17"/>
  <c r="Q106" i="17"/>
  <c r="Q105" i="17"/>
  <c r="Q104" i="17"/>
  <c r="Q103" i="17"/>
  <c r="Q102" i="17"/>
  <c r="Q101" i="17"/>
  <c r="Q100" i="17"/>
  <c r="Q99" i="17"/>
  <c r="Q98" i="17"/>
  <c r="Q97" i="17"/>
  <c r="Q96" i="17"/>
  <c r="Q95" i="17"/>
  <c r="Q94" i="17"/>
  <c r="I307" i="24"/>
  <c r="I302" i="24"/>
  <c r="Q93" i="17"/>
  <c r="I298" i="22"/>
  <c r="I292" i="22"/>
  <c r="Q92" i="17"/>
  <c r="Q91" i="17"/>
  <c r="Q90" i="17"/>
  <c r="Q82" i="17"/>
  <c r="Q81" i="17"/>
  <c r="Q80" i="17"/>
  <c r="Q79" i="17"/>
  <c r="Q78" i="17"/>
  <c r="Q77" i="17"/>
  <c r="Q76" i="17"/>
  <c r="Q75" i="17"/>
  <c r="Q74" i="17"/>
  <c r="Q73" i="17"/>
  <c r="Q72" i="17"/>
  <c r="Q71" i="17"/>
  <c r="Q70" i="17"/>
  <c r="Q69" i="17"/>
  <c r="Q68" i="17"/>
  <c r="I251" i="22"/>
  <c r="Q67" i="17"/>
  <c r="Q66" i="17"/>
  <c r="I247" i="24"/>
  <c r="Q65" i="17"/>
  <c r="I241" i="24"/>
  <c r="I236" i="24"/>
  <c r="Q64" i="17"/>
  <c r="I232" i="22"/>
  <c r="Q63" i="17"/>
  <c r="I223" i="24"/>
  <c r="I218" i="24"/>
  <c r="Q62" i="17"/>
  <c r="I214" i="24"/>
  <c r="M214" i="24"/>
  <c r="J43" i="25"/>
  <c r="Q61" i="17"/>
  <c r="Q60" i="17"/>
  <c r="Q59" i="17"/>
  <c r="I210" i="22"/>
  <c r="Q58" i="17"/>
  <c r="I202" i="22"/>
  <c r="Q57" i="17"/>
  <c r="Q56" i="17"/>
  <c r="Q55" i="17"/>
  <c r="Q54" i="17"/>
  <c r="I178" i="24"/>
  <c r="Q53" i="17"/>
  <c r="I177" i="24"/>
  <c r="Q52" i="17"/>
  <c r="Q51" i="17"/>
  <c r="Q50" i="17"/>
  <c r="I165" i="22"/>
  <c r="I159" i="22"/>
  <c r="Q49" i="17"/>
  <c r="Q48" i="17"/>
  <c r="Q47" i="17"/>
  <c r="Q33" i="17"/>
  <c r="X33" i="17"/>
  <c r="Q32" i="17"/>
  <c r="X32" i="17"/>
  <c r="Q31" i="17"/>
  <c r="Q30" i="17"/>
  <c r="I116" i="22"/>
  <c r="Q29" i="17"/>
  <c r="X29" i="17"/>
  <c r="Q28" i="17"/>
  <c r="Q27" i="17"/>
  <c r="Q26" i="17"/>
  <c r="I90" i="24"/>
  <c r="I85" i="24"/>
  <c r="Q25" i="17"/>
  <c r="I81" i="24"/>
  <c r="Q24" i="17"/>
  <c r="X24" i="17"/>
  <c r="Q23" i="17"/>
  <c r="X23" i="17"/>
  <c r="Q22" i="17"/>
  <c r="Q21" i="17"/>
  <c r="I69" i="24"/>
  <c r="Q20" i="17"/>
  <c r="I67" i="24"/>
  <c r="Q19" i="17"/>
  <c r="I63" i="24"/>
  <c r="Q18" i="17"/>
  <c r="X18" i="17"/>
  <c r="Q17" i="17"/>
  <c r="I45" i="24"/>
  <c r="Q16" i="17"/>
  <c r="I44" i="24"/>
  <c r="Q15" i="17"/>
  <c r="I43" i="24"/>
  <c r="Q14" i="17"/>
  <c r="I41" i="24"/>
  <c r="Q13" i="17"/>
  <c r="I32" i="24"/>
  <c r="Q12" i="17"/>
  <c r="Q11" i="17"/>
  <c r="I7" i="24"/>
  <c r="Q10" i="17"/>
  <c r="I4" i="24"/>
  <c r="X38" i="17"/>
  <c r="X37" i="17"/>
  <c r="X36" i="17"/>
  <c r="X35" i="17"/>
  <c r="X34" i="17"/>
  <c r="H48" i="3"/>
  <c r="H40" i="3"/>
  <c r="H30" i="3"/>
  <c r="H19" i="3"/>
  <c r="H215" i="3"/>
  <c r="H211" i="3"/>
  <c r="H209" i="3"/>
  <c r="H185" i="3"/>
  <c r="H170" i="3"/>
  <c r="H156" i="3"/>
  <c r="H142" i="3"/>
  <c r="H134" i="3"/>
  <c r="H118" i="3"/>
  <c r="H114" i="3"/>
  <c r="H110" i="3"/>
  <c r="H108" i="3"/>
  <c r="H81" i="3"/>
  <c r="H73" i="3"/>
  <c r="H71" i="3"/>
  <c r="H66" i="3"/>
  <c r="H50" i="3"/>
  <c r="H32" i="3"/>
  <c r="G215" i="3"/>
  <c r="G211" i="3"/>
  <c r="G209" i="3"/>
  <c r="G185" i="3"/>
  <c r="G170" i="3"/>
  <c r="G156" i="3"/>
  <c r="G142" i="3"/>
  <c r="G134" i="3"/>
  <c r="G118" i="3"/>
  <c r="G114" i="3"/>
  <c r="G110" i="3"/>
  <c r="G108" i="3"/>
  <c r="G81" i="3"/>
  <c r="G73" i="3"/>
  <c r="G71" i="3"/>
  <c r="G66" i="3"/>
  <c r="G50" i="3"/>
  <c r="G32" i="3"/>
  <c r="G9" i="3"/>
  <c r="G8" i="3"/>
  <c r="F215" i="3"/>
  <c r="F211" i="3"/>
  <c r="F209" i="3"/>
  <c r="F185" i="3"/>
  <c r="F170" i="3"/>
  <c r="F156" i="3"/>
  <c r="F142" i="3"/>
  <c r="F134" i="3"/>
  <c r="F118" i="3"/>
  <c r="F114" i="3"/>
  <c r="F110" i="3"/>
  <c r="F108" i="3"/>
  <c r="F81" i="3"/>
  <c r="F73" i="3"/>
  <c r="F71" i="3"/>
  <c r="F8" i="3"/>
  <c r="F9" i="3"/>
  <c r="F32" i="3"/>
  <c r="F50" i="3"/>
  <c r="F66" i="3"/>
  <c r="L115" i="18"/>
  <c r="L23" i="18"/>
  <c r="L22" i="18"/>
  <c r="L35" i="18"/>
  <c r="L34" i="18"/>
  <c r="L44" i="18"/>
  <c r="L43" i="18"/>
  <c r="L56" i="18"/>
  <c r="L61" i="18"/>
  <c r="L69" i="18"/>
  <c r="L91" i="18"/>
  <c r="L92" i="18"/>
  <c r="L93" i="18"/>
  <c r="L94" i="18"/>
  <c r="L102" i="18"/>
  <c r="L103" i="18"/>
  <c r="L104" i="18"/>
  <c r="L105" i="18"/>
  <c r="L124" i="18"/>
  <c r="L125" i="18"/>
  <c r="L220" i="18"/>
  <c r="L216" i="18"/>
  <c r="L208" i="18"/>
  <c r="L202" i="18"/>
  <c r="L198" i="18"/>
  <c r="L194" i="18"/>
  <c r="L184" i="18"/>
  <c r="L178" i="18"/>
  <c r="L170" i="18"/>
  <c r="L164" i="18"/>
  <c r="L156" i="18"/>
  <c r="L150" i="18"/>
  <c r="L144" i="18"/>
  <c r="L135" i="18"/>
  <c r="L130" i="18"/>
  <c r="L123" i="18"/>
  <c r="L118" i="18"/>
  <c r="L114" i="18"/>
  <c r="L101" i="18"/>
  <c r="L90" i="18"/>
  <c r="L81" i="18"/>
  <c r="L75" i="18"/>
  <c r="L60" i="18"/>
  <c r="L55" i="18"/>
  <c r="L42" i="18"/>
  <c r="L33" i="18"/>
  <c r="L21" i="18"/>
  <c r="L12" i="18"/>
  <c r="L13" i="18"/>
  <c r="L11" i="18"/>
  <c r="L8" i="18"/>
  <c r="L7" i="18"/>
  <c r="R229" i="18"/>
  <c r="S229" i="18"/>
  <c r="J14" i="3"/>
  <c r="T239" i="18"/>
  <c r="O238" i="18"/>
  <c r="X232" i="18"/>
  <c r="Z229" i="18"/>
  <c r="R227" i="18"/>
  <c r="S227" i="18"/>
  <c r="N221" i="18"/>
  <c r="P221" i="18"/>
  <c r="H221" i="18"/>
  <c r="H222" i="18"/>
  <c r="F220" i="18"/>
  <c r="F222" i="18"/>
  <c r="N217" i="18"/>
  <c r="P217" i="18"/>
  <c r="H217" i="18"/>
  <c r="H218" i="18"/>
  <c r="F216" i="18"/>
  <c r="F218" i="18"/>
  <c r="N209" i="18"/>
  <c r="P209" i="18"/>
  <c r="H209" i="18"/>
  <c r="H210" i="18"/>
  <c r="X210" i="18"/>
  <c r="F208" i="18"/>
  <c r="F210" i="18"/>
  <c r="F212" i="18"/>
  <c r="N203" i="18"/>
  <c r="P203" i="18"/>
  <c r="H203" i="18"/>
  <c r="G202" i="18"/>
  <c r="G204" i="18"/>
  <c r="F202" i="18"/>
  <c r="F204" i="18"/>
  <c r="N199" i="18"/>
  <c r="P199" i="18"/>
  <c r="H199" i="18"/>
  <c r="H200" i="18"/>
  <c r="F198" i="18"/>
  <c r="F200" i="18"/>
  <c r="N195" i="18"/>
  <c r="P195" i="18"/>
  <c r="F194" i="18"/>
  <c r="F196" i="18"/>
  <c r="N187" i="18"/>
  <c r="P187" i="18"/>
  <c r="N186" i="18"/>
  <c r="P186" i="18"/>
  <c r="F184" i="18"/>
  <c r="F188" i="18"/>
  <c r="N181" i="18"/>
  <c r="P181" i="18"/>
  <c r="N180" i="18"/>
  <c r="P180" i="18"/>
  <c r="N173" i="18"/>
  <c r="P173" i="18"/>
  <c r="N172" i="18"/>
  <c r="P172" i="18"/>
  <c r="F170" i="18"/>
  <c r="N167" i="18"/>
  <c r="P167" i="18"/>
  <c r="N166" i="18"/>
  <c r="P166" i="18"/>
  <c r="F164" i="18"/>
  <c r="N159" i="18"/>
  <c r="P159" i="18"/>
  <c r="N158" i="18"/>
  <c r="P158" i="18"/>
  <c r="F156" i="18"/>
  <c r="N153" i="18"/>
  <c r="P153" i="18"/>
  <c r="N152" i="18"/>
  <c r="P152" i="18"/>
  <c r="F150" i="18"/>
  <c r="N145" i="18"/>
  <c r="P145" i="18"/>
  <c r="H145" i="18"/>
  <c r="R145" i="18"/>
  <c r="R146" i="18"/>
  <c r="R148" i="18"/>
  <c r="F144" i="18"/>
  <c r="F146" i="18"/>
  <c r="F148" i="18"/>
  <c r="P136" i="18"/>
  <c r="H136" i="18"/>
  <c r="R136" i="18"/>
  <c r="R138" i="18"/>
  <c r="F135" i="18"/>
  <c r="F138" i="18"/>
  <c r="P133" i="18"/>
  <c r="R133" i="18"/>
  <c r="R134" i="18"/>
  <c r="N132" i="18"/>
  <c r="P132" i="18"/>
  <c r="G131" i="18"/>
  <c r="F131" i="18"/>
  <c r="N124" i="18"/>
  <c r="P124" i="18"/>
  <c r="H124" i="18"/>
  <c r="G124" i="18"/>
  <c r="F124" i="18"/>
  <c r="N123" i="18"/>
  <c r="P123" i="18"/>
  <c r="H123" i="18"/>
  <c r="N120" i="18"/>
  <c r="P120" i="18"/>
  <c r="N119" i="18"/>
  <c r="P119" i="18"/>
  <c r="H119" i="18"/>
  <c r="H121" i="18"/>
  <c r="N115" i="18"/>
  <c r="P115" i="18"/>
  <c r="H115" i="18"/>
  <c r="F115" i="18"/>
  <c r="N109" i="18"/>
  <c r="P109" i="18"/>
  <c r="N108" i="18"/>
  <c r="P108" i="18"/>
  <c r="N107" i="18"/>
  <c r="P107" i="18"/>
  <c r="F105" i="18"/>
  <c r="N97" i="18"/>
  <c r="P97" i="18"/>
  <c r="N96" i="18"/>
  <c r="P96" i="18"/>
  <c r="P86" i="18"/>
  <c r="O86" i="18"/>
  <c r="N86" i="18"/>
  <c r="M86" i="18"/>
  <c r="J86" i="18"/>
  <c r="I86" i="18"/>
  <c r="N82" i="18"/>
  <c r="P82" i="18"/>
  <c r="H82" i="18"/>
  <c r="H83" i="18"/>
  <c r="N76" i="18"/>
  <c r="P76" i="18"/>
  <c r="H76" i="18"/>
  <c r="H77" i="18"/>
  <c r="Z77" i="18"/>
  <c r="Q71" i="18"/>
  <c r="N70" i="18"/>
  <c r="P70" i="18"/>
  <c r="H70" i="18"/>
  <c r="N63" i="18"/>
  <c r="P63" i="18"/>
  <c r="N62" i="18"/>
  <c r="P62" i="18"/>
  <c r="N58" i="18"/>
  <c r="P58" i="18"/>
  <c r="N57" i="18"/>
  <c r="P57" i="18"/>
  <c r="N46" i="18"/>
  <c r="P46" i="18"/>
  <c r="N45" i="18"/>
  <c r="P45" i="18"/>
  <c r="I43" i="18"/>
  <c r="N37" i="18"/>
  <c r="P37" i="18"/>
  <c r="N36" i="18"/>
  <c r="P36" i="18"/>
  <c r="I34" i="18"/>
  <c r="N27" i="18"/>
  <c r="P27" i="18"/>
  <c r="N26" i="18"/>
  <c r="P26" i="18"/>
  <c r="N25" i="18"/>
  <c r="P25" i="18"/>
  <c r="N24" i="18"/>
  <c r="P24" i="18"/>
  <c r="F23" i="18"/>
  <c r="N17" i="18"/>
  <c r="P17" i="18"/>
  <c r="N16" i="18"/>
  <c r="P16" i="18"/>
  <c r="N15" i="18"/>
  <c r="P15" i="18"/>
  <c r="N14" i="18"/>
  <c r="P14" i="18"/>
  <c r="F13" i="18"/>
  <c r="N8" i="18"/>
  <c r="H8" i="18"/>
  <c r="Z8" i="18"/>
  <c r="F8" i="18"/>
  <c r="N7" i="18"/>
  <c r="H7" i="18"/>
  <c r="Z7" i="18"/>
  <c r="F7" i="18"/>
  <c r="F9" i="18"/>
  <c r="X229" i="18"/>
  <c r="E3" i="18"/>
  <c r="M9" i="3"/>
  <c r="P9" i="3"/>
  <c r="J164" i="3"/>
  <c r="P164" i="3"/>
  <c r="P168" i="3"/>
  <c r="C46" i="5"/>
  <c r="J158" i="3"/>
  <c r="J150" i="3"/>
  <c r="G156" i="18"/>
  <c r="G160" i="18"/>
  <c r="J144" i="3"/>
  <c r="J148" i="3"/>
  <c r="J211" i="3"/>
  <c r="G216" i="18"/>
  <c r="K146" i="3"/>
  <c r="H152" i="18"/>
  <c r="J138" i="3"/>
  <c r="P138" i="3"/>
  <c r="P140" i="3"/>
  <c r="K103" i="3"/>
  <c r="H107" i="18"/>
  <c r="R107" i="18"/>
  <c r="K27" i="3"/>
  <c r="J27" i="3"/>
  <c r="K26" i="3"/>
  <c r="Q26" i="3"/>
  <c r="K25" i="3"/>
  <c r="Q25" i="3"/>
  <c r="I22" i="3"/>
  <c r="I23" i="3"/>
  <c r="F22" i="18"/>
  <c r="I12" i="3"/>
  <c r="I13" i="3"/>
  <c r="F12" i="18"/>
  <c r="J215" i="3"/>
  <c r="P215" i="3"/>
  <c r="P217" i="3"/>
  <c r="J193" i="3"/>
  <c r="J189" i="3"/>
  <c r="J191" i="3"/>
  <c r="K181" i="3"/>
  <c r="J179" i="3"/>
  <c r="P179" i="3"/>
  <c r="P183" i="3"/>
  <c r="K175" i="3"/>
  <c r="K166" i="3"/>
  <c r="K167" i="3"/>
  <c r="K160" i="3"/>
  <c r="K152" i="3"/>
  <c r="Q152" i="3"/>
  <c r="J130" i="3"/>
  <c r="G135" i="18"/>
  <c r="J111" i="3"/>
  <c r="P111" i="3"/>
  <c r="I110" i="3"/>
  <c r="J102" i="3"/>
  <c r="P102" i="3"/>
  <c r="I99" i="3"/>
  <c r="F102" i="18"/>
  <c r="I98" i="3"/>
  <c r="J98" i="3"/>
  <c r="I100" i="3"/>
  <c r="F103" i="18"/>
  <c r="K104" i="3"/>
  <c r="J104" i="3"/>
  <c r="K93" i="3"/>
  <c r="H96" i="18"/>
  <c r="R96" i="18"/>
  <c r="I92" i="3"/>
  <c r="I91" i="3"/>
  <c r="F93" i="18"/>
  <c r="I90" i="3"/>
  <c r="I89" i="3"/>
  <c r="I88" i="3"/>
  <c r="K62" i="3"/>
  <c r="I60" i="3"/>
  <c r="F60" i="18"/>
  <c r="K56" i="3"/>
  <c r="Q56" i="3"/>
  <c r="I54" i="3"/>
  <c r="F55" i="18"/>
  <c r="K45" i="3"/>
  <c r="K37" i="3"/>
  <c r="H36" i="18"/>
  <c r="R36" i="18"/>
  <c r="I34" i="3"/>
  <c r="J24" i="3"/>
  <c r="G23" i="18"/>
  <c r="Q23" i="18"/>
  <c r="K16" i="3"/>
  <c r="H15" i="18"/>
  <c r="K15" i="3"/>
  <c r="K17" i="3"/>
  <c r="H16" i="18"/>
  <c r="R16" i="18"/>
  <c r="K127" i="3"/>
  <c r="H132" i="18"/>
  <c r="H134" i="18"/>
  <c r="I133" i="3"/>
  <c r="I125" i="3"/>
  <c r="F130" i="18"/>
  <c r="F134" i="18"/>
  <c r="F140" i="18"/>
  <c r="P229" i="3"/>
  <c r="P230" i="3"/>
  <c r="P231" i="3"/>
  <c r="Q8" i="3"/>
  <c r="D9" i="5"/>
  <c r="Q222" i="3"/>
  <c r="R222" i="3"/>
  <c r="T222" i="3"/>
  <c r="I183" i="3"/>
  <c r="I168" i="3"/>
  <c r="F174" i="18"/>
  <c r="I162" i="3"/>
  <c r="I154" i="3"/>
  <c r="F160" i="18"/>
  <c r="I148" i="3"/>
  <c r="F154" i="18"/>
  <c r="I68" i="3"/>
  <c r="F69" i="18"/>
  <c r="F71" i="18"/>
  <c r="F73" i="18"/>
  <c r="K70" i="3"/>
  <c r="K71" i="3"/>
  <c r="K190" i="3"/>
  <c r="H195" i="18"/>
  <c r="K185" i="3"/>
  <c r="H190" i="18"/>
  <c r="K170" i="3"/>
  <c r="K156" i="3"/>
  <c r="K187" i="3"/>
  <c r="K108" i="3"/>
  <c r="K66" i="3"/>
  <c r="K50" i="3"/>
  <c r="K32" i="3"/>
  <c r="K10" i="3"/>
  <c r="I191" i="3"/>
  <c r="I173" i="3"/>
  <c r="J173" i="3"/>
  <c r="P173" i="3"/>
  <c r="P177" i="3"/>
  <c r="I140" i="3"/>
  <c r="I142" i="3"/>
  <c r="I118" i="3"/>
  <c r="F123" i="18"/>
  <c r="F125" i="18"/>
  <c r="I114" i="3"/>
  <c r="I108" i="3"/>
  <c r="F112" i="18"/>
  <c r="I79" i="3"/>
  <c r="J79" i="3"/>
  <c r="G81" i="18"/>
  <c r="I73" i="3"/>
  <c r="J73" i="3"/>
  <c r="G75" i="18"/>
  <c r="I66" i="3"/>
  <c r="I50" i="3"/>
  <c r="I32" i="3"/>
  <c r="J203" i="3"/>
  <c r="G208" i="18"/>
  <c r="G37" i="5"/>
  <c r="G15" i="5"/>
  <c r="O228" i="3"/>
  <c r="Q131" i="3"/>
  <c r="Q133" i="3"/>
  <c r="K121" i="3"/>
  <c r="Q118" i="3"/>
  <c r="P119" i="3"/>
  <c r="Q119" i="3"/>
  <c r="Q9" i="3"/>
  <c r="S13" i="3"/>
  <c r="U13" i="3"/>
  <c r="G7" i="7"/>
  <c r="G12" i="7"/>
  <c r="G13" i="7"/>
  <c r="G14" i="7"/>
  <c r="G15" i="7"/>
  <c r="G20" i="7"/>
  <c r="G21" i="7"/>
  <c r="G22" i="7"/>
  <c r="G23" i="7"/>
  <c r="G29" i="7"/>
  <c r="G30" i="7"/>
  <c r="G35" i="7"/>
  <c r="G36" i="7"/>
  <c r="G42" i="7"/>
  <c r="G43" i="7"/>
  <c r="G48" i="7"/>
  <c r="G49" i="7"/>
  <c r="G53" i="7"/>
  <c r="G56" i="7"/>
  <c r="G57" i="7"/>
  <c r="G60" i="7"/>
  <c r="G63" i="7"/>
  <c r="G66" i="7"/>
  <c r="G68" i="7"/>
  <c r="G77" i="7"/>
  <c r="G78" i="7"/>
  <c r="G91" i="7"/>
  <c r="G92" i="7"/>
  <c r="G93" i="7"/>
  <c r="G111" i="7"/>
  <c r="G114" i="7"/>
  <c r="G117" i="7"/>
  <c r="G123" i="7"/>
  <c r="G135" i="7"/>
  <c r="G136" i="7"/>
  <c r="G137" i="7"/>
  <c r="G142" i="7"/>
  <c r="G143" i="7"/>
  <c r="G144" i="7"/>
  <c r="G146" i="7"/>
  <c r="G148" i="7"/>
  <c r="G154" i="7"/>
  <c r="G155" i="7"/>
  <c r="G160" i="7"/>
  <c r="G161" i="7"/>
  <c r="G162" i="7"/>
  <c r="G165" i="7"/>
  <c r="G166" i="7"/>
  <c r="G168" i="7"/>
  <c r="G171" i="7"/>
  <c r="G172" i="7"/>
  <c r="G181" i="7"/>
  <c r="G183" i="7"/>
  <c r="G185" i="7"/>
  <c r="G186" i="7"/>
  <c r="G190" i="7"/>
  <c r="G193" i="7"/>
  <c r="C2" i="5"/>
  <c r="F2" i="5"/>
  <c r="C12" i="5"/>
  <c r="D12" i="5"/>
  <c r="E12" i="5"/>
  <c r="F12" i="5"/>
  <c r="G12" i="5"/>
  <c r="H12" i="5"/>
  <c r="C20" i="5"/>
  <c r="D20" i="5"/>
  <c r="E20" i="5"/>
  <c r="F20" i="5"/>
  <c r="G20" i="5"/>
  <c r="H20" i="5"/>
  <c r="C24" i="5"/>
  <c r="D24" i="5"/>
  <c r="E24" i="5"/>
  <c r="F24" i="5"/>
  <c r="G24" i="5"/>
  <c r="H24" i="5"/>
  <c r="F25" i="5"/>
  <c r="G25" i="5"/>
  <c r="H25" i="5"/>
  <c r="J8" i="3"/>
  <c r="G7" i="18"/>
  <c r="P8" i="3"/>
  <c r="R8" i="3"/>
  <c r="T7" i="18"/>
  <c r="J9" i="3"/>
  <c r="I10" i="3"/>
  <c r="U11" i="3"/>
  <c r="U12" i="3"/>
  <c r="U14" i="3"/>
  <c r="U15" i="3"/>
  <c r="U16" i="3"/>
  <c r="U17" i="3"/>
  <c r="U18" i="3"/>
  <c r="T20" i="3"/>
  <c r="U20" i="3"/>
  <c r="T21" i="3"/>
  <c r="U21" i="3"/>
  <c r="T22" i="3"/>
  <c r="U22" i="3"/>
  <c r="T23" i="3"/>
  <c r="U23" i="3"/>
  <c r="T24" i="3"/>
  <c r="U24" i="3"/>
  <c r="T25" i="3"/>
  <c r="U25" i="3"/>
  <c r="T26" i="3"/>
  <c r="U26" i="3"/>
  <c r="T27" i="3"/>
  <c r="U27" i="3"/>
  <c r="T28" i="3"/>
  <c r="U28" i="3"/>
  <c r="T29" i="3"/>
  <c r="U29" i="3"/>
  <c r="T31" i="3"/>
  <c r="U31" i="3"/>
  <c r="T33" i="3"/>
  <c r="U33" i="3"/>
  <c r="T34" i="3"/>
  <c r="U34" i="3"/>
  <c r="T35" i="3"/>
  <c r="U35" i="3"/>
  <c r="T36" i="3"/>
  <c r="U36" i="3"/>
  <c r="T37" i="3"/>
  <c r="U37" i="3"/>
  <c r="T38" i="3"/>
  <c r="U38" i="3"/>
  <c r="T39" i="3"/>
  <c r="U39" i="3"/>
  <c r="T41" i="3"/>
  <c r="U41" i="3"/>
  <c r="T42" i="3"/>
  <c r="U42" i="3"/>
  <c r="T43" i="3"/>
  <c r="U43" i="3"/>
  <c r="T44" i="3"/>
  <c r="U44" i="3"/>
  <c r="T45" i="3"/>
  <c r="U45" i="3"/>
  <c r="T46" i="3"/>
  <c r="U46" i="3"/>
  <c r="T47" i="3"/>
  <c r="U47" i="3"/>
  <c r="T49" i="3"/>
  <c r="U49" i="3"/>
  <c r="T51" i="3"/>
  <c r="U51" i="3"/>
  <c r="T53" i="3"/>
  <c r="U53" i="3"/>
  <c r="T54" i="3"/>
  <c r="U54" i="3"/>
  <c r="T55" i="3"/>
  <c r="U55" i="3"/>
  <c r="T56" i="3"/>
  <c r="U56" i="3"/>
  <c r="T57" i="3"/>
  <c r="U57" i="3"/>
  <c r="T59" i="3"/>
  <c r="U59" i="3"/>
  <c r="T60" i="3"/>
  <c r="U60" i="3"/>
  <c r="T61" i="3"/>
  <c r="U61" i="3"/>
  <c r="T62" i="3"/>
  <c r="U62" i="3"/>
  <c r="T63" i="3"/>
  <c r="U63" i="3"/>
  <c r="T65" i="3"/>
  <c r="U65" i="3"/>
  <c r="T67" i="3"/>
  <c r="U67" i="3"/>
  <c r="T68" i="3"/>
  <c r="U68" i="3"/>
  <c r="Q69" i="3"/>
  <c r="Q70" i="3"/>
  <c r="Q71" i="3"/>
  <c r="D25" i="5"/>
  <c r="T69" i="3"/>
  <c r="U69" i="3"/>
  <c r="I71" i="3"/>
  <c r="T72" i="3"/>
  <c r="U72" i="3"/>
  <c r="T73" i="3"/>
  <c r="U73" i="3"/>
  <c r="Q74" i="3"/>
  <c r="Q75" i="3"/>
  <c r="T74" i="3"/>
  <c r="U74" i="3"/>
  <c r="I77" i="3"/>
  <c r="K75" i="3"/>
  <c r="K77" i="3"/>
  <c r="T76" i="3"/>
  <c r="U76" i="3"/>
  <c r="T78" i="3"/>
  <c r="U78" i="3"/>
  <c r="T79" i="3"/>
  <c r="U79" i="3"/>
  <c r="Q80" i="3"/>
  <c r="Q81" i="3"/>
  <c r="Q84" i="3"/>
  <c r="D29" i="5"/>
  <c r="T80" i="3"/>
  <c r="U80" i="3"/>
  <c r="K81" i="3"/>
  <c r="K84" i="3"/>
  <c r="K86" i="3"/>
  <c r="T82" i="3"/>
  <c r="U82" i="3"/>
  <c r="T83" i="3"/>
  <c r="U83" i="3"/>
  <c r="T85" i="3"/>
  <c r="U85" i="3"/>
  <c r="T87" i="3"/>
  <c r="U87" i="3"/>
  <c r="T88" i="3"/>
  <c r="U88" i="3"/>
  <c r="T89" i="3"/>
  <c r="U89" i="3"/>
  <c r="T90" i="3"/>
  <c r="U90" i="3"/>
  <c r="T91" i="3"/>
  <c r="U91" i="3"/>
  <c r="T92" i="3"/>
  <c r="U92" i="3"/>
  <c r="T93" i="3"/>
  <c r="U93" i="3"/>
  <c r="T94" i="3"/>
  <c r="U94" i="3"/>
  <c r="T95" i="3"/>
  <c r="U95" i="3"/>
  <c r="T97" i="3"/>
  <c r="U97" i="3"/>
  <c r="T98" i="3"/>
  <c r="U98" i="3"/>
  <c r="T99" i="3"/>
  <c r="U99" i="3"/>
  <c r="T100" i="3"/>
  <c r="U100" i="3"/>
  <c r="T101" i="3"/>
  <c r="U101" i="3"/>
  <c r="T102" i="3"/>
  <c r="U102" i="3"/>
  <c r="T103" i="3"/>
  <c r="U103" i="3"/>
  <c r="T104" i="3"/>
  <c r="U104" i="3"/>
  <c r="T105" i="3"/>
  <c r="U105" i="3"/>
  <c r="T107" i="3"/>
  <c r="U107" i="3"/>
  <c r="T109" i="3"/>
  <c r="U109" i="3"/>
  <c r="T110" i="3"/>
  <c r="U110" i="3"/>
  <c r="Q111" i="3"/>
  <c r="Q112" i="3"/>
  <c r="D34" i="5"/>
  <c r="T111" i="3"/>
  <c r="U111" i="3"/>
  <c r="K112" i="3"/>
  <c r="T113" i="3"/>
  <c r="U113" i="3"/>
  <c r="T114" i="3"/>
  <c r="U114" i="3"/>
  <c r="Q115" i="3"/>
  <c r="Q116" i="3"/>
  <c r="D35" i="5"/>
  <c r="T115" i="3"/>
  <c r="U115" i="3"/>
  <c r="K116" i="3"/>
  <c r="T122" i="3"/>
  <c r="U122" i="3"/>
  <c r="T124" i="3"/>
  <c r="U124" i="3"/>
  <c r="T125" i="3"/>
  <c r="U125" i="3"/>
  <c r="P126" i="3"/>
  <c r="T126" i="3"/>
  <c r="U126" i="3"/>
  <c r="T127" i="3"/>
  <c r="U127" i="3"/>
  <c r="Q128" i="3"/>
  <c r="Q129" i="3"/>
  <c r="T128" i="3"/>
  <c r="U128" i="3"/>
  <c r="T133" i="3"/>
  <c r="U133" i="3"/>
  <c r="T135" i="3"/>
  <c r="U135" i="3"/>
  <c r="T137" i="3"/>
  <c r="U137" i="3"/>
  <c r="T138" i="3"/>
  <c r="U138" i="3"/>
  <c r="Q139" i="3"/>
  <c r="Q140" i="3"/>
  <c r="T139" i="3"/>
  <c r="U139" i="3"/>
  <c r="K140" i="3"/>
  <c r="K142" i="3"/>
  <c r="T141" i="3"/>
  <c r="U141" i="3"/>
  <c r="T143" i="3"/>
  <c r="U143" i="3"/>
  <c r="T144" i="3"/>
  <c r="U144" i="3"/>
  <c r="T145" i="3"/>
  <c r="U145" i="3"/>
  <c r="T146" i="3"/>
  <c r="U146" i="3"/>
  <c r="T147" i="3"/>
  <c r="U147" i="3"/>
  <c r="T149" i="3"/>
  <c r="U149" i="3"/>
  <c r="T150" i="3"/>
  <c r="U150" i="3"/>
  <c r="T151" i="3"/>
  <c r="U151" i="3"/>
  <c r="T152" i="3"/>
  <c r="U152" i="3"/>
  <c r="T153" i="3"/>
  <c r="U153" i="3"/>
  <c r="T155" i="3"/>
  <c r="U155" i="3"/>
  <c r="T157" i="3"/>
  <c r="U157" i="3"/>
  <c r="T158" i="3"/>
  <c r="U158" i="3"/>
  <c r="T159" i="3"/>
  <c r="U159" i="3"/>
  <c r="T160" i="3"/>
  <c r="U160" i="3"/>
  <c r="T161" i="3"/>
  <c r="U161" i="3"/>
  <c r="T163" i="3"/>
  <c r="U163" i="3"/>
  <c r="T164" i="3"/>
  <c r="U164" i="3"/>
  <c r="T165" i="3"/>
  <c r="U165" i="3"/>
  <c r="T166" i="3"/>
  <c r="U166" i="3"/>
  <c r="T167" i="3"/>
  <c r="U167" i="3"/>
  <c r="T169" i="3"/>
  <c r="U169" i="3"/>
  <c r="T171" i="3"/>
  <c r="U171" i="3"/>
  <c r="T172" i="3"/>
  <c r="U172" i="3"/>
  <c r="T173" i="3"/>
  <c r="U173" i="3"/>
  <c r="T174" i="3"/>
  <c r="U174" i="3"/>
  <c r="T175" i="3"/>
  <c r="U175" i="3"/>
  <c r="T176" i="3"/>
  <c r="U176" i="3"/>
  <c r="T178" i="3"/>
  <c r="U178" i="3"/>
  <c r="T179" i="3"/>
  <c r="U179" i="3"/>
  <c r="T180" i="3"/>
  <c r="U180" i="3"/>
  <c r="T181" i="3"/>
  <c r="U181" i="3"/>
  <c r="T182" i="3"/>
  <c r="U182" i="3"/>
  <c r="T184" i="3"/>
  <c r="U184" i="3"/>
  <c r="T188" i="3"/>
  <c r="U188" i="3"/>
  <c r="T189" i="3"/>
  <c r="U189" i="3"/>
  <c r="T190" i="3"/>
  <c r="U190" i="3"/>
  <c r="T192" i="3"/>
  <c r="U192" i="3"/>
  <c r="T193" i="3"/>
  <c r="U193" i="3"/>
  <c r="T194" i="3"/>
  <c r="U194" i="3"/>
  <c r="I195" i="3"/>
  <c r="T196" i="3"/>
  <c r="U196" i="3"/>
  <c r="P197" i="3"/>
  <c r="P199" i="3"/>
  <c r="T197" i="3"/>
  <c r="U197" i="3"/>
  <c r="Q198" i="3"/>
  <c r="Q199" i="3"/>
  <c r="T198" i="3"/>
  <c r="U198" i="3"/>
  <c r="K199" i="3"/>
  <c r="T200" i="3"/>
  <c r="U200" i="3"/>
  <c r="T202" i="3"/>
  <c r="U202" i="3"/>
  <c r="T203" i="3"/>
  <c r="U203" i="3"/>
  <c r="T204" i="3"/>
  <c r="U204" i="3"/>
  <c r="I205" i="3"/>
  <c r="I207" i="3"/>
  <c r="T206" i="3"/>
  <c r="U206" i="3"/>
  <c r="T208" i="3"/>
  <c r="U208" i="3"/>
  <c r="T210" i="3"/>
  <c r="U210" i="3"/>
  <c r="T211" i="3"/>
  <c r="U211" i="3"/>
  <c r="Q212" i="3"/>
  <c r="Q213" i="3"/>
  <c r="T212" i="3"/>
  <c r="U212" i="3"/>
  <c r="I213" i="3"/>
  <c r="K213" i="3"/>
  <c r="T214" i="3"/>
  <c r="U214" i="3"/>
  <c r="T215" i="3"/>
  <c r="U215" i="3"/>
  <c r="Q216" i="3"/>
  <c r="Q217" i="3"/>
  <c r="T216" i="3"/>
  <c r="U216" i="3"/>
  <c r="I217" i="3"/>
  <c r="K217" i="3"/>
  <c r="K219" i="3"/>
  <c r="T218" i="3"/>
  <c r="U218" i="3"/>
  <c r="T220" i="3"/>
  <c r="U220" i="3"/>
  <c r="R224" i="3"/>
  <c r="T224" i="3"/>
  <c r="K147" i="3"/>
  <c r="J146" i="3"/>
  <c r="P211" i="3"/>
  <c r="P213" i="3"/>
  <c r="R213" i="3"/>
  <c r="Q146" i="3"/>
  <c r="J213" i="3"/>
  <c r="J195" i="3"/>
  <c r="I123" i="3"/>
  <c r="I42" i="3"/>
  <c r="K133" i="3"/>
  <c r="K205" i="3"/>
  <c r="K207" i="3"/>
  <c r="J37" i="3"/>
  <c r="J45" i="3"/>
  <c r="P130" i="3"/>
  <c r="P133" i="3"/>
  <c r="Q45" i="3"/>
  <c r="K38" i="3"/>
  <c r="J38" i="3"/>
  <c r="F53" i="5"/>
  <c r="J103" i="3"/>
  <c r="Q103" i="3"/>
  <c r="K195" i="3"/>
  <c r="Q194" i="3"/>
  <c r="Q195" i="3"/>
  <c r="F46" i="5"/>
  <c r="Q17" i="3"/>
  <c r="Q16" i="3"/>
  <c r="J56" i="3"/>
  <c r="J91" i="3"/>
  <c r="K57" i="3"/>
  <c r="Q57" i="3"/>
  <c r="Q58" i="3"/>
  <c r="D19" i="5"/>
  <c r="G45" i="5"/>
  <c r="G35" i="5"/>
  <c r="J68" i="3"/>
  <c r="P68" i="3"/>
  <c r="P70" i="3"/>
  <c r="R70" i="3"/>
  <c r="E23" i="5"/>
  <c r="F43" i="5"/>
  <c r="G49" i="5"/>
  <c r="F48" i="5"/>
  <c r="H27" i="5"/>
  <c r="G58" i="5"/>
  <c r="G38" i="5"/>
  <c r="G34" i="5"/>
  <c r="F59" i="5"/>
  <c r="F29" i="5"/>
  <c r="F28" i="5"/>
  <c r="G29" i="5"/>
  <c r="G28" i="5"/>
  <c r="G52" i="5"/>
  <c r="F44" i="5"/>
  <c r="F42" i="5"/>
  <c r="F60" i="5"/>
  <c r="F58" i="5"/>
  <c r="G16" i="5"/>
  <c r="G41" i="5"/>
  <c r="G40" i="5"/>
  <c r="F35" i="5"/>
  <c r="F40" i="5"/>
  <c r="G11" i="5"/>
  <c r="F45" i="5"/>
  <c r="F13" i="5"/>
  <c r="G23" i="5"/>
  <c r="H28" i="5"/>
  <c r="H23" i="5"/>
  <c r="F41" i="5"/>
  <c r="F16" i="5"/>
  <c r="F23" i="5"/>
  <c r="G17" i="5"/>
  <c r="G36" i="5"/>
  <c r="G32" i="5"/>
  <c r="H42" i="5"/>
  <c r="H59" i="5"/>
  <c r="F49" i="5"/>
  <c r="F34" i="5"/>
  <c r="F52" i="5"/>
  <c r="F54" i="5"/>
  <c r="G26" i="5"/>
  <c r="H35" i="5"/>
  <c r="F50" i="5"/>
  <c r="H40" i="5"/>
  <c r="H41" i="5"/>
  <c r="G42" i="5"/>
  <c r="G44" i="5"/>
  <c r="H58" i="5"/>
  <c r="H60" i="5"/>
  <c r="G59" i="5"/>
  <c r="G60" i="5"/>
  <c r="F26" i="5"/>
  <c r="F27" i="5"/>
  <c r="G43" i="5"/>
  <c r="G54" i="5"/>
  <c r="F32" i="5"/>
  <c r="G21" i="5"/>
  <c r="F47" i="5"/>
  <c r="G31" i="5"/>
  <c r="G33" i="5"/>
  <c r="G50" i="5"/>
  <c r="G48" i="5"/>
  <c r="G46" i="5"/>
  <c r="H30" i="5"/>
  <c r="H29" i="5"/>
  <c r="F33" i="5"/>
  <c r="F31" i="5"/>
  <c r="F55" i="5"/>
  <c r="G22" i="5"/>
  <c r="G19" i="5"/>
  <c r="G56" i="5"/>
  <c r="G55" i="5"/>
  <c r="G47" i="5"/>
  <c r="H16" i="5"/>
  <c r="G53" i="5"/>
  <c r="G13" i="5"/>
  <c r="H45" i="5"/>
  <c r="H34" i="5"/>
  <c r="H52" i="5"/>
  <c r="H43" i="5"/>
  <c r="H49" i="5"/>
  <c r="H26" i="5"/>
  <c r="F30" i="5"/>
  <c r="H44" i="5"/>
  <c r="G27" i="5"/>
  <c r="G30" i="5"/>
  <c r="H53" i="5"/>
  <c r="H32" i="5"/>
  <c r="F51" i="5"/>
  <c r="H56" i="5"/>
  <c r="H55" i="5"/>
  <c r="H46" i="5"/>
  <c r="G14" i="5"/>
  <c r="F56" i="5"/>
  <c r="F57" i="5"/>
  <c r="F15" i="5"/>
  <c r="H48" i="5"/>
  <c r="H50" i="5"/>
  <c r="H47" i="5"/>
  <c r="H31" i="5"/>
  <c r="H33" i="5"/>
  <c r="G57" i="5"/>
  <c r="H54" i="5"/>
  <c r="H57" i="5"/>
  <c r="G18" i="5"/>
  <c r="F61" i="5"/>
  <c r="F17" i="5"/>
  <c r="G61" i="5"/>
  <c r="G51" i="5"/>
  <c r="H15" i="5"/>
  <c r="H17" i="5"/>
  <c r="H51" i="5"/>
  <c r="H61" i="5"/>
  <c r="X7" i="18"/>
  <c r="F38" i="5"/>
  <c r="F37" i="5"/>
  <c r="F36" i="5"/>
  <c r="F21" i="5"/>
  <c r="F22" i="5"/>
  <c r="F19" i="5"/>
  <c r="H13" i="5"/>
  <c r="F18" i="5"/>
  <c r="F11" i="5"/>
  <c r="H38" i="5"/>
  <c r="H37" i="5"/>
  <c r="H36" i="5"/>
  <c r="H21" i="5"/>
  <c r="H22" i="5"/>
  <c r="H19" i="5"/>
  <c r="H18" i="5"/>
  <c r="H11" i="5"/>
  <c r="F14" i="5"/>
  <c r="F9" i="5"/>
  <c r="G9" i="5"/>
  <c r="J9" i="5"/>
  <c r="M9" i="5"/>
  <c r="H14" i="5"/>
  <c r="H9" i="5"/>
  <c r="F10" i="5"/>
  <c r="G10" i="5"/>
  <c r="F39" i="5"/>
  <c r="H10" i="5"/>
  <c r="G39" i="5"/>
  <c r="G62" i="5"/>
  <c r="H39" i="5"/>
  <c r="F62" i="5"/>
  <c r="H62" i="5"/>
  <c r="X8" i="18"/>
  <c r="H138" i="18"/>
  <c r="X138" i="18"/>
  <c r="R70" i="18"/>
  <c r="R71" i="18"/>
  <c r="S236" i="18"/>
  <c r="R82" i="18"/>
  <c r="R83" i="18"/>
  <c r="Q202" i="18"/>
  <c r="Q204" i="18"/>
  <c r="D13" i="23"/>
  <c r="F168" i="18"/>
  <c r="F176" i="18"/>
  <c r="J162" i="3"/>
  <c r="O7" i="18"/>
  <c r="P7" i="18"/>
  <c r="G220" i="18"/>
  <c r="G222" i="18"/>
  <c r="J217" i="3"/>
  <c r="G115" i="18"/>
  <c r="Q115" i="18"/>
  <c r="J100" i="3"/>
  <c r="G105" i="18"/>
  <c r="Q105" i="18"/>
  <c r="K182" i="3"/>
  <c r="J182" i="3"/>
  <c r="H126" i="18"/>
  <c r="U222" i="3"/>
  <c r="F75" i="18"/>
  <c r="F77" i="18"/>
  <c r="F79" i="18"/>
  <c r="J118" i="3"/>
  <c r="J121" i="3"/>
  <c r="F21" i="18"/>
  <c r="J22" i="3"/>
  <c r="G21" i="18"/>
  <c r="F81" i="18"/>
  <c r="F83" i="18"/>
  <c r="F86" i="18"/>
  <c r="I101" i="3"/>
  <c r="H146" i="18"/>
  <c r="X146" i="18"/>
  <c r="H204" i="18"/>
  <c r="J25" i="3"/>
  <c r="H24" i="18"/>
  <c r="F114" i="18"/>
  <c r="J110" i="3"/>
  <c r="P110" i="3"/>
  <c r="G150" i="18"/>
  <c r="G154" i="18"/>
  <c r="P144" i="3"/>
  <c r="P148" i="3"/>
  <c r="H172" i="18"/>
  <c r="R172" i="18"/>
  <c r="J166" i="3"/>
  <c r="K129" i="3"/>
  <c r="G194" i="18"/>
  <c r="G196" i="18"/>
  <c r="P189" i="3"/>
  <c r="P191" i="3"/>
  <c r="P24" i="3"/>
  <c r="J99" i="3"/>
  <c r="P99" i="3"/>
  <c r="X16" i="17"/>
  <c r="Q190" i="3"/>
  <c r="Q191" i="3"/>
  <c r="K153" i="3"/>
  <c r="Q153" i="3"/>
  <c r="Q154" i="3"/>
  <c r="H158" i="18"/>
  <c r="R158" i="18"/>
  <c r="X77" i="18"/>
  <c r="X11" i="17"/>
  <c r="X30" i="17"/>
  <c r="V265" i="17"/>
  <c r="V276" i="17"/>
  <c r="J168" i="3"/>
  <c r="J170" i="3"/>
  <c r="X25" i="17"/>
  <c r="X200" i="18"/>
  <c r="X26" i="17"/>
  <c r="Q150" i="18"/>
  <c r="Q154" i="18"/>
  <c r="R8" i="18"/>
  <c r="Q8" i="18"/>
  <c r="Q73" i="18"/>
  <c r="G13" i="18"/>
  <c r="Q13" i="18"/>
  <c r="P14" i="3"/>
  <c r="Q182" i="3"/>
  <c r="J57" i="3"/>
  <c r="T229" i="18"/>
  <c r="C9" i="5"/>
  <c r="I9" i="5"/>
  <c r="L9" i="5"/>
  <c r="Q93" i="3"/>
  <c r="J93" i="3"/>
  <c r="K94" i="3"/>
  <c r="J94" i="3"/>
  <c r="Q10" i="3"/>
  <c r="D10" i="5"/>
  <c r="Q175" i="3"/>
  <c r="K176" i="3"/>
  <c r="H181" i="18"/>
  <c r="R181" i="18"/>
  <c r="J175" i="3"/>
  <c r="J154" i="3"/>
  <c r="J156" i="3"/>
  <c r="I44" i="3"/>
  <c r="J44" i="3"/>
  <c r="G43" i="18"/>
  <c r="J114" i="3"/>
  <c r="F118" i="18"/>
  <c r="K18" i="3"/>
  <c r="H17" i="18"/>
  <c r="H45" i="18"/>
  <c r="R45" i="18"/>
  <c r="K46" i="3"/>
  <c r="F126" i="18"/>
  <c r="I170" i="3"/>
  <c r="V15" i="18"/>
  <c r="R15" i="18"/>
  <c r="H180" i="18"/>
  <c r="Q94" i="3"/>
  <c r="Q96" i="3"/>
  <c r="D31" i="5"/>
  <c r="G118" i="18"/>
  <c r="G121" i="18"/>
  <c r="J112" i="3"/>
  <c r="C40" i="5"/>
  <c r="P142" i="3"/>
  <c r="C41" i="5"/>
  <c r="I41" i="5"/>
  <c r="L41" i="5"/>
  <c r="D52" i="5"/>
  <c r="Q81" i="18"/>
  <c r="Q83" i="18"/>
  <c r="G83" i="18"/>
  <c r="G86" i="18"/>
  <c r="P118" i="3"/>
  <c r="P121" i="3"/>
  <c r="G123" i="18"/>
  <c r="P71" i="3"/>
  <c r="C25" i="5"/>
  <c r="I25" i="5"/>
  <c r="L25" i="5"/>
  <c r="C23" i="5"/>
  <c r="G178" i="18"/>
  <c r="G182" i="18"/>
  <c r="J70" i="3"/>
  <c r="J71" i="3"/>
  <c r="G69" i="18"/>
  <c r="G71" i="18"/>
  <c r="G73" i="18"/>
  <c r="D58" i="5"/>
  <c r="J58" i="5"/>
  <c r="M58" i="5"/>
  <c r="J125" i="3"/>
  <c r="F90" i="18"/>
  <c r="J88" i="3"/>
  <c r="P88" i="3"/>
  <c r="H166" i="18"/>
  <c r="R166" i="18"/>
  <c r="J160" i="3"/>
  <c r="Q160" i="3"/>
  <c r="K161" i="3"/>
  <c r="J181" i="3"/>
  <c r="Q181" i="3"/>
  <c r="H186" i="18"/>
  <c r="X21" i="17"/>
  <c r="Q18" i="3"/>
  <c r="J81" i="3"/>
  <c r="J84" i="3"/>
  <c r="P79" i="3"/>
  <c r="P81" i="3"/>
  <c r="Q15" i="3"/>
  <c r="H14" i="18"/>
  <c r="F33" i="18"/>
  <c r="I36" i="3"/>
  <c r="J36" i="3"/>
  <c r="J34" i="3"/>
  <c r="P34" i="3"/>
  <c r="J89" i="3"/>
  <c r="G91" i="18"/>
  <c r="Q91" i="18"/>
  <c r="F91" i="18"/>
  <c r="F94" i="18"/>
  <c r="J92" i="3"/>
  <c r="G94" i="18"/>
  <c r="Q94" i="18"/>
  <c r="X19" i="17"/>
  <c r="J153" i="3"/>
  <c r="P73" i="3"/>
  <c r="P75" i="3"/>
  <c r="P193" i="3"/>
  <c r="P195" i="3"/>
  <c r="C53" i="5"/>
  <c r="I53" i="5"/>
  <c r="L53" i="5"/>
  <c r="G198" i="18"/>
  <c r="Z200" i="18"/>
  <c r="Z210" i="18"/>
  <c r="H212" i="18"/>
  <c r="X31" i="17"/>
  <c r="Q274" i="17"/>
  <c r="J23" i="3"/>
  <c r="F178" i="18"/>
  <c r="F182" i="18"/>
  <c r="F190" i="18"/>
  <c r="I177" i="3"/>
  <c r="I185" i="3"/>
  <c r="H108" i="18"/>
  <c r="K105" i="3"/>
  <c r="H109" i="18"/>
  <c r="R109" i="18"/>
  <c r="J183" i="3"/>
  <c r="G184" i="18"/>
  <c r="H26" i="18"/>
  <c r="R26" i="18"/>
  <c r="Q27" i="3"/>
  <c r="K28" i="3"/>
  <c r="J140" i="3"/>
  <c r="J142" i="3"/>
  <c r="G144" i="18"/>
  <c r="Q144" i="18"/>
  <c r="Q146" i="18"/>
  <c r="Q148" i="18"/>
  <c r="P158" i="3"/>
  <c r="P162" i="3"/>
  <c r="G164" i="18"/>
  <c r="Q164" i="18"/>
  <c r="Q168" i="18"/>
  <c r="Z121" i="18"/>
  <c r="X121" i="18"/>
  <c r="Q265" i="17"/>
  <c r="G93" i="18"/>
  <c r="Q93" i="18"/>
  <c r="P91" i="3"/>
  <c r="J90" i="3"/>
  <c r="F92" i="18"/>
  <c r="H71" i="18"/>
  <c r="Z71" i="18"/>
  <c r="S237" i="18"/>
  <c r="Q124" i="18"/>
  <c r="F224" i="18"/>
  <c r="R76" i="18"/>
  <c r="R77" i="18"/>
  <c r="R79" i="18"/>
  <c r="P90" i="3"/>
  <c r="G92" i="18"/>
  <c r="Q92" i="18"/>
  <c r="G146" i="18"/>
  <c r="G148" i="18"/>
  <c r="P89" i="3"/>
  <c r="F34" i="18"/>
  <c r="Q161" i="3"/>
  <c r="G130" i="18"/>
  <c r="Q130" i="18"/>
  <c r="Q134" i="18"/>
  <c r="R71" i="3"/>
  <c r="E25" i="5"/>
  <c r="K25" i="5"/>
  <c r="N25" i="5"/>
  <c r="T237" i="18"/>
  <c r="F28" i="22"/>
  <c r="E300" i="22"/>
  <c r="E301" i="22"/>
  <c r="G101" i="22"/>
  <c r="G103" i="22"/>
  <c r="G75" i="22"/>
  <c r="G10" i="22"/>
  <c r="L10" i="22"/>
  <c r="G92" i="22"/>
  <c r="E89" i="22"/>
  <c r="E87" i="22"/>
  <c r="G137" i="22"/>
  <c r="E140" i="22"/>
  <c r="E141" i="22"/>
  <c r="G138" i="22"/>
  <c r="G140" i="22"/>
  <c r="I164" i="22"/>
  <c r="I161" i="22"/>
  <c r="I156" i="22"/>
  <c r="I227" i="22"/>
  <c r="G310" i="22"/>
  <c r="F312" i="22"/>
  <c r="F319" i="22"/>
  <c r="F315" i="22"/>
  <c r="G315" i="22"/>
  <c r="G433" i="22"/>
  <c r="F434" i="22"/>
  <c r="G434" i="22"/>
  <c r="E435" i="22"/>
  <c r="F802" i="22"/>
  <c r="G5" i="22"/>
  <c r="F7" i="22"/>
  <c r="F8" i="22"/>
  <c r="F23" i="22"/>
  <c r="E34" i="22"/>
  <c r="E35" i="22"/>
  <c r="F48" i="22"/>
  <c r="E50" i="22"/>
  <c r="E49" i="22"/>
  <c r="E48" i="22"/>
  <c r="F60" i="22"/>
  <c r="G72" i="22"/>
  <c r="E101" i="22"/>
  <c r="E107" i="22"/>
  <c r="E105" i="22"/>
  <c r="F107" i="22"/>
  <c r="F105" i="22"/>
  <c r="G105" i="22"/>
  <c r="G107" i="22"/>
  <c r="E144" i="22"/>
  <c r="E143" i="22"/>
  <c r="E145" i="22"/>
  <c r="E153" i="22"/>
  <c r="F161" i="22"/>
  <c r="E373" i="22"/>
  <c r="E371" i="22"/>
  <c r="E367" i="22"/>
  <c r="I5" i="22"/>
  <c r="E46" i="22"/>
  <c r="F120" i="22"/>
  <c r="N128" i="22"/>
  <c r="F144" i="22"/>
  <c r="F143" i="22"/>
  <c r="F153" i="22"/>
  <c r="F150" i="22"/>
  <c r="E206" i="22"/>
  <c r="F842" i="22"/>
  <c r="G44" i="22"/>
  <c r="F46" i="22"/>
  <c r="L69" i="22"/>
  <c r="E92" i="22"/>
  <c r="E273" i="22"/>
  <c r="E274" i="22"/>
  <c r="G271" i="22"/>
  <c r="G273" i="22"/>
  <c r="G274" i="22"/>
  <c r="E280" i="22"/>
  <c r="E286" i="22"/>
  <c r="E282" i="22"/>
  <c r="F386" i="22"/>
  <c r="F360" i="22"/>
  <c r="L5" i="22"/>
  <c r="L7" i="22"/>
  <c r="L8" i="22"/>
  <c r="I8" i="23"/>
  <c r="E20" i="22"/>
  <c r="E16" i="22"/>
  <c r="G43" i="22"/>
  <c r="L43" i="22"/>
  <c r="F843" i="22"/>
  <c r="G45" i="22"/>
  <c r="F98" i="22"/>
  <c r="F96" i="22"/>
  <c r="G484" i="22"/>
  <c r="E867" i="22"/>
  <c r="E870" i="22"/>
  <c r="E72" i="22"/>
  <c r="E73" i="22"/>
  <c r="E164" i="22"/>
  <c r="E161" i="22"/>
  <c r="E162" i="22"/>
  <c r="E156" i="22"/>
  <c r="E157" i="22"/>
  <c r="E306" i="22"/>
  <c r="E304" i="22"/>
  <c r="G63" i="22"/>
  <c r="G65" i="22"/>
  <c r="G73" i="22"/>
  <c r="F65" i="22"/>
  <c r="F227" i="22"/>
  <c r="F225" i="22"/>
  <c r="G225" i="22"/>
  <c r="E231" i="22"/>
  <c r="E229" i="22"/>
  <c r="M271" i="22"/>
  <c r="E415" i="22"/>
  <c r="E416" i="22"/>
  <c r="F475" i="22"/>
  <c r="G475" i="22"/>
  <c r="F725" i="22"/>
  <c r="F723" i="22"/>
  <c r="F714" i="22"/>
  <c r="G714" i="22"/>
  <c r="F715" i="22"/>
  <c r="G715" i="22"/>
  <c r="F716" i="22"/>
  <c r="G716" i="22"/>
  <c r="F713" i="22"/>
  <c r="G713" i="22"/>
  <c r="E843" i="22"/>
  <c r="F867" i="22"/>
  <c r="F870" i="22"/>
  <c r="E914" i="22"/>
  <c r="F156" i="22"/>
  <c r="G202" i="22"/>
  <c r="G205" i="22"/>
  <c r="G218" i="22"/>
  <c r="G351" i="22"/>
  <c r="G369" i="22"/>
  <c r="F209" i="22"/>
  <c r="G209" i="22"/>
  <c r="G210" i="22"/>
  <c r="E246" i="22"/>
  <c r="E244" i="22"/>
  <c r="E243" i="22"/>
  <c r="E316" i="22"/>
  <c r="E315" i="22"/>
  <c r="E314" i="22"/>
  <c r="E802" i="22"/>
  <c r="G116" i="22"/>
  <c r="L116" i="22"/>
  <c r="I23" i="23"/>
  <c r="I208" i="22"/>
  <c r="L271" i="22"/>
  <c r="L273" i="22"/>
  <c r="L274" i="22"/>
  <c r="I58" i="23"/>
  <c r="E290" i="22"/>
  <c r="F413" i="22"/>
  <c r="E445" i="22"/>
  <c r="E452" i="22"/>
  <c r="G471" i="22"/>
  <c r="F222" i="22"/>
  <c r="F220" i="22"/>
  <c r="E245" i="22"/>
  <c r="I297" i="22"/>
  <c r="I294" i="22"/>
  <c r="M294" i="22"/>
  <c r="I289" i="22"/>
  <c r="F331" i="22"/>
  <c r="E406" i="22"/>
  <c r="G404" i="22"/>
  <c r="G406" i="22"/>
  <c r="F502" i="22"/>
  <c r="F506" i="22"/>
  <c r="F504" i="22"/>
  <c r="G504" i="22"/>
  <c r="F500" i="22"/>
  <c r="E652" i="22"/>
  <c r="E617" i="22"/>
  <c r="E475" i="22"/>
  <c r="E635" i="22"/>
  <c r="E407" i="22"/>
  <c r="E679" i="22"/>
  <c r="F519" i="22"/>
  <c r="G617" i="22"/>
  <c r="I701" i="22"/>
  <c r="G403" i="22"/>
  <c r="F604" i="22"/>
  <c r="G601" i="22"/>
  <c r="G604" i="22"/>
  <c r="F652" i="22"/>
  <c r="G613" i="22"/>
  <c r="L613" i="22"/>
  <c r="F341" i="22"/>
  <c r="E409" i="22"/>
  <c r="E410" i="22"/>
  <c r="E411" i="22"/>
  <c r="F581" i="22"/>
  <c r="G581" i="22"/>
  <c r="F582" i="22"/>
  <c r="G582" i="22"/>
  <c r="I404" i="22"/>
  <c r="M404" i="22"/>
  <c r="F543" i="22"/>
  <c r="G543" i="22"/>
  <c r="E549" i="22"/>
  <c r="E550" i="22"/>
  <c r="E543" i="22"/>
  <c r="E542" i="22"/>
  <c r="F580" i="22"/>
  <c r="G580" i="22"/>
  <c r="F592" i="22"/>
  <c r="E568" i="22"/>
  <c r="E572" i="22"/>
  <c r="E570" i="22"/>
  <c r="E571" i="22"/>
  <c r="F633" i="22"/>
  <c r="G633" i="22"/>
  <c r="F639" i="22"/>
  <c r="F637" i="22"/>
  <c r="G637" i="22"/>
  <c r="G639" i="22"/>
  <c r="F672" i="22"/>
  <c r="F673" i="22"/>
  <c r="I670" i="22"/>
  <c r="E488" i="22"/>
  <c r="E486" i="22"/>
  <c r="G759" i="22"/>
  <c r="E539" i="22"/>
  <c r="E540" i="22"/>
  <c r="F621" i="22"/>
  <c r="F619" i="22"/>
  <c r="G619" i="22"/>
  <c r="E558" i="22"/>
  <c r="E563" i="22"/>
  <c r="G576" i="22"/>
  <c r="G578" i="22"/>
  <c r="F578" i="22"/>
  <c r="F691" i="22"/>
  <c r="F696" i="22"/>
  <c r="E772" i="22"/>
  <c r="E770" i="22"/>
  <c r="E766" i="22"/>
  <c r="E645" i="22"/>
  <c r="E644" i="22"/>
  <c r="E642" i="22"/>
  <c r="E643" i="22"/>
  <c r="F737" i="22"/>
  <c r="G734" i="22"/>
  <c r="G737" i="22"/>
  <c r="F772" i="22"/>
  <c r="F770" i="22"/>
  <c r="G770" i="22"/>
  <c r="F597" i="22"/>
  <c r="G595" i="22"/>
  <c r="F608" i="22"/>
  <c r="G608" i="22"/>
  <c r="G609" i="22"/>
  <c r="F645" i="22"/>
  <c r="G645" i="22"/>
  <c r="F644" i="22"/>
  <c r="G644" i="22"/>
  <c r="F643" i="22"/>
  <c r="G643" i="22"/>
  <c r="L643" i="22"/>
  <c r="F642" i="22"/>
  <c r="G642" i="22"/>
  <c r="G768" i="22"/>
  <c r="E583" i="22"/>
  <c r="E582" i="22"/>
  <c r="E581" i="22"/>
  <c r="E580" i="22"/>
  <c r="E592" i="22"/>
  <c r="E763" i="22"/>
  <c r="E761" i="22"/>
  <c r="E757" i="22"/>
  <c r="E785" i="22"/>
  <c r="E703" i="22"/>
  <c r="E704" i="22"/>
  <c r="E721" i="22"/>
  <c r="E754" i="22"/>
  <c r="E752" i="22"/>
  <c r="F763" i="22"/>
  <c r="F761" i="22"/>
  <c r="G761" i="22"/>
  <c r="G763" i="22"/>
  <c r="F740" i="22"/>
  <c r="F741" i="22"/>
  <c r="G741" i="22"/>
  <c r="L741" i="22"/>
  <c r="F785" i="22"/>
  <c r="E778" i="22"/>
  <c r="E777" i="22"/>
  <c r="E776" i="22"/>
  <c r="N926" i="22"/>
  <c r="E283" i="22"/>
  <c r="E284" i="22"/>
  <c r="F316" i="22"/>
  <c r="G316" i="22"/>
  <c r="L316" i="22"/>
  <c r="E450" i="22"/>
  <c r="E449" i="22"/>
  <c r="E448" i="22"/>
  <c r="E447" i="22"/>
  <c r="E17" i="22"/>
  <c r="E149" i="22"/>
  <c r="E150" i="22"/>
  <c r="L734" i="22"/>
  <c r="L737" i="22"/>
  <c r="E459" i="22"/>
  <c r="G96" i="22"/>
  <c r="F587" i="22"/>
  <c r="G587" i="22"/>
  <c r="L587" i="22"/>
  <c r="E276" i="22"/>
  <c r="G48" i="22"/>
  <c r="F58" i="22"/>
  <c r="F57" i="22"/>
  <c r="G57" i="22"/>
  <c r="L57" i="22"/>
  <c r="F56" i="22"/>
  <c r="G56" i="22"/>
  <c r="L56" i="22"/>
  <c r="F55" i="22"/>
  <c r="G143" i="22"/>
  <c r="G597" i="22"/>
  <c r="E675" i="22"/>
  <c r="G914" i="22"/>
  <c r="F722" i="22"/>
  <c r="G722" i="22"/>
  <c r="L722" i="22"/>
  <c r="F720" i="22"/>
  <c r="G720" i="22"/>
  <c r="L720" i="22"/>
  <c r="M5" i="22"/>
  <c r="F326" i="22"/>
  <c r="F322" i="22"/>
  <c r="G322" i="22"/>
  <c r="L322" i="22"/>
  <c r="F34" i="24"/>
  <c r="F35" i="24"/>
  <c r="G35" i="24"/>
  <c r="G144" i="24"/>
  <c r="E23" i="24"/>
  <c r="E50" i="24"/>
  <c r="E49" i="24"/>
  <c r="E48" i="24"/>
  <c r="E60" i="24"/>
  <c r="E57" i="24"/>
  <c r="E51" i="24"/>
  <c r="F40" i="24"/>
  <c r="E65" i="24"/>
  <c r="I72" i="24"/>
  <c r="E101" i="24"/>
  <c r="E107" i="24"/>
  <c r="E105" i="24"/>
  <c r="F143" i="24"/>
  <c r="F145" i="24"/>
  <c r="F153" i="24"/>
  <c r="F209" i="24"/>
  <c r="G209" i="24"/>
  <c r="E300" i="24"/>
  <c r="E301" i="24"/>
  <c r="F101" i="24"/>
  <c r="F107" i="24"/>
  <c r="F105" i="24"/>
  <c r="G105" i="24"/>
  <c r="E244" i="24"/>
  <c r="E243" i="24"/>
  <c r="F280" i="24"/>
  <c r="G4" i="24"/>
  <c r="E31" i="24"/>
  <c r="E28" i="24"/>
  <c r="E29" i="24"/>
  <c r="F76" i="24"/>
  <c r="F879" i="24"/>
  <c r="G81" i="24"/>
  <c r="I83" i="24"/>
  <c r="G112" i="24"/>
  <c r="E164" i="24"/>
  <c r="E161" i="24"/>
  <c r="E162" i="24"/>
  <c r="F179" i="24"/>
  <c r="I240" i="24"/>
  <c r="E246" i="24"/>
  <c r="F300" i="24"/>
  <c r="F301" i="24"/>
  <c r="G301" i="24"/>
  <c r="F306" i="24"/>
  <c r="F410" i="24"/>
  <c r="F409" i="24"/>
  <c r="E491" i="24"/>
  <c r="E497" i="24"/>
  <c r="E495" i="24"/>
  <c r="E277" i="24"/>
  <c r="E276" i="24"/>
  <c r="E278" i="24"/>
  <c r="E10" i="24"/>
  <c r="E11" i="24"/>
  <c r="E12" i="24"/>
  <c r="F31" i="24"/>
  <c r="E35" i="24"/>
  <c r="F842" i="24"/>
  <c r="E89" i="24"/>
  <c r="E87" i="24"/>
  <c r="G179" i="24"/>
  <c r="I306" i="24"/>
  <c r="E319" i="24"/>
  <c r="E367" i="24"/>
  <c r="E373" i="24"/>
  <c r="E371" i="24"/>
  <c r="I5" i="24"/>
  <c r="I6" i="24"/>
  <c r="F7" i="24"/>
  <c r="F8" i="24"/>
  <c r="G44" i="24"/>
  <c r="L44" i="24"/>
  <c r="E843" i="24"/>
  <c r="E147" i="24"/>
  <c r="E245" i="24"/>
  <c r="F369" i="24"/>
  <c r="F373" i="24"/>
  <c r="F371" i="24"/>
  <c r="G371" i="24"/>
  <c r="F367" i="24"/>
  <c r="G367" i="24"/>
  <c r="F23" i="24"/>
  <c r="I89" i="24"/>
  <c r="I87" i="24"/>
  <c r="E141" i="24"/>
  <c r="E289" i="24"/>
  <c r="E290" i="24"/>
  <c r="E297" i="24"/>
  <c r="E312" i="24"/>
  <c r="G75" i="24"/>
  <c r="L75" i="24"/>
  <c r="L176" i="24"/>
  <c r="E253" i="24"/>
  <c r="E341" i="24"/>
  <c r="F351" i="24"/>
  <c r="F355" i="24"/>
  <c r="F353" i="24"/>
  <c r="G353" i="24"/>
  <c r="F386" i="24"/>
  <c r="G443" i="24"/>
  <c r="G445" i="24"/>
  <c r="F445" i="24"/>
  <c r="I216" i="24"/>
  <c r="I217" i="24"/>
  <c r="I222" i="24"/>
  <c r="I234" i="24"/>
  <c r="E274" i="24"/>
  <c r="G270" i="24"/>
  <c r="E286" i="24"/>
  <c r="E282" i="24"/>
  <c r="G329" i="24"/>
  <c r="G331" i="24"/>
  <c r="F331" i="24"/>
  <c r="E364" i="24"/>
  <c r="E362" i="24"/>
  <c r="E358" i="24"/>
  <c r="F377" i="24"/>
  <c r="G377" i="24"/>
  <c r="L377" i="24"/>
  <c r="F378" i="24"/>
  <c r="G378" i="24"/>
  <c r="F379" i="24"/>
  <c r="G379" i="24"/>
  <c r="F861" i="24"/>
  <c r="F863" i="24"/>
  <c r="M67" i="24"/>
  <c r="E879" i="24"/>
  <c r="F433" i="24"/>
  <c r="F434" i="24"/>
  <c r="G434" i="24"/>
  <c r="F560" i="24"/>
  <c r="E635" i="24"/>
  <c r="E633" i="24"/>
  <c r="E914" i="24"/>
  <c r="E425" i="24"/>
  <c r="F474" i="24"/>
  <c r="F475" i="24"/>
  <c r="G475" i="24"/>
  <c r="L475" i="24"/>
  <c r="G566" i="24"/>
  <c r="L566" i="24"/>
  <c r="E652" i="24"/>
  <c r="G737" i="24"/>
  <c r="F94" i="24"/>
  <c r="F92" i="24"/>
  <c r="G92" i="24"/>
  <c r="F319" i="24"/>
  <c r="F430" i="24"/>
  <c r="F422" i="24"/>
  <c r="F652" i="24"/>
  <c r="F626" i="24"/>
  <c r="F630" i="24"/>
  <c r="F628" i="24"/>
  <c r="G628" i="24"/>
  <c r="F624" i="24"/>
  <c r="G624" i="24"/>
  <c r="G626" i="24"/>
  <c r="I65" i="24"/>
  <c r="I73" i="24"/>
  <c r="L116" i="24"/>
  <c r="G137" i="24"/>
  <c r="G271" i="24"/>
  <c r="G273" i="24"/>
  <c r="F338" i="24"/>
  <c r="F342" i="24"/>
  <c r="G342" i="24"/>
  <c r="G464" i="24"/>
  <c r="I568" i="24"/>
  <c r="G138" i="24"/>
  <c r="G140" i="24"/>
  <c r="I271" i="24"/>
  <c r="M271" i="24"/>
  <c r="G338" i="24"/>
  <c r="L442" i="24"/>
  <c r="E624" i="24"/>
  <c r="E630" i="24"/>
  <c r="E628" i="24"/>
  <c r="F679" i="24"/>
  <c r="F419" i="24"/>
  <c r="F415" i="24"/>
  <c r="L415" i="24"/>
  <c r="E439" i="24"/>
  <c r="F406" i="24"/>
  <c r="F407" i="24"/>
  <c r="I404" i="24"/>
  <c r="M404" i="24"/>
  <c r="G502" i="24"/>
  <c r="F519" i="24"/>
  <c r="L404" i="24"/>
  <c r="L406" i="24"/>
  <c r="L407" i="24"/>
  <c r="I83" i="25"/>
  <c r="F452" i="24"/>
  <c r="F447" i="24"/>
  <c r="G447" i="24"/>
  <c r="F488" i="24"/>
  <c r="F486" i="24"/>
  <c r="G486" i="24"/>
  <c r="L486" i="24"/>
  <c r="L488" i="24"/>
  <c r="F645" i="24"/>
  <c r="G645" i="24"/>
  <c r="F644" i="24"/>
  <c r="G644" i="24"/>
  <c r="F643" i="24"/>
  <c r="G643" i="24"/>
  <c r="F439" i="24"/>
  <c r="F578" i="24"/>
  <c r="G604" i="24"/>
  <c r="G709" i="24"/>
  <c r="G768" i="24"/>
  <c r="G578" i="24"/>
  <c r="L575" i="24"/>
  <c r="F506" i="24"/>
  <c r="F504" i="24"/>
  <c r="G504" i="24"/>
  <c r="G506" i="24"/>
  <c r="G507" i="24"/>
  <c r="E552" i="24"/>
  <c r="E549" i="24"/>
  <c r="F572" i="24"/>
  <c r="F570" i="24"/>
  <c r="F571" i="24"/>
  <c r="F639" i="24"/>
  <c r="F637" i="24"/>
  <c r="G637" i="24"/>
  <c r="E696" i="24"/>
  <c r="E688" i="24"/>
  <c r="E689" i="24"/>
  <c r="E750" i="24"/>
  <c r="F763" i="24"/>
  <c r="F761" i="24"/>
  <c r="G761" i="24"/>
  <c r="F741" i="24"/>
  <c r="G741" i="24"/>
  <c r="G740" i="24"/>
  <c r="E768" i="24"/>
  <c r="E785" i="24"/>
  <c r="F608" i="24"/>
  <c r="G608" i="24"/>
  <c r="G607" i="24"/>
  <c r="F750" i="24"/>
  <c r="F772" i="24"/>
  <c r="F770" i="24"/>
  <c r="G770" i="24"/>
  <c r="E679" i="24"/>
  <c r="E759" i="24"/>
  <c r="F778" i="24"/>
  <c r="G778" i="24"/>
  <c r="F777" i="24"/>
  <c r="F776" i="24"/>
  <c r="G776" i="24"/>
  <c r="F775" i="24"/>
  <c r="G775" i="24"/>
  <c r="E672" i="24"/>
  <c r="E673" i="24"/>
  <c r="F785" i="24"/>
  <c r="E778" i="24"/>
  <c r="E776" i="24"/>
  <c r="L407" i="22"/>
  <c r="I83" i="23"/>
  <c r="L540" i="22"/>
  <c r="I108" i="23"/>
  <c r="L141" i="22"/>
  <c r="I33" i="23"/>
  <c r="E24" i="24"/>
  <c r="G34" i="24"/>
  <c r="L34" i="24"/>
  <c r="F38" i="24"/>
  <c r="G38" i="24"/>
  <c r="E437" i="24"/>
  <c r="E438" i="24"/>
  <c r="G879" i="24"/>
  <c r="L81" i="24"/>
  <c r="I18" i="25"/>
  <c r="F304" i="24"/>
  <c r="F305" i="24"/>
  <c r="E693" i="24"/>
  <c r="E694" i="24"/>
  <c r="F416" i="24"/>
  <c r="I220" i="24"/>
  <c r="M220" i="24"/>
  <c r="E342" i="24"/>
  <c r="E294" i="24"/>
  <c r="E295" i="24"/>
  <c r="M5" i="24"/>
  <c r="M6" i="24"/>
  <c r="E55" i="24"/>
  <c r="G415" i="24"/>
  <c r="G416" i="24"/>
  <c r="L38" i="24"/>
  <c r="D10" i="23"/>
  <c r="D15" i="23"/>
  <c r="D15" i="25"/>
  <c r="D23" i="25"/>
  <c r="D23" i="23"/>
  <c r="D73" i="23"/>
  <c r="D73" i="25"/>
  <c r="D36" i="25"/>
  <c r="D36" i="23"/>
  <c r="D40" i="23"/>
  <c r="D40" i="25"/>
  <c r="D70" i="25"/>
  <c r="D70" i="23"/>
  <c r="D99" i="25"/>
  <c r="D99" i="23"/>
  <c r="D22" i="25"/>
  <c r="D22" i="23"/>
  <c r="D59" i="25"/>
  <c r="D59" i="23"/>
  <c r="D85" i="23"/>
  <c r="D85" i="25"/>
  <c r="D11" i="25"/>
  <c r="D11" i="23"/>
  <c r="D109" i="25"/>
  <c r="D63" i="23"/>
  <c r="D63" i="25"/>
  <c r="D86" i="23"/>
  <c r="D86" i="25"/>
  <c r="D110" i="23"/>
  <c r="D110" i="25"/>
  <c r="D115" i="23"/>
  <c r="D38" i="23"/>
  <c r="D38" i="25"/>
  <c r="D123" i="23"/>
  <c r="D84" i="25"/>
  <c r="D93" i="25"/>
  <c r="K670" i="22"/>
  <c r="L444" i="24"/>
  <c r="L310" i="22"/>
  <c r="L335" i="24"/>
  <c r="L338" i="24"/>
  <c r="L576" i="24"/>
  <c r="L245" i="22"/>
  <c r="L466" i="22"/>
  <c r="L599" i="24"/>
  <c r="L466" i="24"/>
  <c r="M443" i="24"/>
  <c r="M577" i="24"/>
  <c r="L781" i="22"/>
  <c r="F584" i="22"/>
  <c r="G584" i="22"/>
  <c r="D24" i="25"/>
  <c r="P92" i="3"/>
  <c r="L96" i="22"/>
  <c r="G98" i="22"/>
  <c r="G156" i="22"/>
  <c r="L156" i="22"/>
  <c r="F157" i="22"/>
  <c r="E314" i="24"/>
  <c r="E326" i="24"/>
  <c r="E315" i="24"/>
  <c r="G55" i="22"/>
  <c r="D24" i="23"/>
  <c r="G304" i="24"/>
  <c r="F423" i="24"/>
  <c r="G423" i="24"/>
  <c r="G422" i="24"/>
  <c r="E283" i="24"/>
  <c r="E284" i="24"/>
  <c r="G94" i="22"/>
  <c r="I295" i="22"/>
  <c r="M295" i="22"/>
  <c r="S146" i="18"/>
  <c r="G220" i="22"/>
  <c r="G433" i="24"/>
  <c r="G802" i="24"/>
  <c r="L714" i="22"/>
  <c r="E757" i="24"/>
  <c r="E890" i="24"/>
  <c r="E892" i="24"/>
  <c r="E763" i="24"/>
  <c r="E761" i="24"/>
  <c r="G300" i="24"/>
  <c r="E58" i="24"/>
  <c r="E56" i="24"/>
  <c r="L601" i="22"/>
  <c r="L604" i="22"/>
  <c r="M161" i="22"/>
  <c r="I162" i="22"/>
  <c r="M162" i="22"/>
  <c r="L48" i="22"/>
  <c r="E422" i="24"/>
  <c r="E423" i="24"/>
  <c r="E430" i="24"/>
  <c r="E153" i="24"/>
  <c r="F28" i="24"/>
  <c r="F29" i="24"/>
  <c r="L409" i="24"/>
  <c r="G409" i="24"/>
  <c r="J28" i="3"/>
  <c r="R108" i="18"/>
  <c r="R110" i="18"/>
  <c r="R75" i="3"/>
  <c r="D43" i="5"/>
  <c r="J43" i="5"/>
  <c r="M43" i="5"/>
  <c r="L35" i="24"/>
  <c r="G7" i="22"/>
  <c r="G8" i="22"/>
  <c r="R195" i="3"/>
  <c r="P201" i="3"/>
  <c r="C54" i="5"/>
  <c r="I54" i="5"/>
  <c r="L54" i="5"/>
  <c r="Q86" i="18"/>
  <c r="D37" i="5"/>
  <c r="J37" i="5"/>
  <c r="M37" i="5"/>
  <c r="Q134" i="3"/>
  <c r="D38" i="5"/>
  <c r="J38" i="5"/>
  <c r="M38" i="5"/>
  <c r="F206" i="18"/>
  <c r="F214" i="18"/>
  <c r="X218" i="18"/>
  <c r="Z218" i="18"/>
  <c r="P114" i="3"/>
  <c r="P116" i="3"/>
  <c r="J116" i="3"/>
  <c r="R191" i="3"/>
  <c r="T196" i="18"/>
  <c r="R133" i="3"/>
  <c r="T138" i="18"/>
  <c r="Y138" i="18"/>
  <c r="G210" i="18"/>
  <c r="G212" i="18"/>
  <c r="Q208" i="18"/>
  <c r="Q210" i="18"/>
  <c r="R209" i="18"/>
  <c r="R210" i="18"/>
  <c r="R212" i="18"/>
  <c r="G138" i="18"/>
  <c r="Q135" i="18"/>
  <c r="Q138" i="18"/>
  <c r="G218" i="18"/>
  <c r="G224" i="18"/>
  <c r="Q216" i="18"/>
  <c r="Q218" i="18"/>
  <c r="R24" i="18"/>
  <c r="P8" i="18"/>
  <c r="X83" i="18"/>
  <c r="Z83" i="18"/>
  <c r="H86" i="18"/>
  <c r="U229" i="18"/>
  <c r="W229" i="18"/>
  <c r="U239" i="18"/>
  <c r="V239" i="18"/>
  <c r="K23" i="5"/>
  <c r="N23" i="5"/>
  <c r="D84" i="23"/>
  <c r="S8" i="18"/>
  <c r="AB8" i="18"/>
  <c r="C42" i="5"/>
  <c r="I42" i="5"/>
  <c r="L42" i="5"/>
  <c r="H196" i="18"/>
  <c r="R195" i="18"/>
  <c r="R196" i="18"/>
  <c r="Q194" i="18"/>
  <c r="Q196" i="18"/>
  <c r="P98" i="3"/>
  <c r="G101" i="18"/>
  <c r="R9" i="3"/>
  <c r="T8" i="18"/>
  <c r="Y8" i="18"/>
  <c r="P10" i="3"/>
  <c r="C10" i="5"/>
  <c r="I10" i="5"/>
  <c r="L10" i="5"/>
  <c r="I8" i="24"/>
  <c r="M4" i="24"/>
  <c r="N4" i="24"/>
  <c r="O4" i="24"/>
  <c r="I21" i="24"/>
  <c r="I36" i="24"/>
  <c r="I77" i="24"/>
  <c r="I77" i="22"/>
  <c r="I154" i="22"/>
  <c r="I147" i="22"/>
  <c r="I143" i="22"/>
  <c r="M143" i="22"/>
  <c r="I154" i="24"/>
  <c r="I147" i="24"/>
  <c r="I144" i="24"/>
  <c r="I196" i="24"/>
  <c r="I196" i="22"/>
  <c r="I270" i="22"/>
  <c r="I270" i="24"/>
  <c r="I335" i="22"/>
  <c r="I335" i="24"/>
  <c r="I338" i="24"/>
  <c r="I356" i="24"/>
  <c r="I356" i="22"/>
  <c r="I380" i="24"/>
  <c r="I378" i="24"/>
  <c r="M378" i="24"/>
  <c r="I380" i="22"/>
  <c r="I376" i="22"/>
  <c r="I403" i="24"/>
  <c r="I403" i="22"/>
  <c r="I444" i="24"/>
  <c r="I444" i="22"/>
  <c r="M444" i="22"/>
  <c r="I466" i="24"/>
  <c r="I466" i="22"/>
  <c r="I507" i="24"/>
  <c r="I507" i="22"/>
  <c r="I515" i="24"/>
  <c r="I515" i="22"/>
  <c r="I576" i="24"/>
  <c r="M576" i="24"/>
  <c r="N576" i="24"/>
  <c r="O576" i="24"/>
  <c r="I576" i="22"/>
  <c r="I631" i="24"/>
  <c r="I631" i="22"/>
  <c r="I626" i="22"/>
  <c r="I630" i="22"/>
  <c r="I646" i="24"/>
  <c r="I644" i="24"/>
  <c r="I646" i="22"/>
  <c r="I746" i="24"/>
  <c r="I746" i="22"/>
  <c r="I4" i="22"/>
  <c r="F20" i="22"/>
  <c r="I45" i="22"/>
  <c r="I90" i="22"/>
  <c r="I85" i="22"/>
  <c r="I89" i="22"/>
  <c r="I87" i="22"/>
  <c r="I88" i="22"/>
  <c r="M116" i="22"/>
  <c r="J23" i="23"/>
  <c r="E169" i="22"/>
  <c r="E173" i="22"/>
  <c r="G198" i="22"/>
  <c r="G206" i="22"/>
  <c r="I307" i="22"/>
  <c r="G347" i="22"/>
  <c r="F879" i="22"/>
  <c r="E688" i="22"/>
  <c r="E689" i="22"/>
  <c r="F14" i="24"/>
  <c r="F20" i="24"/>
  <c r="F843" i="24"/>
  <c r="G45" i="24"/>
  <c r="G635" i="24"/>
  <c r="E699" i="24"/>
  <c r="E700" i="24"/>
  <c r="E705" i="24"/>
  <c r="G759" i="24"/>
  <c r="C52" i="5"/>
  <c r="I52" i="5"/>
  <c r="L52" i="5"/>
  <c r="I114" i="24"/>
  <c r="I114" i="22"/>
  <c r="I174" i="24"/>
  <c r="I174" i="22"/>
  <c r="I287" i="24"/>
  <c r="I287" i="22"/>
  <c r="I309" i="22"/>
  <c r="I309" i="24"/>
  <c r="I311" i="24"/>
  <c r="I311" i="22"/>
  <c r="I333" i="24"/>
  <c r="I333" i="22"/>
  <c r="M333" i="22"/>
  <c r="I440" i="22"/>
  <c r="I435" i="22"/>
  <c r="I439" i="22"/>
  <c r="I437" i="22"/>
  <c r="I440" i="24"/>
  <c r="I462" i="24"/>
  <c r="I464" i="24"/>
  <c r="I462" i="22"/>
  <c r="I536" i="24"/>
  <c r="M536" i="24"/>
  <c r="I536" i="22"/>
  <c r="I553" i="24"/>
  <c r="I553" i="22"/>
  <c r="I593" i="24"/>
  <c r="I593" i="22"/>
  <c r="I599" i="22"/>
  <c r="I599" i="24"/>
  <c r="M599" i="24"/>
  <c r="I609" i="24"/>
  <c r="I609" i="22"/>
  <c r="I607" i="22"/>
  <c r="M607" i="22"/>
  <c r="I650" i="24"/>
  <c r="M650" i="24"/>
  <c r="I650" i="22"/>
  <c r="I669" i="24"/>
  <c r="M669" i="24"/>
  <c r="N669" i="24"/>
  <c r="O669" i="24"/>
  <c r="I669" i="22"/>
  <c r="I672" i="22"/>
  <c r="I673" i="22"/>
  <c r="I710" i="24"/>
  <c r="M710" i="24"/>
  <c r="I710" i="22"/>
  <c r="M710" i="22"/>
  <c r="I728" i="24"/>
  <c r="I728" i="22"/>
  <c r="I742" i="24"/>
  <c r="I742" i="22"/>
  <c r="I740" i="22"/>
  <c r="I755" i="24"/>
  <c r="I750" i="24"/>
  <c r="I755" i="22"/>
  <c r="I773" i="24"/>
  <c r="I773" i="22"/>
  <c r="I783" i="24"/>
  <c r="M783" i="24"/>
  <c r="I783" i="22"/>
  <c r="I734" i="24"/>
  <c r="M734" i="24"/>
  <c r="I734" i="22"/>
  <c r="I21" i="22"/>
  <c r="F865" i="22"/>
  <c r="I69" i="22"/>
  <c r="E120" i="22"/>
  <c r="I177" i="22"/>
  <c r="I178" i="22"/>
  <c r="E186" i="22"/>
  <c r="E182" i="22"/>
  <c r="I205" i="22"/>
  <c r="I214" i="22"/>
  <c r="I247" i="22"/>
  <c r="F378" i="22"/>
  <c r="F910" i="22"/>
  <c r="F377" i="22"/>
  <c r="F376" i="22"/>
  <c r="F379" i="22"/>
  <c r="G379" i="22"/>
  <c r="F448" i="22"/>
  <c r="G448" i="22"/>
  <c r="L448" i="22"/>
  <c r="F450" i="22"/>
  <c r="G450" i="22"/>
  <c r="L450" i="22"/>
  <c r="F449" i="22"/>
  <c r="F447" i="22"/>
  <c r="G447" i="22"/>
  <c r="F459" i="22"/>
  <c r="F454" i="22"/>
  <c r="G454" i="22"/>
  <c r="L454" i="22"/>
  <c r="E493" i="22"/>
  <c r="I671" i="22"/>
  <c r="E708" i="22"/>
  <c r="E722" i="22"/>
  <c r="E720" i="22"/>
  <c r="E723" i="22"/>
  <c r="I165" i="24"/>
  <c r="I232" i="24"/>
  <c r="I227" i="24"/>
  <c r="I231" i="24"/>
  <c r="I229" i="24"/>
  <c r="M229" i="24"/>
  <c r="E488" i="24"/>
  <c r="E486" i="24"/>
  <c r="E482" i="24"/>
  <c r="Q62" i="3"/>
  <c r="H25" i="18"/>
  <c r="X15" i="17"/>
  <c r="I61" i="24"/>
  <c r="I53" i="24"/>
  <c r="I61" i="22"/>
  <c r="I99" i="24"/>
  <c r="I94" i="24"/>
  <c r="I98" i="24"/>
  <c r="I99" i="22"/>
  <c r="I94" i="22"/>
  <c r="I98" i="22"/>
  <c r="I96" i="22"/>
  <c r="I97" i="22"/>
  <c r="I194" i="22"/>
  <c r="I194" i="24"/>
  <c r="I200" i="24"/>
  <c r="M200" i="24"/>
  <c r="I200" i="22"/>
  <c r="D61" i="23"/>
  <c r="I329" i="24"/>
  <c r="I329" i="22"/>
  <c r="I343" i="22"/>
  <c r="I341" i="22"/>
  <c r="I343" i="24"/>
  <c r="I347" i="24"/>
  <c r="I347" i="22"/>
  <c r="I365" i="24"/>
  <c r="I365" i="22"/>
  <c r="I374" i="24"/>
  <c r="I374" i="22"/>
  <c r="I382" i="24"/>
  <c r="M382" i="24"/>
  <c r="J73" i="25"/>
  <c r="I382" i="22"/>
  <c r="M382" i="22"/>
  <c r="I406" i="24"/>
  <c r="I405" i="24"/>
  <c r="M405" i="24"/>
  <c r="M406" i="24"/>
  <c r="I406" i="22"/>
  <c r="I431" i="24"/>
  <c r="I431" i="22"/>
  <c r="I460" i="24"/>
  <c r="I452" i="24"/>
  <c r="I460" i="22"/>
  <c r="I468" i="22"/>
  <c r="M468" i="22"/>
  <c r="M471" i="22"/>
  <c r="I468" i="24"/>
  <c r="I498" i="24"/>
  <c r="I498" i="22"/>
  <c r="I513" i="24"/>
  <c r="I509" i="24"/>
  <c r="I513" i="22"/>
  <c r="I509" i="22"/>
  <c r="I517" i="22"/>
  <c r="M517" i="22"/>
  <c r="I517" i="24"/>
  <c r="I575" i="24"/>
  <c r="I578" i="24"/>
  <c r="I575" i="22"/>
  <c r="I613" i="24"/>
  <c r="I613" i="22"/>
  <c r="I622" i="22"/>
  <c r="I622" i="24"/>
  <c r="I640" i="24"/>
  <c r="I640" i="22"/>
  <c r="I648" i="24"/>
  <c r="I648" i="22"/>
  <c r="I686" i="24"/>
  <c r="I679" i="24"/>
  <c r="I686" i="22"/>
  <c r="I697" i="24"/>
  <c r="I691" i="24"/>
  <c r="I697" i="22"/>
  <c r="I691" i="22"/>
  <c r="I696" i="22"/>
  <c r="I693" i="22"/>
  <c r="M693" i="22"/>
  <c r="I726" i="24"/>
  <c r="I726" i="22"/>
  <c r="I718" i="22"/>
  <c r="I764" i="24"/>
  <c r="I764" i="22"/>
  <c r="I781" i="24"/>
  <c r="I781" i="22"/>
  <c r="F708" i="24"/>
  <c r="F711" i="24"/>
  <c r="F708" i="22"/>
  <c r="F711" i="22"/>
  <c r="E10" i="22"/>
  <c r="I41" i="22"/>
  <c r="I43" i="22"/>
  <c r="F914" i="22"/>
  <c r="G118" i="22"/>
  <c r="I140" i="22"/>
  <c r="F182" i="22"/>
  <c r="G182" i="22"/>
  <c r="F181" i="22"/>
  <c r="F198" i="22"/>
  <c r="F206" i="22"/>
  <c r="E218" i="22"/>
  <c r="E216" i="22"/>
  <c r="I223" i="22"/>
  <c r="I443" i="22"/>
  <c r="M443" i="22"/>
  <c r="I476" i="22"/>
  <c r="I480" i="22"/>
  <c r="I577" i="22"/>
  <c r="G630" i="22"/>
  <c r="M81" i="24"/>
  <c r="J18" i="25"/>
  <c r="E110" i="24"/>
  <c r="E111" i="24"/>
  <c r="E112" i="24"/>
  <c r="E113" i="24"/>
  <c r="I210" i="24"/>
  <c r="I208" i="24"/>
  <c r="I209" i="24"/>
  <c r="M209" i="24"/>
  <c r="I251" i="24"/>
  <c r="M251" i="24"/>
  <c r="J49" i="25"/>
  <c r="I298" i="24"/>
  <c r="E502" i="24"/>
  <c r="K191" i="3"/>
  <c r="K201" i="3"/>
  <c r="K209" i="3"/>
  <c r="I55" i="3"/>
  <c r="J55" i="3"/>
  <c r="X12" i="17"/>
  <c r="X14" i="17"/>
  <c r="I46" i="24"/>
  <c r="X17" i="17"/>
  <c r="X22" i="17"/>
  <c r="I108" i="24"/>
  <c r="I108" i="22"/>
  <c r="I103" i="22"/>
  <c r="I107" i="22"/>
  <c r="I118" i="24"/>
  <c r="I916" i="24"/>
  <c r="I118" i="22"/>
  <c r="I137" i="24"/>
  <c r="I137" i="22"/>
  <c r="I176" i="24"/>
  <c r="M176" i="24"/>
  <c r="N176" i="24"/>
  <c r="I176" i="22"/>
  <c r="M176" i="22"/>
  <c r="N176" i="22"/>
  <c r="O176" i="22"/>
  <c r="D44" i="25"/>
  <c r="I245" i="24"/>
  <c r="I244" i="24"/>
  <c r="M244" i="24"/>
  <c r="I243" i="24"/>
  <c r="I273" i="22"/>
  <c r="I272" i="22"/>
  <c r="M272" i="22"/>
  <c r="I273" i="24"/>
  <c r="I272" i="24"/>
  <c r="M272" i="24"/>
  <c r="M273" i="24"/>
  <c r="I300" i="24"/>
  <c r="I310" i="24"/>
  <c r="I310" i="22"/>
  <c r="I327" i="24"/>
  <c r="I327" i="22"/>
  <c r="D83" i="23"/>
  <c r="I420" i="24"/>
  <c r="I420" i="22"/>
  <c r="I442" i="24"/>
  <c r="I442" i="22"/>
  <c r="D93" i="23"/>
  <c r="I484" i="24"/>
  <c r="I539" i="24"/>
  <c r="I539" i="22"/>
  <c r="I564" i="24"/>
  <c r="I564" i="22"/>
  <c r="I558" i="22"/>
  <c r="I595" i="24"/>
  <c r="I597" i="24"/>
  <c r="I595" i="22"/>
  <c r="I601" i="24"/>
  <c r="I604" i="24"/>
  <c r="I601" i="22"/>
  <c r="D124" i="25"/>
  <c r="I779" i="24"/>
  <c r="I775" i="24"/>
  <c r="I779" i="22"/>
  <c r="I775" i="22"/>
  <c r="I708" i="24"/>
  <c r="I708" i="22"/>
  <c r="I7" i="22"/>
  <c r="I6" i="22"/>
  <c r="F11" i="22"/>
  <c r="G11" i="22"/>
  <c r="I32" i="22"/>
  <c r="I26" i="22"/>
  <c r="I31" i="22"/>
  <c r="I44" i="22"/>
  <c r="F51" i="22"/>
  <c r="F50" i="22"/>
  <c r="F49" i="22"/>
  <c r="I63" i="22"/>
  <c r="I67" i="22"/>
  <c r="I81" i="22"/>
  <c r="M81" i="22"/>
  <c r="J18" i="23"/>
  <c r="F169" i="22"/>
  <c r="F173" i="22"/>
  <c r="F171" i="22"/>
  <c r="E253" i="22"/>
  <c r="G236" i="22"/>
  <c r="I241" i="22"/>
  <c r="F290" i="22"/>
  <c r="G290" i="22"/>
  <c r="F338" i="22"/>
  <c r="F339" i="22"/>
  <c r="G335" i="22"/>
  <c r="G338" i="22"/>
  <c r="I384" i="22"/>
  <c r="F425" i="22"/>
  <c r="F422" i="22"/>
  <c r="G462" i="22"/>
  <c r="F464" i="22"/>
  <c r="I489" i="22"/>
  <c r="I573" i="22"/>
  <c r="I568" i="22"/>
  <c r="E626" i="22"/>
  <c r="E624" i="22"/>
  <c r="I202" i="24"/>
  <c r="I867" i="24"/>
  <c r="I870" i="24"/>
  <c r="N394" i="24"/>
  <c r="M926" i="24"/>
  <c r="N926" i="24"/>
  <c r="G484" i="24"/>
  <c r="L482" i="24"/>
  <c r="L484" i="24"/>
  <c r="L489" i="24"/>
  <c r="I94" i="25"/>
  <c r="I706" i="24"/>
  <c r="F861" i="22"/>
  <c r="F863" i="22"/>
  <c r="G865" i="22"/>
  <c r="E76" i="22"/>
  <c r="E98" i="22"/>
  <c r="E96" i="22"/>
  <c r="F140" i="22"/>
  <c r="F141" i="22"/>
  <c r="I138" i="22"/>
  <c r="E234" i="22"/>
  <c r="G331" i="22"/>
  <c r="F355" i="22"/>
  <c r="F353" i="22"/>
  <c r="G353" i="22"/>
  <c r="E364" i="22"/>
  <c r="E362" i="22"/>
  <c r="F439" i="22"/>
  <c r="F445" i="22"/>
  <c r="E519" i="22"/>
  <c r="E509" i="22"/>
  <c r="E696" i="22"/>
  <c r="E693" i="22"/>
  <c r="E694" i="22"/>
  <c r="E867" i="24"/>
  <c r="E870" i="24"/>
  <c r="E72" i="24"/>
  <c r="E73" i="24"/>
  <c r="E120" i="24"/>
  <c r="E351" i="24"/>
  <c r="E355" i="24"/>
  <c r="E353" i="24"/>
  <c r="E386" i="24"/>
  <c r="F360" i="24"/>
  <c r="F358" i="24"/>
  <c r="G358" i="24"/>
  <c r="G360" i="24"/>
  <c r="F364" i="24"/>
  <c r="F362" i="24"/>
  <c r="G362" i="24"/>
  <c r="E519" i="24"/>
  <c r="E539" i="24"/>
  <c r="E540" i="24"/>
  <c r="G537" i="24"/>
  <c r="F581" i="24"/>
  <c r="F580" i="24"/>
  <c r="F583" i="24"/>
  <c r="G583" i="24"/>
  <c r="E510" i="22"/>
  <c r="E716" i="22"/>
  <c r="E715" i="22"/>
  <c r="E714" i="22"/>
  <c r="E713" i="22"/>
  <c r="E738" i="22"/>
  <c r="E673" i="22"/>
  <c r="E711" i="22"/>
  <c r="E744" i="22"/>
  <c r="E787" i="22"/>
  <c r="E795" i="22"/>
  <c r="E40" i="24"/>
  <c r="F120" i="24"/>
  <c r="E156" i="24"/>
  <c r="F173" i="24"/>
  <c r="F167" i="24"/>
  <c r="G167" i="24"/>
  <c r="G196" i="24"/>
  <c r="L196" i="24"/>
  <c r="L382" i="24"/>
  <c r="I73" i="25"/>
  <c r="E433" i="24"/>
  <c r="E434" i="24"/>
  <c r="F582" i="24"/>
  <c r="G582" i="24"/>
  <c r="G673" i="24"/>
  <c r="F302" i="22"/>
  <c r="F306" i="22"/>
  <c r="F304" i="22"/>
  <c r="G304" i="22"/>
  <c r="F488" i="22"/>
  <c r="F486" i="22"/>
  <c r="G486" i="22"/>
  <c r="G488" i="22"/>
  <c r="G669" i="22"/>
  <c r="G802" i="22"/>
  <c r="F685" i="22"/>
  <c r="F682" i="22"/>
  <c r="G682" i="22"/>
  <c r="F675" i="22"/>
  <c r="G675" i="22"/>
  <c r="G5" i="24"/>
  <c r="G7" i="24"/>
  <c r="G8" i="24"/>
  <c r="E7" i="24"/>
  <c r="E8" i="24"/>
  <c r="E79" i="24"/>
  <c r="F186" i="24"/>
  <c r="F193" i="24"/>
  <c r="F190" i="24"/>
  <c r="F227" i="24"/>
  <c r="F225" i="24"/>
  <c r="G225" i="24"/>
  <c r="F688" i="24"/>
  <c r="G688" i="24"/>
  <c r="F72" i="22"/>
  <c r="F73" i="22"/>
  <c r="F79" i="22"/>
  <c r="F122" i="22"/>
  <c r="F130" i="22"/>
  <c r="E378" i="22"/>
  <c r="E379" i="22"/>
  <c r="G442" i="22"/>
  <c r="F624" i="22"/>
  <c r="G624" i="22"/>
  <c r="L624" i="22"/>
  <c r="L626" i="22"/>
  <c r="E699" i="22"/>
  <c r="E700" i="22"/>
  <c r="L728" i="22"/>
  <c r="G730" i="22"/>
  <c r="G738" i="22"/>
  <c r="L5" i="24"/>
  <c r="F803" i="24"/>
  <c r="F805" i="24"/>
  <c r="E169" i="24"/>
  <c r="E173" i="24"/>
  <c r="F222" i="24"/>
  <c r="F220" i="24"/>
  <c r="F240" i="24"/>
  <c r="F238" i="24"/>
  <c r="F234" i="24"/>
  <c r="G234" i="24"/>
  <c r="E306" i="24"/>
  <c r="E304" i="24"/>
  <c r="E305" i="24"/>
  <c r="E378" i="24"/>
  <c r="E376" i="24"/>
  <c r="E464" i="24"/>
  <c r="E472" i="24"/>
  <c r="E861" i="24"/>
  <c r="E863" i="24"/>
  <c r="E512" i="24"/>
  <c r="E510" i="24"/>
  <c r="G597" i="24"/>
  <c r="G605" i="24"/>
  <c r="E607" i="24"/>
  <c r="E608" i="24"/>
  <c r="L670" i="24"/>
  <c r="L672" i="24"/>
  <c r="L673" i="24"/>
  <c r="I670" i="24"/>
  <c r="I671" i="24"/>
  <c r="F672" i="24"/>
  <c r="F673" i="24"/>
  <c r="F730" i="24"/>
  <c r="G728" i="24"/>
  <c r="G730" i="24"/>
  <c r="G738" i="24"/>
  <c r="F748" i="22"/>
  <c r="G748" i="22"/>
  <c r="F754" i="22"/>
  <c r="F752" i="22"/>
  <c r="G752" i="22"/>
  <c r="F46" i="24"/>
  <c r="F841" i="24"/>
  <c r="F844" i="24"/>
  <c r="G43" i="24"/>
  <c r="F159" i="24"/>
  <c r="E206" i="24"/>
  <c r="E231" i="24"/>
  <c r="E229" i="24"/>
  <c r="G309" i="24"/>
  <c r="L309" i="24"/>
  <c r="F312" i="24"/>
  <c r="F509" i="24"/>
  <c r="G509" i="24"/>
  <c r="F510" i="24"/>
  <c r="G510" i="24"/>
  <c r="F604" i="24"/>
  <c r="E617" i="24"/>
  <c r="E615" i="24"/>
  <c r="E645" i="24"/>
  <c r="E642" i="24"/>
  <c r="E644" i="24"/>
  <c r="E643" i="24"/>
  <c r="F701" i="24"/>
  <c r="F705" i="24"/>
  <c r="L766" i="24"/>
  <c r="L768" i="24"/>
  <c r="L781" i="24"/>
  <c r="F253" i="24"/>
  <c r="E592" i="24"/>
  <c r="E582" i="24"/>
  <c r="F718" i="24"/>
  <c r="E777" i="24"/>
  <c r="E775" i="24"/>
  <c r="F243" i="24"/>
  <c r="G243" i="24"/>
  <c r="M243" i="24"/>
  <c r="F244" i="24"/>
  <c r="F592" i="24"/>
  <c r="F589" i="24"/>
  <c r="G589" i="24"/>
  <c r="L589" i="24"/>
  <c r="F615" i="24"/>
  <c r="G615" i="24"/>
  <c r="G617" i="24"/>
  <c r="E740" i="24"/>
  <c r="E741" i="24"/>
  <c r="M44" i="22"/>
  <c r="G708" i="22"/>
  <c r="F841" i="22"/>
  <c r="F844" i="22"/>
  <c r="M613" i="24"/>
  <c r="J118" i="25"/>
  <c r="I471" i="22"/>
  <c r="I750" i="22"/>
  <c r="I754" i="22"/>
  <c r="I730" i="22"/>
  <c r="I546" i="24"/>
  <c r="I552" i="24"/>
  <c r="M462" i="24"/>
  <c r="E157" i="24"/>
  <c r="M138" i="22"/>
  <c r="I236" i="22"/>
  <c r="I240" i="22"/>
  <c r="G49" i="22"/>
  <c r="I597" i="22"/>
  <c r="I179" i="24"/>
  <c r="G708" i="24"/>
  <c r="I759" i="24"/>
  <c r="I696" i="24"/>
  <c r="I617" i="24"/>
  <c r="I621" i="24"/>
  <c r="I493" i="24"/>
  <c r="I497" i="24"/>
  <c r="I495" i="24"/>
  <c r="M495" i="24"/>
  <c r="I452" i="22"/>
  <c r="I459" i="22"/>
  <c r="I360" i="24"/>
  <c r="I358" i="24"/>
  <c r="D60" i="23"/>
  <c r="F456" i="22"/>
  <c r="F455" i="22"/>
  <c r="F457" i="22"/>
  <c r="G378" i="22"/>
  <c r="E183" i="22"/>
  <c r="E848" i="22"/>
  <c r="E184" i="22"/>
  <c r="E181" i="22"/>
  <c r="E846" i="22"/>
  <c r="I14" i="22"/>
  <c r="I20" i="22"/>
  <c r="I18" i="22"/>
  <c r="I737" i="24"/>
  <c r="I730" i="24"/>
  <c r="M669" i="22"/>
  <c r="N669" i="22"/>
  <c r="O669" i="22"/>
  <c r="I435" i="24"/>
  <c r="I433" i="24"/>
  <c r="M433" i="24"/>
  <c r="I280" i="22"/>
  <c r="I278" i="22"/>
  <c r="I110" i="22"/>
  <c r="I112" i="22"/>
  <c r="I111" i="22"/>
  <c r="I302" i="22"/>
  <c r="I644" i="22"/>
  <c r="I643" i="22"/>
  <c r="M643" i="22"/>
  <c r="N643" i="22"/>
  <c r="I642" i="22"/>
  <c r="I502" i="22"/>
  <c r="I843" i="24"/>
  <c r="R201" i="3"/>
  <c r="E54" i="5"/>
  <c r="T200" i="18"/>
  <c r="E53" i="5"/>
  <c r="K53" i="5"/>
  <c r="N53" i="5"/>
  <c r="G29" i="24"/>
  <c r="L29" i="24"/>
  <c r="G302" i="24"/>
  <c r="G222" i="22"/>
  <c r="L55" i="22"/>
  <c r="L637" i="22"/>
  <c r="L639" i="22"/>
  <c r="G190" i="24"/>
  <c r="F191" i="24"/>
  <c r="G191" i="24"/>
  <c r="F188" i="24"/>
  <c r="F681" i="22"/>
  <c r="I65" i="22"/>
  <c r="I445" i="22"/>
  <c r="D69" i="23"/>
  <c r="D69" i="25"/>
  <c r="I292" i="24"/>
  <c r="I297" i="24"/>
  <c r="I294" i="24"/>
  <c r="M294" i="24"/>
  <c r="I759" i="22"/>
  <c r="I635" i="24"/>
  <c r="I639" i="24"/>
  <c r="I637" i="24"/>
  <c r="J73" i="23"/>
  <c r="I341" i="24"/>
  <c r="I186" i="22"/>
  <c r="I193" i="22"/>
  <c r="I189" i="22"/>
  <c r="I159" i="24"/>
  <c r="E841" i="22"/>
  <c r="G198" i="24"/>
  <c r="I205" i="24"/>
  <c r="D120" i="25"/>
  <c r="D120" i="23"/>
  <c r="I558" i="24"/>
  <c r="I563" i="24"/>
  <c r="M442" i="24"/>
  <c r="N442" i="24"/>
  <c r="I445" i="24"/>
  <c r="M118" i="22"/>
  <c r="J24" i="23"/>
  <c r="I916" i="22"/>
  <c r="D19" i="25"/>
  <c r="D19" i="23"/>
  <c r="I578" i="22"/>
  <c r="F699" i="24"/>
  <c r="G699" i="24"/>
  <c r="L7" i="24"/>
  <c r="L8" i="24"/>
  <c r="I8" i="25"/>
  <c r="F300" i="22"/>
  <c r="G300" i="22"/>
  <c r="F168" i="24"/>
  <c r="F437" i="22"/>
  <c r="G437" i="22"/>
  <c r="L437" i="22"/>
  <c r="F871" i="22"/>
  <c r="I484" i="22"/>
  <c r="I488" i="22"/>
  <c r="F430" i="22"/>
  <c r="F427" i="22"/>
  <c r="I879" i="22"/>
  <c r="I120" i="22"/>
  <c r="G50" i="22"/>
  <c r="F12" i="22"/>
  <c r="I413" i="22"/>
  <c r="I419" i="22"/>
  <c r="I417" i="22"/>
  <c r="M417" i="22"/>
  <c r="D72" i="23"/>
  <c r="D72" i="25"/>
  <c r="D34" i="25"/>
  <c r="I474" i="22"/>
  <c r="I139" i="22"/>
  <c r="M139" i="22"/>
  <c r="I36" i="22"/>
  <c r="I40" i="22"/>
  <c r="I38" i="22"/>
  <c r="M38" i="22"/>
  <c r="I679" i="22"/>
  <c r="I685" i="22"/>
  <c r="I683" i="22"/>
  <c r="I510" i="22"/>
  <c r="I369" i="22"/>
  <c r="I367" i="22"/>
  <c r="I368" i="22"/>
  <c r="M329" i="22"/>
  <c r="M331" i="22"/>
  <c r="I53" i="22"/>
  <c r="I60" i="22"/>
  <c r="I55" i="22"/>
  <c r="I243" i="22"/>
  <c r="E193" i="22"/>
  <c r="I768" i="22"/>
  <c r="I772" i="22"/>
  <c r="I770" i="22"/>
  <c r="I673" i="24"/>
  <c r="I607" i="24"/>
  <c r="M607" i="24"/>
  <c r="I585" i="24"/>
  <c r="I592" i="24"/>
  <c r="I540" i="24"/>
  <c r="I280" i="24"/>
  <c r="I286" i="24"/>
  <c r="I112" i="24"/>
  <c r="I110" i="24"/>
  <c r="I111" i="24"/>
  <c r="E222" i="22"/>
  <c r="E220" i="22"/>
  <c r="E167" i="22"/>
  <c r="I843" i="22"/>
  <c r="I643" i="24"/>
  <c r="I642" i="24"/>
  <c r="I645" i="24"/>
  <c r="I502" i="24"/>
  <c r="I506" i="24"/>
  <c r="I504" i="24"/>
  <c r="I505" i="24"/>
  <c r="I377" i="24"/>
  <c r="M377" i="24"/>
  <c r="I376" i="24"/>
  <c r="I338" i="22"/>
  <c r="I198" i="22"/>
  <c r="I75" i="22"/>
  <c r="I76" i="22"/>
  <c r="I14" i="24"/>
  <c r="I20" i="24"/>
  <c r="I16" i="24"/>
  <c r="AA8" i="18"/>
  <c r="AD8" i="18"/>
  <c r="G28" i="24"/>
  <c r="G305" i="24"/>
  <c r="L305" i="24"/>
  <c r="E324" i="24"/>
  <c r="E322" i="24"/>
  <c r="G157" i="22"/>
  <c r="L157" i="22"/>
  <c r="F587" i="24"/>
  <c r="G489" i="22"/>
  <c r="E349" i="24"/>
  <c r="I319" i="24"/>
  <c r="I314" i="24"/>
  <c r="M314" i="24"/>
  <c r="D44" i="23"/>
  <c r="E12" i="22"/>
  <c r="I493" i="22"/>
  <c r="I497" i="22"/>
  <c r="I495" i="22"/>
  <c r="I496" i="22"/>
  <c r="I425" i="24"/>
  <c r="I360" i="22"/>
  <c r="I364" i="22"/>
  <c r="I362" i="22"/>
  <c r="M362" i="22"/>
  <c r="D61" i="25"/>
  <c r="G377" i="22"/>
  <c r="L377" i="22"/>
  <c r="J124" i="25"/>
  <c r="I169" i="24"/>
  <c r="G843" i="24"/>
  <c r="I8" i="22"/>
  <c r="I785" i="24"/>
  <c r="I626" i="24"/>
  <c r="I630" i="24"/>
  <c r="I628" i="24"/>
  <c r="M628" i="24"/>
  <c r="I407" i="24"/>
  <c r="I351" i="24"/>
  <c r="I355" i="24"/>
  <c r="M270" i="22"/>
  <c r="I34" i="24"/>
  <c r="I35" i="24"/>
  <c r="M35" i="24"/>
  <c r="X196" i="18"/>
  <c r="Z196" i="18"/>
  <c r="H206" i="18"/>
  <c r="H214" i="18"/>
  <c r="L98" i="22"/>
  <c r="E588" i="24"/>
  <c r="E590" i="24"/>
  <c r="E589" i="24"/>
  <c r="E587" i="24"/>
  <c r="F715" i="24"/>
  <c r="G715" i="24"/>
  <c r="L715" i="24"/>
  <c r="F713" i="24"/>
  <c r="G713" i="24"/>
  <c r="L713" i="24"/>
  <c r="F714" i="24"/>
  <c r="G714" i="24"/>
  <c r="L714" i="24"/>
  <c r="E621" i="24"/>
  <c r="E619" i="24"/>
  <c r="L752" i="22"/>
  <c r="L754" i="22"/>
  <c r="G754" i="22"/>
  <c r="G220" i="24"/>
  <c r="G222" i="24"/>
  <c r="L442" i="22"/>
  <c r="G841" i="22"/>
  <c r="F181" i="24"/>
  <c r="G181" i="24"/>
  <c r="L181" i="24"/>
  <c r="F183" i="24"/>
  <c r="F184" i="24"/>
  <c r="F182" i="24"/>
  <c r="G182" i="24"/>
  <c r="F677" i="22"/>
  <c r="F171" i="24"/>
  <c r="E38" i="24"/>
  <c r="G580" i="24"/>
  <c r="I701" i="24"/>
  <c r="I705" i="24"/>
  <c r="I703" i="24"/>
  <c r="M703" i="24"/>
  <c r="E630" i="22"/>
  <c r="E628" i="22"/>
  <c r="I865" i="22"/>
  <c r="G51" i="22"/>
  <c r="I776" i="22"/>
  <c r="M776" i="22"/>
  <c r="I777" i="22"/>
  <c r="M777" i="22"/>
  <c r="I604" i="22"/>
  <c r="I413" i="24"/>
  <c r="I419" i="24"/>
  <c r="I415" i="24"/>
  <c r="M415" i="24"/>
  <c r="I319" i="22"/>
  <c r="I301" i="24"/>
  <c r="M137" i="22"/>
  <c r="N137" i="22"/>
  <c r="O137" i="22"/>
  <c r="I141" i="22"/>
  <c r="F56" i="18"/>
  <c r="L118" i="22"/>
  <c r="I24" i="23"/>
  <c r="I718" i="24"/>
  <c r="I725" i="24"/>
  <c r="I635" i="22"/>
  <c r="I639" i="22"/>
  <c r="I637" i="22"/>
  <c r="M637" i="22"/>
  <c r="I510" i="24"/>
  <c r="I511" i="24"/>
  <c r="I471" i="24"/>
  <c r="I425" i="22"/>
  <c r="D45" i="23"/>
  <c r="D45" i="25"/>
  <c r="I186" i="24"/>
  <c r="I181" i="24"/>
  <c r="M181" i="24"/>
  <c r="I60" i="24"/>
  <c r="I56" i="24"/>
  <c r="M56" i="24"/>
  <c r="R25" i="18"/>
  <c r="G376" i="22"/>
  <c r="G380" i="22"/>
  <c r="I72" i="22"/>
  <c r="I73" i="22"/>
  <c r="M69" i="22"/>
  <c r="I768" i="24"/>
  <c r="I772" i="24"/>
  <c r="I770" i="24"/>
  <c r="I740" i="24"/>
  <c r="I741" i="24"/>
  <c r="M741" i="24"/>
  <c r="I546" i="22"/>
  <c r="I464" i="22"/>
  <c r="I472" i="22"/>
  <c r="I169" i="22"/>
  <c r="I173" i="22"/>
  <c r="I171" i="22"/>
  <c r="M171" i="22"/>
  <c r="E703" i="24"/>
  <c r="E704" i="24"/>
  <c r="F11" i="24"/>
  <c r="G11" i="24"/>
  <c r="F10" i="24"/>
  <c r="F16" i="22"/>
  <c r="G16" i="22"/>
  <c r="F17" i="22"/>
  <c r="I785" i="22"/>
  <c r="I351" i="22"/>
  <c r="I355" i="22"/>
  <c r="M270" i="24"/>
  <c r="M274" i="24"/>
  <c r="J58" i="25"/>
  <c r="I274" i="24"/>
  <c r="I198" i="24"/>
  <c r="I206" i="24"/>
  <c r="I75" i="24"/>
  <c r="I76" i="24"/>
  <c r="I40" i="24"/>
  <c r="I38" i="24"/>
  <c r="U9" i="3"/>
  <c r="R10" i="3"/>
  <c r="E10" i="5"/>
  <c r="K10" i="5"/>
  <c r="N10" i="5"/>
  <c r="D33" i="25"/>
  <c r="D33" i="23"/>
  <c r="X86" i="18"/>
  <c r="Z86" i="18"/>
  <c r="E427" i="24"/>
  <c r="G435" i="24"/>
  <c r="L433" i="24"/>
  <c r="L435" i="24"/>
  <c r="AD146" i="18"/>
  <c r="S148" i="18"/>
  <c r="AB146" i="18"/>
  <c r="L422" i="24"/>
  <c r="I23" i="25"/>
  <c r="L304" i="24"/>
  <c r="I416" i="22"/>
  <c r="M416" i="22"/>
  <c r="I415" i="22"/>
  <c r="M415" i="22"/>
  <c r="I56" i="22"/>
  <c r="I57" i="22"/>
  <c r="M57" i="22"/>
  <c r="I766" i="24"/>
  <c r="G183" i="24"/>
  <c r="I560" i="24"/>
  <c r="M560" i="24"/>
  <c r="I277" i="22"/>
  <c r="M277" i="22"/>
  <c r="I349" i="22"/>
  <c r="E39" i="24"/>
  <c r="I358" i="22"/>
  <c r="M358" i="22"/>
  <c r="I12" i="24"/>
  <c r="E168" i="22"/>
  <c r="M208" i="24"/>
  <c r="L208" i="24"/>
  <c r="G12" i="22"/>
  <c r="G14" i="22"/>
  <c r="F301" i="22"/>
  <c r="I295" i="24"/>
  <c r="M295" i="24"/>
  <c r="M297" i="24"/>
  <c r="Y200" i="18"/>
  <c r="AC200" i="18"/>
  <c r="I144" i="22"/>
  <c r="M144" i="22"/>
  <c r="I145" i="22"/>
  <c r="I500" i="22"/>
  <c r="I748" i="24"/>
  <c r="I16" i="22"/>
  <c r="M16" i="22"/>
  <c r="I17" i="22"/>
  <c r="M17" i="22"/>
  <c r="E185" i="22"/>
  <c r="L378" i="22"/>
  <c r="G910" i="22"/>
  <c r="I96" i="24"/>
  <c r="I97" i="24"/>
  <c r="I688" i="24"/>
  <c r="I689" i="24"/>
  <c r="M689" i="24"/>
  <c r="L708" i="24"/>
  <c r="G711" i="24"/>
  <c r="G422" i="22"/>
  <c r="G236" i="24"/>
  <c r="L234" i="24"/>
  <c r="L236" i="24"/>
  <c r="I752" i="22"/>
  <c r="M752" i="22"/>
  <c r="I694" i="22"/>
  <c r="M694" i="22"/>
  <c r="M696" i="22"/>
  <c r="L708" i="22"/>
  <c r="G677" i="22"/>
  <c r="I500" i="24"/>
  <c r="M500" i="24"/>
  <c r="E189" i="22"/>
  <c r="E191" i="22"/>
  <c r="E190" i="22"/>
  <c r="E188" i="22"/>
  <c r="I633" i="24"/>
  <c r="I693" i="24"/>
  <c r="M693" i="24"/>
  <c r="I628" i="22"/>
  <c r="I167" i="22"/>
  <c r="I225" i="24"/>
  <c r="M225" i="24"/>
  <c r="I422" i="22"/>
  <c r="M422" i="22"/>
  <c r="I105" i="22"/>
  <c r="I106" i="22"/>
  <c r="M106" i="22"/>
  <c r="L220" i="24"/>
  <c r="I145" i="24"/>
  <c r="M145" i="24"/>
  <c r="I353" i="24"/>
  <c r="I354" i="24"/>
  <c r="M354" i="24"/>
  <c r="M353" i="24"/>
  <c r="I422" i="24"/>
  <c r="M422" i="24"/>
  <c r="M112" i="24"/>
  <c r="I433" i="22"/>
  <c r="M433" i="22"/>
  <c r="I581" i="24"/>
  <c r="I580" i="24"/>
  <c r="M580" i="24"/>
  <c r="I766" i="22"/>
  <c r="I682" i="22"/>
  <c r="I681" i="22"/>
  <c r="M681" i="22"/>
  <c r="I409" i="22"/>
  <c r="M409" i="22"/>
  <c r="I411" i="22"/>
  <c r="I410" i="22"/>
  <c r="I412" i="22"/>
  <c r="M412" i="22"/>
  <c r="I486" i="22"/>
  <c r="M486" i="22"/>
  <c r="G168" i="24"/>
  <c r="L300" i="22"/>
  <c r="I28" i="22"/>
  <c r="I156" i="24"/>
  <c r="M156" i="24"/>
  <c r="I92" i="22"/>
  <c r="I93" i="22"/>
  <c r="M93" i="22"/>
  <c r="I289" i="24"/>
  <c r="I290" i="24"/>
  <c r="M290" i="24"/>
  <c r="G188" i="24"/>
  <c r="L188" i="24"/>
  <c r="AC196" i="18"/>
  <c r="Y196" i="18"/>
  <c r="I153" i="22"/>
  <c r="I506" i="22"/>
  <c r="I83" i="22"/>
  <c r="I84" i="22"/>
  <c r="I300" i="22"/>
  <c r="I908" i="22"/>
  <c r="I754" i="24"/>
  <c r="I12" i="22"/>
  <c r="M12" i="22"/>
  <c r="I11" i="22"/>
  <c r="I543" i="22"/>
  <c r="I676" i="22"/>
  <c r="I809" i="22"/>
  <c r="I10" i="22"/>
  <c r="M10" i="22"/>
  <c r="G457" i="22"/>
  <c r="L457" i="22"/>
  <c r="G456" i="22"/>
  <c r="I92" i="24"/>
  <c r="M92" i="24"/>
  <c r="I364" i="24"/>
  <c r="I362" i="24"/>
  <c r="M362" i="24"/>
  <c r="I491" i="24"/>
  <c r="I619" i="24"/>
  <c r="I620" i="24"/>
  <c r="M620" i="24"/>
  <c r="M619" i="24"/>
  <c r="I757" i="24"/>
  <c r="I234" i="22"/>
  <c r="L304" i="22"/>
  <c r="I544" i="24"/>
  <c r="I543" i="24"/>
  <c r="M543" i="24"/>
  <c r="I542" i="24"/>
  <c r="I748" i="22"/>
  <c r="I688" i="22"/>
  <c r="M688" i="22"/>
  <c r="I555" i="22"/>
  <c r="I353" i="22"/>
  <c r="I354" i="22"/>
  <c r="I542" i="22"/>
  <c r="M542" i="22"/>
  <c r="I544" i="22"/>
  <c r="I55" i="24"/>
  <c r="M55" i="24"/>
  <c r="I676" i="24"/>
  <c r="I677" i="24"/>
  <c r="M677" i="24"/>
  <c r="I675" i="24"/>
  <c r="M675" i="24"/>
  <c r="I624" i="24"/>
  <c r="M624" i="24"/>
  <c r="I48" i="22"/>
  <c r="M48" i="22"/>
  <c r="I188" i="22"/>
  <c r="I190" i="22"/>
  <c r="M111" i="22"/>
  <c r="N270" i="24"/>
  <c r="O270" i="24"/>
  <c r="I624" i="22"/>
  <c r="M624" i="22"/>
  <c r="G17" i="22"/>
  <c r="L17" i="22"/>
  <c r="G10" i="24"/>
  <c r="I552" i="22"/>
  <c r="I550" i="22"/>
  <c r="M550" i="22"/>
  <c r="I48" i="24"/>
  <c r="I430" i="22"/>
  <c r="I427" i="22"/>
  <c r="I685" i="24"/>
  <c r="F59" i="18"/>
  <c r="I101" i="22"/>
  <c r="I102" i="22"/>
  <c r="M102" i="22"/>
  <c r="M775" i="22"/>
  <c r="L775" i="22"/>
  <c r="G679" i="22"/>
  <c r="G184" i="24"/>
  <c r="I153" i="24"/>
  <c r="I151" i="24"/>
  <c r="M151" i="24"/>
  <c r="I349" i="24"/>
  <c r="M349" i="24"/>
  <c r="I430" i="24"/>
  <c r="I427" i="24"/>
  <c r="M427" i="24"/>
  <c r="L642" i="24"/>
  <c r="M642" i="24"/>
  <c r="I278" i="24"/>
  <c r="M278" i="24"/>
  <c r="I277" i="24"/>
  <c r="I276" i="24"/>
  <c r="I608" i="24"/>
  <c r="M608" i="24"/>
  <c r="I373" i="22"/>
  <c r="I371" i="22"/>
  <c r="M676" i="22"/>
  <c r="I677" i="22"/>
  <c r="M677" i="22"/>
  <c r="I34" i="22"/>
  <c r="I35" i="22"/>
  <c r="M35" i="22"/>
  <c r="I475" i="22"/>
  <c r="M475" i="22"/>
  <c r="I482" i="22"/>
  <c r="F438" i="22"/>
  <c r="L167" i="24"/>
  <c r="L699" i="24"/>
  <c r="L243" i="24"/>
  <c r="I23" i="22"/>
  <c r="I24" i="22"/>
  <c r="M24" i="22"/>
  <c r="I164" i="24"/>
  <c r="I182" i="22"/>
  <c r="I181" i="22"/>
  <c r="I183" i="22"/>
  <c r="I757" i="22"/>
  <c r="I758" i="22"/>
  <c r="M758" i="22"/>
  <c r="G681" i="22"/>
  <c r="I645" i="22"/>
  <c r="I286" i="22"/>
  <c r="I284" i="22"/>
  <c r="M284" i="22"/>
  <c r="I608" i="22"/>
  <c r="M608" i="22"/>
  <c r="M737" i="24"/>
  <c r="I342" i="22"/>
  <c r="M342" i="22"/>
  <c r="I447" i="22"/>
  <c r="M447" i="22"/>
  <c r="I448" i="22"/>
  <c r="I615" i="24"/>
  <c r="I616" i="24"/>
  <c r="M616" i="24"/>
  <c r="I763" i="24"/>
  <c r="I761" i="24"/>
  <c r="I762" i="24"/>
  <c r="M762" i="24"/>
  <c r="I566" i="22"/>
  <c r="I567" i="22"/>
  <c r="M567" i="22"/>
  <c r="M140" i="22"/>
  <c r="N140" i="22"/>
  <c r="O140" i="22"/>
  <c r="I472" i="24"/>
  <c r="I563" i="22"/>
  <c r="I560" i="22"/>
  <c r="M560" i="22"/>
  <c r="M88" i="22"/>
  <c r="M16" i="24"/>
  <c r="M18" i="22"/>
  <c r="M97" i="22"/>
  <c r="L456" i="22"/>
  <c r="M28" i="22"/>
  <c r="M354" i="22"/>
  <c r="I689" i="22"/>
  <c r="I749" i="22"/>
  <c r="I504" i="22"/>
  <c r="I359" i="24"/>
  <c r="I501" i="22"/>
  <c r="M96" i="22"/>
  <c r="M98" i="22"/>
  <c r="N98" i="22"/>
  <c r="O98" i="22"/>
  <c r="I681" i="24"/>
  <c r="I682" i="24"/>
  <c r="M682" i="24"/>
  <c r="I683" i="24"/>
  <c r="I625" i="24"/>
  <c r="M625" i="24"/>
  <c r="I157" i="24"/>
  <c r="M157" i="24"/>
  <c r="L222" i="24"/>
  <c r="I168" i="22"/>
  <c r="I501" i="24"/>
  <c r="I496" i="24"/>
  <c r="M496" i="24"/>
  <c r="M497" i="24"/>
  <c r="M56" i="22"/>
  <c r="I629" i="24"/>
  <c r="M629" i="24"/>
  <c r="M630" i="24"/>
  <c r="I771" i="22"/>
  <c r="G438" i="22"/>
  <c r="G439" i="22"/>
  <c r="I149" i="24"/>
  <c r="M149" i="24"/>
  <c r="I150" i="24"/>
  <c r="I548" i="22"/>
  <c r="M548" i="22"/>
  <c r="I556" i="22"/>
  <c r="M556" i="22"/>
  <c r="I235" i="22"/>
  <c r="M235" i="22"/>
  <c r="I752" i="24"/>
  <c r="I29" i="22"/>
  <c r="M29" i="22"/>
  <c r="M31" i="22"/>
  <c r="I767" i="22"/>
  <c r="M767" i="22"/>
  <c r="I226" i="24"/>
  <c r="I753" i="22"/>
  <c r="M753" i="22"/>
  <c r="M97" i="24"/>
  <c r="M87" i="22"/>
  <c r="M89" i="22"/>
  <c r="I146" i="22"/>
  <c r="G301" i="22"/>
  <c r="G302" i="22"/>
  <c r="M12" i="24"/>
  <c r="I350" i="22"/>
  <c r="M38" i="24"/>
  <c r="M55" i="22"/>
  <c r="I230" i="24"/>
  <c r="M230" i="24"/>
  <c r="I771" i="24"/>
  <c r="D47" i="25"/>
  <c r="D47" i="23"/>
  <c r="D96" i="23"/>
  <c r="D96" i="25"/>
  <c r="D60" i="25"/>
  <c r="D95" i="23"/>
  <c r="F73" i="25"/>
  <c r="F428" i="22"/>
  <c r="G428" i="22"/>
  <c r="L428" i="22"/>
  <c r="G427" i="22"/>
  <c r="L427" i="22"/>
  <c r="P55" i="3"/>
  <c r="G56" i="18"/>
  <c r="F172" i="22"/>
  <c r="G172" i="22"/>
  <c r="G171" i="22"/>
  <c r="M637" i="24"/>
  <c r="I638" i="24"/>
  <c r="M638" i="24"/>
  <c r="F703" i="24"/>
  <c r="G703" i="24"/>
  <c r="L703" i="24"/>
  <c r="F458" i="22"/>
  <c r="G458" i="22"/>
  <c r="E911" i="24"/>
  <c r="I312" i="24"/>
  <c r="F286" i="24"/>
  <c r="F283" i="24"/>
  <c r="F277" i="24"/>
  <c r="G277" i="24"/>
  <c r="F276" i="24"/>
  <c r="G276" i="24"/>
  <c r="E587" i="22"/>
  <c r="E590" i="22"/>
  <c r="E588" i="22"/>
  <c r="G168" i="18"/>
  <c r="M60" i="22"/>
  <c r="M101" i="22"/>
  <c r="M103" i="22"/>
  <c r="I350" i="24"/>
  <c r="M350" i="24"/>
  <c r="I684" i="22"/>
  <c r="M684" i="22"/>
  <c r="G312" i="24"/>
  <c r="E321" i="24"/>
  <c r="E323" i="24"/>
  <c r="F364" i="22"/>
  <c r="F362" i="22"/>
  <c r="G362" i="22"/>
  <c r="F358" i="22"/>
  <c r="G200" i="18"/>
  <c r="G206" i="18"/>
  <c r="G214" i="18"/>
  <c r="Q198" i="18"/>
  <c r="Q200" i="18"/>
  <c r="E326" i="22"/>
  <c r="E322" i="22"/>
  <c r="E317" i="22"/>
  <c r="F542" i="22"/>
  <c r="F552" i="22"/>
  <c r="I545" i="22"/>
  <c r="M545" i="22"/>
  <c r="E179" i="24"/>
  <c r="E212" i="24"/>
  <c r="E255" i="24"/>
  <c r="E263" i="24"/>
  <c r="G339" i="22"/>
  <c r="I245" i="22"/>
  <c r="I244" i="22"/>
  <c r="E317" i="24"/>
  <c r="E316" i="24"/>
  <c r="E318" i="24"/>
  <c r="E633" i="22"/>
  <c r="E639" i="22"/>
  <c r="E637" i="22"/>
  <c r="C48" i="5"/>
  <c r="I48" i="5"/>
  <c r="L48" i="5"/>
  <c r="P185" i="3"/>
  <c r="C50" i="5"/>
  <c r="I50" i="5"/>
  <c r="L50" i="5"/>
  <c r="I638" i="22"/>
  <c r="F164" i="24"/>
  <c r="F161" i="24"/>
  <c r="F156" i="24"/>
  <c r="G539" i="24"/>
  <c r="G540" i="24"/>
  <c r="G803" i="24"/>
  <c r="G805" i="24"/>
  <c r="G806" i="24"/>
  <c r="T218" i="18"/>
  <c r="Y218" i="18"/>
  <c r="F437" i="24"/>
  <c r="G437" i="24"/>
  <c r="L437" i="24"/>
  <c r="E58" i="5"/>
  <c r="K58" i="5"/>
  <c r="N58" i="5"/>
  <c r="AC218" i="18"/>
  <c r="F491" i="22"/>
  <c r="G491" i="22"/>
  <c r="G493" i="22"/>
  <c r="F497" i="22"/>
  <c r="F495" i="22"/>
  <c r="G495" i="22"/>
  <c r="G497" i="22"/>
  <c r="E605" i="22"/>
  <c r="I13" i="22"/>
  <c r="M13" i="22"/>
  <c r="I711" i="22"/>
  <c r="I617" i="22"/>
  <c r="I615" i="22"/>
  <c r="I652" i="22"/>
  <c r="L770" i="24"/>
  <c r="L772" i="24"/>
  <c r="G772" i="24"/>
  <c r="G773" i="24"/>
  <c r="L761" i="24"/>
  <c r="L763" i="24"/>
  <c r="G763" i="24"/>
  <c r="G764" i="24"/>
  <c r="E615" i="22"/>
  <c r="E621" i="22"/>
  <c r="E619" i="22"/>
  <c r="Q184" i="18"/>
  <c r="Q188" i="18"/>
  <c r="G188" i="18"/>
  <c r="R186" i="18"/>
  <c r="J96" i="3"/>
  <c r="G90" i="18"/>
  <c r="L309" i="22"/>
  <c r="L841" i="22"/>
  <c r="G312" i="22"/>
  <c r="I428" i="24"/>
  <c r="M428" i="24"/>
  <c r="M430" i="24"/>
  <c r="I359" i="22"/>
  <c r="M359" i="22"/>
  <c r="I675" i="22"/>
  <c r="M675" i="22"/>
  <c r="I694" i="24"/>
  <c r="I17" i="24"/>
  <c r="G455" i="22"/>
  <c r="L455" i="22"/>
  <c r="I555" i="24"/>
  <c r="I556" i="24"/>
  <c r="I10" i="24"/>
  <c r="M10" i="24"/>
  <c r="I276" i="22"/>
  <c r="I279" i="22"/>
  <c r="M279" i="22"/>
  <c r="L16" i="22"/>
  <c r="E908" i="24"/>
  <c r="E167" i="24"/>
  <c r="E168" i="24"/>
  <c r="E899" i="22"/>
  <c r="E901" i="22"/>
  <c r="E724" i="22"/>
  <c r="L143" i="24"/>
  <c r="G143" i="24"/>
  <c r="F748" i="24"/>
  <c r="G748" i="24"/>
  <c r="F754" i="24"/>
  <c r="F752" i="24"/>
  <c r="G752" i="24"/>
  <c r="C45" i="5"/>
  <c r="I45" i="5"/>
  <c r="L45" i="5"/>
  <c r="P170" i="3"/>
  <c r="C47" i="5"/>
  <c r="I47" i="5"/>
  <c r="L47" i="5"/>
  <c r="Q33" i="18"/>
  <c r="F40" i="18"/>
  <c r="F696" i="24"/>
  <c r="F693" i="24"/>
  <c r="F689" i="24"/>
  <c r="G689" i="24"/>
  <c r="I18" i="24"/>
  <c r="M18" i="24"/>
  <c r="I11" i="24"/>
  <c r="F836" i="24"/>
  <c r="I246" i="22"/>
  <c r="L434" i="24"/>
  <c r="F145" i="22"/>
  <c r="G145" i="22"/>
  <c r="G144" i="22"/>
  <c r="L619" i="24"/>
  <c r="L621" i="24"/>
  <c r="G621" i="24"/>
  <c r="I93" i="24"/>
  <c r="M93" i="24"/>
  <c r="M94" i="24"/>
  <c r="I678" i="24"/>
  <c r="M678" i="24"/>
  <c r="I873" i="22"/>
  <c r="I713" i="24"/>
  <c r="M713" i="24"/>
  <c r="F167" i="22"/>
  <c r="E457" i="22"/>
  <c r="E455" i="22"/>
  <c r="E456" i="22"/>
  <c r="E454" i="22"/>
  <c r="E458" i="22"/>
  <c r="E433" i="22"/>
  <c r="E434" i="22"/>
  <c r="E439" i="22"/>
  <c r="X222" i="18"/>
  <c r="Z222" i="18"/>
  <c r="H224" i="18"/>
  <c r="M670" i="22"/>
  <c r="F39" i="24"/>
  <c r="F149" i="22"/>
  <c r="L149" i="22"/>
  <c r="E451" i="22"/>
  <c r="H159" i="18"/>
  <c r="J75" i="3"/>
  <c r="J77" i="3"/>
  <c r="I129" i="3"/>
  <c r="H187" i="18"/>
  <c r="R187" i="18"/>
  <c r="V16" i="18"/>
  <c r="G170" i="18"/>
  <c r="Q166" i="3"/>
  <c r="F116" i="18"/>
  <c r="F101" i="18"/>
  <c r="Q101" i="18"/>
  <c r="J34" i="5"/>
  <c r="M34" i="5"/>
  <c r="I61" i="3"/>
  <c r="P203" i="3"/>
  <c r="P205" i="3"/>
  <c r="Q37" i="3"/>
  <c r="I201" i="3"/>
  <c r="D23" i="5"/>
  <c r="J23" i="5"/>
  <c r="M23" i="5"/>
  <c r="K24" i="5"/>
  <c r="N24" i="5"/>
  <c r="I20" i="5"/>
  <c r="L20" i="5"/>
  <c r="F803" i="22"/>
  <c r="F805" i="22"/>
  <c r="F806" i="22"/>
  <c r="L50" i="22"/>
  <c r="M83" i="22"/>
  <c r="M112" i="22"/>
  <c r="F273" i="22"/>
  <c r="F509" i="22"/>
  <c r="G509" i="22"/>
  <c r="F510" i="22"/>
  <c r="G510" i="22"/>
  <c r="G513" i="22"/>
  <c r="L577" i="22"/>
  <c r="L716" i="22"/>
  <c r="L777" i="22"/>
  <c r="L384" i="22"/>
  <c r="I74" i="23"/>
  <c r="L599" i="22"/>
  <c r="L347" i="22"/>
  <c r="L196" i="22"/>
  <c r="L198" i="22"/>
  <c r="M555" i="22"/>
  <c r="F111" i="24"/>
  <c r="G111" i="24"/>
  <c r="L111" i="24"/>
  <c r="E581" i="24"/>
  <c r="G99" i="22"/>
  <c r="E578" i="22"/>
  <c r="E611" i="22"/>
  <c r="E654" i="22"/>
  <c r="E662" i="22"/>
  <c r="F253" i="22"/>
  <c r="I206" i="22"/>
  <c r="G223" i="22"/>
  <c r="E908" i="22"/>
  <c r="I711" i="24"/>
  <c r="E59" i="24"/>
  <c r="G36" i="24"/>
  <c r="G380" i="24"/>
  <c r="F721" i="22"/>
  <c r="G721" i="22"/>
  <c r="Q178" i="18"/>
  <c r="Q182" i="18"/>
  <c r="Q190" i="18"/>
  <c r="Q104" i="3"/>
  <c r="H37" i="18"/>
  <c r="R37" i="18"/>
  <c r="J177" i="3"/>
  <c r="G114" i="18"/>
  <c r="P150" i="3"/>
  <c r="P154" i="3"/>
  <c r="G102" i="18"/>
  <c r="Q102" i="18"/>
  <c r="Q204" i="3"/>
  <c r="Q205" i="3"/>
  <c r="I24" i="5"/>
  <c r="L24" i="5"/>
  <c r="E842" i="24"/>
  <c r="M273" i="22"/>
  <c r="N273" i="22"/>
  <c r="O273" i="22"/>
  <c r="N406" i="24"/>
  <c r="O406" i="24"/>
  <c r="Q276" i="17"/>
  <c r="J19" i="5"/>
  <c r="M19" i="5"/>
  <c r="R119" i="18"/>
  <c r="R121" i="18"/>
  <c r="E339" i="22"/>
  <c r="L732" i="22"/>
  <c r="I274" i="22"/>
  <c r="I113" i="22"/>
  <c r="F349" i="24"/>
  <c r="G349" i="24"/>
  <c r="F314" i="22"/>
  <c r="F846" i="22"/>
  <c r="T71" i="18"/>
  <c r="J105" i="3"/>
  <c r="D28" i="5"/>
  <c r="J28" i="5"/>
  <c r="M28" i="5"/>
  <c r="X10" i="17"/>
  <c r="K52" i="3"/>
  <c r="F11" i="18"/>
  <c r="R152" i="18"/>
  <c r="E512" i="22"/>
  <c r="M23" i="22"/>
  <c r="M26" i="22"/>
  <c r="M92" i="22"/>
  <c r="M576" i="22"/>
  <c r="L178" i="22"/>
  <c r="M613" i="22"/>
  <c r="J118" i="23"/>
  <c r="M601" i="22"/>
  <c r="M604" i="22"/>
  <c r="L482" i="22"/>
  <c r="L484" i="22"/>
  <c r="L209" i="22"/>
  <c r="L184" i="24"/>
  <c r="M595" i="24"/>
  <c r="M597" i="24"/>
  <c r="M775" i="24"/>
  <c r="L624" i="24"/>
  <c r="L626" i="24"/>
  <c r="J219" i="3"/>
  <c r="K20" i="5"/>
  <c r="N20" i="5"/>
  <c r="I537" i="22"/>
  <c r="M537" i="22"/>
  <c r="E803" i="24"/>
  <c r="E805" i="24"/>
  <c r="L341" i="24"/>
  <c r="N243" i="24"/>
  <c r="O243" i="24"/>
  <c r="N73" i="25"/>
  <c r="M683" i="24"/>
  <c r="M543" i="22"/>
  <c r="M748" i="22"/>
  <c r="M300" i="24"/>
  <c r="M245" i="22"/>
  <c r="N245" i="22"/>
  <c r="L36" i="24"/>
  <c r="L75" i="22"/>
  <c r="M226" i="24"/>
  <c r="M227" i="24"/>
  <c r="M542" i="24"/>
  <c r="M505" i="24"/>
  <c r="M466" i="22"/>
  <c r="N466" i="22"/>
  <c r="O466" i="22"/>
  <c r="M644" i="22"/>
  <c r="M182" i="22"/>
  <c r="L775" i="24"/>
  <c r="N775" i="24"/>
  <c r="O775" i="24"/>
  <c r="M648" i="22"/>
  <c r="J123" i="23"/>
  <c r="M500" i="22"/>
  <c r="M644" i="24"/>
  <c r="L191" i="24"/>
  <c r="M648" i="24"/>
  <c r="J123" i="25"/>
  <c r="M167" i="22"/>
  <c r="M349" i="22"/>
  <c r="M189" i="22"/>
  <c r="L748" i="24"/>
  <c r="L750" i="24"/>
  <c r="M504" i="22"/>
  <c r="M506" i="22"/>
  <c r="M276" i="24"/>
  <c r="M368" i="22"/>
  <c r="M411" i="22"/>
  <c r="M67" i="22"/>
  <c r="M732" i="22"/>
  <c r="N732" i="22"/>
  <c r="O732" i="22"/>
  <c r="L289" i="22"/>
  <c r="L517" i="22"/>
  <c r="I99" i="23"/>
  <c r="I449" i="22"/>
  <c r="M448" i="22"/>
  <c r="I49" i="24"/>
  <c r="M48" i="24"/>
  <c r="I150" i="22"/>
  <c r="I149" i="22"/>
  <c r="I282" i="22"/>
  <c r="I814" i="22"/>
  <c r="I151" i="22"/>
  <c r="L362" i="22"/>
  <c r="L364" i="22"/>
  <c r="G364" i="22"/>
  <c r="I549" i="22"/>
  <c r="M355" i="24"/>
  <c r="M633" i="24"/>
  <c r="M635" i="24"/>
  <c r="I634" i="24"/>
  <c r="M634" i="24"/>
  <c r="I549" i="24"/>
  <c r="M549" i="24"/>
  <c r="I548" i="24"/>
  <c r="I550" i="24"/>
  <c r="M550" i="24"/>
  <c r="L430" i="22"/>
  <c r="G169" i="24"/>
  <c r="I283" i="22"/>
  <c r="M491" i="24"/>
  <c r="I492" i="24"/>
  <c r="E192" i="22"/>
  <c r="G646" i="24"/>
  <c r="Q123" i="18"/>
  <c r="Q125" i="18"/>
  <c r="G126" i="18"/>
  <c r="G174" i="18"/>
  <c r="Q170" i="18"/>
  <c r="Q174" i="18"/>
  <c r="Q176" i="18"/>
  <c r="Q21" i="18"/>
  <c r="F29" i="18"/>
  <c r="G103" i="18"/>
  <c r="P100" i="3"/>
  <c r="J25" i="5"/>
  <c r="M25" i="5"/>
  <c r="G77" i="22"/>
  <c r="M621" i="24"/>
  <c r="N621" i="24"/>
  <c r="I363" i="24"/>
  <c r="U8" i="18"/>
  <c r="I143" i="24"/>
  <c r="L306" i="24"/>
  <c r="F185" i="24"/>
  <c r="G185" i="24"/>
  <c r="F700" i="24"/>
  <c r="F189" i="24"/>
  <c r="G189" i="24"/>
  <c r="L189" i="24"/>
  <c r="E910" i="24"/>
  <c r="E122" i="24"/>
  <c r="E130" i="24"/>
  <c r="G832" i="24"/>
  <c r="I46" i="22"/>
  <c r="I79" i="22"/>
  <c r="I122" i="22"/>
  <c r="I130" i="22"/>
  <c r="E151" i="22"/>
  <c r="G764" i="22"/>
  <c r="H110" i="18"/>
  <c r="Q38" i="3"/>
  <c r="Q183" i="3"/>
  <c r="D49" i="5"/>
  <c r="J49" i="5"/>
  <c r="M49" i="5"/>
  <c r="H97" i="18"/>
  <c r="R97" i="18"/>
  <c r="R99" i="18"/>
  <c r="Z138" i="18"/>
  <c r="F192" i="24"/>
  <c r="G192" i="24"/>
  <c r="L192" i="24"/>
  <c r="L193" i="24"/>
  <c r="E808" i="22"/>
  <c r="J185" i="3"/>
  <c r="J187" i="3"/>
  <c r="M96" i="24"/>
  <c r="M98" i="24"/>
  <c r="I57" i="24"/>
  <c r="M57" i="24"/>
  <c r="M60" i="24"/>
  <c r="I704" i="24"/>
  <c r="M704" i="24"/>
  <c r="M705" i="24"/>
  <c r="I633" i="22"/>
  <c r="F18" i="22"/>
  <c r="I410" i="24"/>
  <c r="I561" i="24"/>
  <c r="M561" i="24"/>
  <c r="M563" i="24"/>
  <c r="G159" i="22"/>
  <c r="F832" i="24"/>
  <c r="I572" i="22"/>
  <c r="I605" i="24"/>
  <c r="I611" i="24"/>
  <c r="I842" i="22"/>
  <c r="I246" i="24"/>
  <c r="L246" i="24"/>
  <c r="G190" i="18"/>
  <c r="F459" i="24"/>
  <c r="F455" i="24"/>
  <c r="G455" i="24"/>
  <c r="L455" i="24"/>
  <c r="F449" i="24"/>
  <c r="G449" i="24"/>
  <c r="L449" i="24"/>
  <c r="E548" i="24"/>
  <c r="F544" i="22"/>
  <c r="G544" i="22"/>
  <c r="E555" i="22"/>
  <c r="E556" i="22"/>
  <c r="E566" i="22"/>
  <c r="E417" i="22"/>
  <c r="J161" i="3"/>
  <c r="H167" i="18"/>
  <c r="H168" i="18"/>
  <c r="Z146" i="18"/>
  <c r="AA146" i="18"/>
  <c r="J101" i="3"/>
  <c r="F104" i="18"/>
  <c r="E112" i="22"/>
  <c r="E113" i="22"/>
  <c r="E208" i="22"/>
  <c r="E209" i="22"/>
  <c r="L511" i="22"/>
  <c r="L177" i="24"/>
  <c r="L710" i="24"/>
  <c r="N710" i="24"/>
  <c r="O710" i="24"/>
  <c r="L734" i="24"/>
  <c r="J35" i="5"/>
  <c r="M35" i="5"/>
  <c r="Q40" i="3"/>
  <c r="K12" i="5"/>
  <c r="N12" i="5"/>
  <c r="L650" i="22"/>
  <c r="I124" i="23"/>
  <c r="L367" i="22"/>
  <c r="L369" i="22"/>
  <c r="L333" i="22"/>
  <c r="N333" i="22"/>
  <c r="O333" i="22"/>
  <c r="M63" i="24"/>
  <c r="M65" i="24"/>
  <c r="L648" i="24"/>
  <c r="N648" i="24"/>
  <c r="J60" i="3"/>
  <c r="P112" i="3"/>
  <c r="C34" i="5"/>
  <c r="I34" i="5"/>
  <c r="L34" i="5"/>
  <c r="G162" i="18"/>
  <c r="R180" i="18"/>
  <c r="E916" i="22"/>
  <c r="E297" i="22"/>
  <c r="F471" i="22"/>
  <c r="F472" i="22"/>
  <c r="F539" i="22"/>
  <c r="F540" i="22"/>
  <c r="L200" i="24"/>
  <c r="N200" i="24"/>
  <c r="O200" i="24"/>
  <c r="E377" i="24"/>
  <c r="G108" i="22"/>
  <c r="G141" i="22"/>
  <c r="F99" i="18"/>
  <c r="I40" i="5"/>
  <c r="L40" i="5"/>
  <c r="H182" i="18"/>
  <c r="X182" i="18"/>
  <c r="J201" i="3"/>
  <c r="J20" i="5"/>
  <c r="M20" i="5"/>
  <c r="I156" i="3"/>
  <c r="I732" i="24"/>
  <c r="M732" i="24"/>
  <c r="E8" i="22"/>
  <c r="E79" i="22"/>
  <c r="E122" i="22"/>
  <c r="E130" i="22"/>
  <c r="F406" i="22"/>
  <c r="F407" i="22"/>
  <c r="G445" i="22"/>
  <c r="G843" i="22"/>
  <c r="I138" i="24"/>
  <c r="F916" i="24"/>
  <c r="S96" i="3"/>
  <c r="M282" i="22"/>
  <c r="L458" i="22"/>
  <c r="L459" i="22"/>
  <c r="L748" i="22"/>
  <c r="L750" i="22"/>
  <c r="L755" i="22"/>
  <c r="G750" i="22"/>
  <c r="G755" i="22"/>
  <c r="M427" i="22"/>
  <c r="I826" i="22"/>
  <c r="I895" i="24"/>
  <c r="M363" i="24"/>
  <c r="M364" i="24"/>
  <c r="I721" i="24"/>
  <c r="I720" i="24"/>
  <c r="G186" i="24"/>
  <c r="I459" i="24"/>
  <c r="I447" i="24"/>
  <c r="I846" i="24"/>
  <c r="I448" i="24"/>
  <c r="M448" i="24"/>
  <c r="E506" i="24"/>
  <c r="E504" i="24"/>
  <c r="E500" i="24"/>
  <c r="I585" i="22"/>
  <c r="I592" i="22"/>
  <c r="G76" i="24"/>
  <c r="G77" i="24"/>
  <c r="F874" i="24"/>
  <c r="G8" i="18"/>
  <c r="G9" i="18"/>
  <c r="J10" i="3"/>
  <c r="G841" i="24"/>
  <c r="L43" i="24"/>
  <c r="L371" i="24"/>
  <c r="L373" i="24"/>
  <c r="G373" i="24"/>
  <c r="F282" i="24"/>
  <c r="F284" i="24"/>
  <c r="R86" i="18"/>
  <c r="S83" i="18"/>
  <c r="R140" i="18"/>
  <c r="S134" i="18"/>
  <c r="I423" i="22"/>
  <c r="M423" i="22"/>
  <c r="I146" i="24"/>
  <c r="M146" i="24"/>
  <c r="G193" i="24"/>
  <c r="M99" i="24"/>
  <c r="J20" i="25"/>
  <c r="I428" i="22"/>
  <c r="M428" i="22"/>
  <c r="I161" i="24"/>
  <c r="I821" i="22"/>
  <c r="M141" i="22"/>
  <c r="I434" i="24"/>
  <c r="M434" i="24"/>
  <c r="I621" i="22"/>
  <c r="Q56" i="18"/>
  <c r="I284" i="24"/>
  <c r="M284" i="24"/>
  <c r="I616" i="22"/>
  <c r="M616" i="22"/>
  <c r="I417" i="24"/>
  <c r="M417" i="24"/>
  <c r="I416" i="24"/>
  <c r="M416" i="24"/>
  <c r="I605" i="22"/>
  <c r="I218" i="22"/>
  <c r="G181" i="22"/>
  <c r="E491" i="22"/>
  <c r="E890" i="22"/>
  <c r="E892" i="22"/>
  <c r="E497" i="22"/>
  <c r="E495" i="22"/>
  <c r="I867" i="22"/>
  <c r="I870" i="22"/>
  <c r="I737" i="22"/>
  <c r="I738" i="22"/>
  <c r="I744" i="22"/>
  <c r="I787" i="22"/>
  <c r="I795" i="22"/>
  <c r="Q156" i="18"/>
  <c r="Q160" i="18"/>
  <c r="E772" i="24"/>
  <c r="E770" i="24"/>
  <c r="E766" i="24"/>
  <c r="G621" i="22"/>
  <c r="G622" i="22"/>
  <c r="L619" i="22"/>
  <c r="L621" i="22"/>
  <c r="G341" i="22"/>
  <c r="F873" i="22"/>
  <c r="E506" i="22"/>
  <c r="E504" i="22"/>
  <c r="F419" i="22"/>
  <c r="F410" i="22"/>
  <c r="G410" i="22"/>
  <c r="F409" i="22"/>
  <c r="G409" i="22"/>
  <c r="L475" i="22"/>
  <c r="N475" i="22"/>
  <c r="G476" i="22"/>
  <c r="Z182" i="18"/>
  <c r="I802" i="22"/>
  <c r="M536" i="22"/>
  <c r="F427" i="24"/>
  <c r="G427" i="24"/>
  <c r="F428" i="24"/>
  <c r="G428" i="24"/>
  <c r="L428" i="24"/>
  <c r="I26" i="24"/>
  <c r="I79" i="24"/>
  <c r="E423" i="22"/>
  <c r="G779" i="22"/>
  <c r="L776" i="22"/>
  <c r="N776" i="22"/>
  <c r="E563" i="24"/>
  <c r="E560" i="24"/>
  <c r="E561" i="24"/>
  <c r="E555" i="24"/>
  <c r="E556" i="24"/>
  <c r="G430" i="22"/>
  <c r="G431" i="22"/>
  <c r="I505" i="22"/>
  <c r="M505" i="22"/>
  <c r="I19" i="22"/>
  <c r="M19" i="22"/>
  <c r="I39" i="22"/>
  <c r="M39" i="22"/>
  <c r="M40" i="22"/>
  <c r="I894" i="24"/>
  <c r="I545" i="24"/>
  <c r="I625" i="22"/>
  <c r="M625" i="22"/>
  <c r="I808" i="22"/>
  <c r="I582" i="24"/>
  <c r="M582" i="24"/>
  <c r="I238" i="22"/>
  <c r="I903" i="22"/>
  <c r="L438" i="22"/>
  <c r="L439" i="22"/>
  <c r="F172" i="24"/>
  <c r="I193" i="24"/>
  <c r="M367" i="22"/>
  <c r="M369" i="22"/>
  <c r="I282" i="24"/>
  <c r="M282" i="24"/>
  <c r="I283" i="24"/>
  <c r="I810" i="22"/>
  <c r="I434" i="22"/>
  <c r="I714" i="24"/>
  <c r="M714" i="24"/>
  <c r="I182" i="24"/>
  <c r="I183" i="24"/>
  <c r="M183" i="24"/>
  <c r="I409" i="24"/>
  <c r="I411" i="24"/>
  <c r="I713" i="22"/>
  <c r="I714" i="22"/>
  <c r="I725" i="22"/>
  <c r="G626" i="22"/>
  <c r="G631" i="22"/>
  <c r="I454" i="22"/>
  <c r="I455" i="22"/>
  <c r="M455" i="22"/>
  <c r="G622" i="24"/>
  <c r="I179" i="22"/>
  <c r="I841" i="22"/>
  <c r="I844" i="22"/>
  <c r="M137" i="24"/>
  <c r="N137" i="24"/>
  <c r="O137" i="24"/>
  <c r="I802" i="24"/>
  <c r="I103" i="24"/>
  <c r="I107" i="24"/>
  <c r="I105" i="24"/>
  <c r="L581" i="22"/>
  <c r="G847" i="22"/>
  <c r="G58" i="22"/>
  <c r="F59" i="22"/>
  <c r="G59" i="22"/>
  <c r="L59" i="22"/>
  <c r="G772" i="22"/>
  <c r="G773" i="22"/>
  <c r="L770" i="22"/>
  <c r="L772" i="22"/>
  <c r="I173" i="24"/>
  <c r="I167" i="24"/>
  <c r="F590" i="24"/>
  <c r="G590" i="24"/>
  <c r="L590" i="24"/>
  <c r="F588" i="24"/>
  <c r="G588" i="24"/>
  <c r="L588" i="24"/>
  <c r="I439" i="24"/>
  <c r="G283" i="24"/>
  <c r="L283" i="24"/>
  <c r="D59" i="5"/>
  <c r="J59" i="5"/>
  <c r="M59" i="5"/>
  <c r="Q219" i="3"/>
  <c r="D60" i="5"/>
  <c r="J60" i="5"/>
  <c r="M60" i="5"/>
  <c r="R140" i="3"/>
  <c r="Q142" i="3"/>
  <c r="D41" i="5"/>
  <c r="J41" i="5"/>
  <c r="M41" i="5"/>
  <c r="R112" i="3"/>
  <c r="R182" i="18"/>
  <c r="S182" i="18"/>
  <c r="I474" i="24"/>
  <c r="I873" i="24"/>
  <c r="E349" i="22"/>
  <c r="E355" i="22"/>
  <c r="E353" i="22"/>
  <c r="E725" i="24"/>
  <c r="E714" i="24"/>
  <c r="E713" i="24"/>
  <c r="E716" i="24"/>
  <c r="L301" i="22"/>
  <c r="L302" i="22"/>
  <c r="I561" i="22"/>
  <c r="M561" i="22"/>
  <c r="M563" i="22"/>
  <c r="I423" i="24"/>
  <c r="M558" i="22"/>
  <c r="I418" i="24"/>
  <c r="M418" i="24"/>
  <c r="M419" i="24"/>
  <c r="I418" i="22"/>
  <c r="M418" i="22"/>
  <c r="M419" i="22"/>
  <c r="I478" i="24"/>
  <c r="I699" i="24"/>
  <c r="G171" i="24"/>
  <c r="G306" i="24"/>
  <c r="G307" i="24"/>
  <c r="E826" i="24"/>
  <c r="F12" i="24"/>
  <c r="I326" i="24"/>
  <c r="I315" i="24"/>
  <c r="I316" i="24"/>
  <c r="M316" i="24"/>
  <c r="G46" i="24"/>
  <c r="E885" i="22"/>
  <c r="E887" i="22"/>
  <c r="I511" i="22"/>
  <c r="M511" i="22"/>
  <c r="I519" i="22"/>
  <c r="G711" i="22"/>
  <c r="F725" i="24"/>
  <c r="F722" i="24"/>
  <c r="G722" i="24"/>
  <c r="F716" i="24"/>
  <c r="G716" i="24"/>
  <c r="G238" i="24"/>
  <c r="F903" i="24"/>
  <c r="F905" i="24"/>
  <c r="G867" i="22"/>
  <c r="G870" i="22"/>
  <c r="L335" i="22"/>
  <c r="L338" i="22"/>
  <c r="M6" i="22"/>
  <c r="M7" i="22"/>
  <c r="N7" i="22"/>
  <c r="O7" i="22"/>
  <c r="I488" i="24"/>
  <c r="I482" i="24"/>
  <c r="I881" i="24"/>
  <c r="I405" i="22"/>
  <c r="M405" i="22"/>
  <c r="I407" i="22"/>
  <c r="I478" i="22"/>
  <c r="I521" i="22"/>
  <c r="I529" i="22"/>
  <c r="I386" i="22"/>
  <c r="I331" i="22"/>
  <c r="I339" i="22"/>
  <c r="I861" i="22"/>
  <c r="I863" i="22"/>
  <c r="I871" i="22"/>
  <c r="D35" i="23"/>
  <c r="D135" i="23"/>
  <c r="D35" i="25"/>
  <c r="I312" i="22"/>
  <c r="E171" i="22"/>
  <c r="E172" i="22"/>
  <c r="I652" i="24"/>
  <c r="I654" i="24"/>
  <c r="I662" i="24"/>
  <c r="F150" i="24"/>
  <c r="G150" i="24"/>
  <c r="F149" i="24"/>
  <c r="G435" i="22"/>
  <c r="G440" i="22"/>
  <c r="L433" i="22"/>
  <c r="I231" i="22"/>
  <c r="I229" i="22"/>
  <c r="I230" i="22"/>
  <c r="M230" i="22"/>
  <c r="I225" i="22"/>
  <c r="M225" i="22"/>
  <c r="I226" i="22"/>
  <c r="M226" i="22"/>
  <c r="F29" i="22"/>
  <c r="G28" i="22"/>
  <c r="D40" i="5"/>
  <c r="J40" i="5"/>
  <c r="M40" i="5"/>
  <c r="P84" i="3"/>
  <c r="C29" i="5"/>
  <c r="I29" i="5"/>
  <c r="L29" i="5"/>
  <c r="R81" i="3"/>
  <c r="C28" i="5"/>
  <c r="I28" i="5"/>
  <c r="L28" i="5"/>
  <c r="E847" i="22"/>
  <c r="E894" i="22"/>
  <c r="E896" i="22"/>
  <c r="E903" i="22"/>
  <c r="E905" i="22"/>
  <c r="E906" i="22"/>
  <c r="G861" i="22"/>
  <c r="G863" i="22"/>
  <c r="I842" i="24"/>
  <c r="K221" i="3"/>
  <c r="J123" i="3"/>
  <c r="G777" i="24"/>
  <c r="E685" i="24"/>
  <c r="E675" i="24"/>
  <c r="G609" i="24"/>
  <c r="L607" i="24"/>
  <c r="N607" i="24"/>
  <c r="I572" i="24"/>
  <c r="I570" i="24"/>
  <c r="I566" i="24"/>
  <c r="G410" i="24"/>
  <c r="F411" i="24"/>
  <c r="G411" i="24"/>
  <c r="I238" i="24"/>
  <c r="M238" i="24"/>
  <c r="I239" i="24"/>
  <c r="M239" i="24"/>
  <c r="G23" i="22"/>
  <c r="F24" i="22"/>
  <c r="G34" i="18"/>
  <c r="Q35" i="18"/>
  <c r="Q40" i="18"/>
  <c r="P36" i="3"/>
  <c r="P40" i="3"/>
  <c r="J129" i="3"/>
  <c r="P125" i="3"/>
  <c r="P129" i="3"/>
  <c r="G176" i="18"/>
  <c r="G192" i="18"/>
  <c r="Q167" i="3"/>
  <c r="H173" i="18"/>
  <c r="J167" i="3"/>
  <c r="E911" i="22"/>
  <c r="P96" i="3"/>
  <c r="M7" i="24"/>
  <c r="G693" i="24"/>
  <c r="L693" i="24"/>
  <c r="F694" i="24"/>
  <c r="I221" i="24"/>
  <c r="M221" i="24"/>
  <c r="M222" i="24"/>
  <c r="N222" i="24"/>
  <c r="E144" i="24"/>
  <c r="E143" i="24"/>
  <c r="I304" i="24"/>
  <c r="M304" i="24"/>
  <c r="G723" i="22"/>
  <c r="F724" i="22"/>
  <c r="G724" i="22"/>
  <c r="L724" i="22"/>
  <c r="F588" i="22"/>
  <c r="G588" i="22"/>
  <c r="L588" i="22"/>
  <c r="F589" i="22"/>
  <c r="G589" i="22"/>
  <c r="F590" i="22"/>
  <c r="G590" i="22"/>
  <c r="L590" i="22"/>
  <c r="E323" i="22"/>
  <c r="E324" i="22"/>
  <c r="E321" i="22"/>
  <c r="G150" i="22"/>
  <c r="L150" i="22"/>
  <c r="Q28" i="3"/>
  <c r="Q30" i="3"/>
  <c r="D13" i="5"/>
  <c r="J13" i="5"/>
  <c r="M13" i="5"/>
  <c r="H27" i="18"/>
  <c r="C26" i="5"/>
  <c r="I26" i="5"/>
  <c r="L26" i="5"/>
  <c r="P77" i="3"/>
  <c r="H18" i="18"/>
  <c r="X18" i="18"/>
  <c r="R14" i="18"/>
  <c r="F121" i="18"/>
  <c r="F128" i="18"/>
  <c r="Q118" i="18"/>
  <c r="Q121" i="18"/>
  <c r="S121" i="18"/>
  <c r="J42" i="3"/>
  <c r="P42" i="3"/>
  <c r="F42" i="18"/>
  <c r="Q42" i="18"/>
  <c r="D15" i="5"/>
  <c r="J15" i="5"/>
  <c r="M15" i="5"/>
  <c r="I212" i="22"/>
  <c r="I778" i="22"/>
  <c r="E325" i="24"/>
  <c r="I379" i="24"/>
  <c r="L379" i="24"/>
  <c r="F52" i="22"/>
  <c r="G52" i="22"/>
  <c r="I841" i="24"/>
  <c r="G585" i="22"/>
  <c r="M803" i="22"/>
  <c r="L416" i="24"/>
  <c r="M87" i="24"/>
  <c r="I88" i="24"/>
  <c r="M88" i="24"/>
  <c r="E748" i="24"/>
  <c r="E754" i="24"/>
  <c r="E752" i="24"/>
  <c r="F561" i="24"/>
  <c r="G560" i="24"/>
  <c r="L560" i="24"/>
  <c r="F324" i="22"/>
  <c r="G324" i="22"/>
  <c r="L324" i="22"/>
  <c r="G646" i="22"/>
  <c r="I705" i="22"/>
  <c r="I703" i="22"/>
  <c r="M703" i="22"/>
  <c r="I699" i="22"/>
  <c r="I700" i="22"/>
  <c r="M700" i="22"/>
  <c r="E685" i="22"/>
  <c r="E676" i="22"/>
  <c r="E677" i="22"/>
  <c r="L504" i="22"/>
  <c r="L506" i="22"/>
  <c r="G506" i="22"/>
  <c r="F162" i="22"/>
  <c r="G162" i="22"/>
  <c r="G161" i="22"/>
  <c r="G134" i="18"/>
  <c r="G140" i="18"/>
  <c r="J40" i="3"/>
  <c r="G33" i="18"/>
  <c r="G40" i="18"/>
  <c r="Q19" i="3"/>
  <c r="H46" i="18"/>
  <c r="Q46" i="3"/>
  <c r="Q48" i="3"/>
  <c r="D16" i="5"/>
  <c r="G77" i="18"/>
  <c r="G79" i="18"/>
  <c r="Q75" i="18"/>
  <c r="Q77" i="18"/>
  <c r="Q79" i="18"/>
  <c r="Q88" i="18"/>
  <c r="F339" i="24"/>
  <c r="G274" i="24"/>
  <c r="F231" i="22"/>
  <c r="F229" i="22"/>
  <c r="E589" i="22"/>
  <c r="G740" i="22"/>
  <c r="G873" i="22"/>
  <c r="E318" i="22"/>
  <c r="R40" i="18"/>
  <c r="I187" i="3"/>
  <c r="H40" i="18"/>
  <c r="E9" i="5"/>
  <c r="K9" i="5"/>
  <c r="N9" i="5"/>
  <c r="F88" i="18"/>
  <c r="E51" i="22"/>
  <c r="E52" i="22"/>
  <c r="E60" i="22"/>
  <c r="E542" i="24"/>
  <c r="E543" i="24"/>
  <c r="E52" i="24"/>
  <c r="F605" i="22"/>
  <c r="F611" i="22"/>
  <c r="F654" i="22"/>
  <c r="F662" i="22"/>
  <c r="G407" i="22"/>
  <c r="J31" i="5"/>
  <c r="M31" i="5"/>
  <c r="F98" i="24"/>
  <c r="F96" i="24"/>
  <c r="G96" i="24"/>
  <c r="G842" i="24"/>
  <c r="G844" i="24"/>
  <c r="E584" i="22"/>
  <c r="E544" i="22"/>
  <c r="J176" i="3"/>
  <c r="I23" i="5"/>
  <c r="L23" i="5"/>
  <c r="H58" i="18"/>
  <c r="R58" i="18"/>
  <c r="H148" i="18"/>
  <c r="F705" i="22"/>
  <c r="F699" i="22"/>
  <c r="F162" i="18"/>
  <c r="F192" i="18"/>
  <c r="F226" i="18"/>
  <c r="E873" i="22"/>
  <c r="M734" i="22"/>
  <c r="M737" i="22"/>
  <c r="N737" i="22"/>
  <c r="L761" i="22"/>
  <c r="L763" i="22"/>
  <c r="L766" i="22"/>
  <c r="L768" i="22"/>
  <c r="M781" i="22"/>
  <c r="N781" i="22"/>
  <c r="L376" i="22"/>
  <c r="M244" i="22"/>
  <c r="M234" i="22"/>
  <c r="L607" i="22"/>
  <c r="N607" i="22"/>
  <c r="M595" i="22"/>
  <c r="M597" i="22"/>
  <c r="L486" i="22"/>
  <c r="L488" i="22"/>
  <c r="L489" i="22"/>
  <c r="I94" i="23"/>
  <c r="M480" i="22"/>
  <c r="L220" i="22"/>
  <c r="L222" i="22"/>
  <c r="M214" i="22"/>
  <c r="J43" i="23"/>
  <c r="L543" i="22"/>
  <c r="L171" i="22"/>
  <c r="L11" i="24"/>
  <c r="F60" i="24"/>
  <c r="F48" i="24"/>
  <c r="G48" i="24"/>
  <c r="L48" i="24"/>
  <c r="L182" i="24"/>
  <c r="L186" i="24"/>
  <c r="F471" i="24"/>
  <c r="G468" i="24"/>
  <c r="M601" i="24"/>
  <c r="L728" i="24"/>
  <c r="I209" i="3"/>
  <c r="R199" i="3"/>
  <c r="K123" i="3"/>
  <c r="I86" i="3"/>
  <c r="J24" i="5"/>
  <c r="M24" i="5"/>
  <c r="Q121" i="3"/>
  <c r="Q123" i="3"/>
  <c r="D36" i="5"/>
  <c r="J36" i="5"/>
  <c r="M36" i="5"/>
  <c r="J133" i="3"/>
  <c r="H57" i="18"/>
  <c r="J12" i="3"/>
  <c r="R217" i="18"/>
  <c r="R218" i="18"/>
  <c r="X13" i="17"/>
  <c r="F93" i="23"/>
  <c r="L11" i="22"/>
  <c r="F36" i="22"/>
  <c r="F34" i="22"/>
  <c r="L51" i="22"/>
  <c r="L63" i="22"/>
  <c r="M75" i="22"/>
  <c r="L92" i="22"/>
  <c r="L94" i="22"/>
  <c r="L99" i="22"/>
  <c r="I20" i="23"/>
  <c r="F274" i="22"/>
  <c r="F345" i="22"/>
  <c r="F388" i="22"/>
  <c r="F396" i="22"/>
  <c r="E386" i="22"/>
  <c r="L349" i="22"/>
  <c r="L351" i="22"/>
  <c r="E472" i="22"/>
  <c r="E478" i="22"/>
  <c r="E521" i="22"/>
  <c r="E529" i="22"/>
  <c r="M575" i="22"/>
  <c r="M577" i="22"/>
  <c r="N577" i="22"/>
  <c r="O577" i="22"/>
  <c r="M645" i="22"/>
  <c r="M708" i="22"/>
  <c r="L715" i="22"/>
  <c r="L721" i="22"/>
  <c r="M728" i="22"/>
  <c r="M730" i="22"/>
  <c r="M746" i="22"/>
  <c r="M766" i="22"/>
  <c r="M768" i="22"/>
  <c r="M311" i="22"/>
  <c r="M309" i="22"/>
  <c r="L234" i="22"/>
  <c r="L236" i="22"/>
  <c r="L628" i="22"/>
  <c r="L630" i="22"/>
  <c r="L631" i="22"/>
  <c r="I120" i="23"/>
  <c r="M615" i="22"/>
  <c r="L580" i="22"/>
  <c r="M495" i="22"/>
  <c r="L480" i="22"/>
  <c r="I93" i="23"/>
  <c r="L474" i="22"/>
  <c r="L476" i="22"/>
  <c r="I90" i="23"/>
  <c r="M462" i="22"/>
  <c r="M464" i="22"/>
  <c r="M472" i="22"/>
  <c r="M347" i="22"/>
  <c r="J68" i="23"/>
  <c r="M335" i="22"/>
  <c r="M338" i="22"/>
  <c r="L202" i="22"/>
  <c r="M196" i="22"/>
  <c r="M198" i="22"/>
  <c r="M190" i="22"/>
  <c r="M188" i="22"/>
  <c r="M193" i="22"/>
  <c r="E75" i="24"/>
  <c r="E76" i="24"/>
  <c r="M202" i="24"/>
  <c r="E445" i="24"/>
  <c r="I537" i="24"/>
  <c r="F539" i="24"/>
  <c r="F540" i="24"/>
  <c r="L537" i="24"/>
  <c r="L539" i="24"/>
  <c r="L540" i="24"/>
  <c r="I108" i="25"/>
  <c r="E578" i="24"/>
  <c r="E580" i="24"/>
  <c r="E584" i="24"/>
  <c r="L746" i="24"/>
  <c r="M615" i="24"/>
  <c r="M617" i="24"/>
  <c r="R124" i="18"/>
  <c r="R199" i="18"/>
  <c r="R200" i="18"/>
  <c r="S200" i="18"/>
  <c r="M251" i="22"/>
  <c r="J49" i="23"/>
  <c r="M4" i="22"/>
  <c r="M11" i="22"/>
  <c r="M34" i="22"/>
  <c r="M36" i="22"/>
  <c r="L45" i="22"/>
  <c r="L49" i="22"/>
  <c r="M63" i="22"/>
  <c r="M65" i="22"/>
  <c r="L76" i="22"/>
  <c r="L81" i="22"/>
  <c r="N81" i="22"/>
  <c r="M84" i="22"/>
  <c r="L105" i="22"/>
  <c r="L107" i="22"/>
  <c r="F244" i="22"/>
  <c r="G244" i="22"/>
  <c r="E803" i="22"/>
  <c r="E805" i="22"/>
  <c r="E806" i="22"/>
  <c r="E312" i="22"/>
  <c r="E345" i="22"/>
  <c r="M403" i="22"/>
  <c r="N403" i="22"/>
  <c r="O403" i="22"/>
  <c r="E430" i="22"/>
  <c r="E427" i="22"/>
  <c r="E428" i="22"/>
  <c r="M442" i="22"/>
  <c r="N442" i="22"/>
  <c r="O442" i="22"/>
  <c r="L443" i="22"/>
  <c r="N443" i="22"/>
  <c r="O443" i="22"/>
  <c r="L510" i="22"/>
  <c r="L515" i="22"/>
  <c r="I98" i="23"/>
  <c r="L642" i="22"/>
  <c r="L648" i="22"/>
  <c r="I123" i="23"/>
  <c r="L675" i="22"/>
  <c r="L670" i="22"/>
  <c r="M757" i="22"/>
  <c r="M759" i="22"/>
  <c r="L462" i="22"/>
  <c r="L464" i="22"/>
  <c r="L447" i="22"/>
  <c r="L45" i="24"/>
  <c r="M75" i="24"/>
  <c r="N75" i="24"/>
  <c r="F110" i="24"/>
  <c r="M111" i="24"/>
  <c r="L168" i="24"/>
  <c r="L169" i="24"/>
  <c r="E186" i="24"/>
  <c r="E193" i="24"/>
  <c r="E218" i="24"/>
  <c r="E216" i="24"/>
  <c r="E881" i="24"/>
  <c r="E883" i="24"/>
  <c r="L277" i="24"/>
  <c r="M509" i="24"/>
  <c r="M670" i="24"/>
  <c r="L688" i="24"/>
  <c r="M740" i="24"/>
  <c r="M742" i="24"/>
  <c r="M746" i="24"/>
  <c r="H79" i="18"/>
  <c r="K134" i="3"/>
  <c r="P22" i="3"/>
  <c r="J54" i="3"/>
  <c r="H9" i="18"/>
  <c r="J152" i="3"/>
  <c r="J205" i="3"/>
  <c r="J207" i="3"/>
  <c r="J209" i="3"/>
  <c r="J221" i="3"/>
  <c r="J26" i="3"/>
  <c r="S106" i="3"/>
  <c r="I219" i="3"/>
  <c r="J12" i="5"/>
  <c r="M12" i="5"/>
  <c r="I12" i="5"/>
  <c r="L12" i="5"/>
  <c r="I52" i="3"/>
  <c r="R221" i="18"/>
  <c r="R222" i="18"/>
  <c r="X27" i="17"/>
  <c r="I480" i="24"/>
  <c r="P276" i="17"/>
  <c r="M43" i="22"/>
  <c r="M45" i="22"/>
  <c r="L67" i="22"/>
  <c r="M76" i="22"/>
  <c r="E879" i="22"/>
  <c r="M105" i="22"/>
  <c r="M107" i="22"/>
  <c r="F111" i="22"/>
  <c r="E842" i="22"/>
  <c r="E844" i="22"/>
  <c r="F183" i="22"/>
  <c r="G214" i="22"/>
  <c r="F246" i="22"/>
  <c r="G246" i="22"/>
  <c r="M246" i="22"/>
  <c r="L444" i="22"/>
  <c r="N444" i="22"/>
  <c r="E865" i="22"/>
  <c r="M683" i="22"/>
  <c r="L710" i="22"/>
  <c r="N710" i="22"/>
  <c r="O710" i="22"/>
  <c r="F730" i="22"/>
  <c r="F738" i="22"/>
  <c r="F744" i="22"/>
  <c r="F787" i="22"/>
  <c r="F795" i="22"/>
  <c r="L216" i="22"/>
  <c r="L218" i="22"/>
  <c r="M245" i="24"/>
  <c r="F292" i="24"/>
  <c r="F297" i="24"/>
  <c r="E339" i="24"/>
  <c r="E345" i="24"/>
  <c r="E388" i="24"/>
  <c r="E396" i="24"/>
  <c r="M333" i="24"/>
  <c r="M444" i="24"/>
  <c r="N444" i="24"/>
  <c r="O444" i="24"/>
  <c r="F493" i="24"/>
  <c r="F491" i="24"/>
  <c r="G491" i="24"/>
  <c r="F511" i="24"/>
  <c r="G511" i="24"/>
  <c r="L511" i="24"/>
  <c r="L515" i="24"/>
  <c r="I98" i="25"/>
  <c r="L643" i="24"/>
  <c r="M11" i="24"/>
  <c r="E865" i="24"/>
  <c r="E871" i="24"/>
  <c r="M69" i="24"/>
  <c r="M72" i="24"/>
  <c r="L112" i="24"/>
  <c r="N112" i="24"/>
  <c r="O112" i="24"/>
  <c r="F914" i="24"/>
  <c r="F140" i="24"/>
  <c r="F141" i="24"/>
  <c r="L171" i="24"/>
  <c r="L183" i="24"/>
  <c r="L190" i="24"/>
  <c r="M347" i="24"/>
  <c r="J68" i="25"/>
  <c r="L443" i="24"/>
  <c r="L445" i="24"/>
  <c r="I87" i="25"/>
  <c r="M510" i="24"/>
  <c r="M575" i="24"/>
  <c r="L732" i="24"/>
  <c r="L740" i="24"/>
  <c r="L615" i="24"/>
  <c r="L617" i="24"/>
  <c r="L622" i="24"/>
  <c r="I119" i="25"/>
  <c r="M183" i="22"/>
  <c r="M181" i="22"/>
  <c r="M186" i="22"/>
  <c r="M566" i="22"/>
  <c r="M568" i="22"/>
  <c r="M544" i="22"/>
  <c r="M546" i="22"/>
  <c r="L422" i="22"/>
  <c r="M410" i="22"/>
  <c r="L162" i="22"/>
  <c r="L143" i="22"/>
  <c r="M34" i="24"/>
  <c r="M36" i="24"/>
  <c r="M43" i="24"/>
  <c r="M44" i="24"/>
  <c r="M45" i="24"/>
  <c r="E916" i="24"/>
  <c r="M118" i="24"/>
  <c r="J24" i="25"/>
  <c r="L144" i="24"/>
  <c r="L185" i="24"/>
  <c r="M196" i="24"/>
  <c r="M198" i="24"/>
  <c r="L245" i="24"/>
  <c r="L249" i="24"/>
  <c r="I48" i="25"/>
  <c r="L301" i="24"/>
  <c r="M309" i="24"/>
  <c r="N309" i="24"/>
  <c r="O309" i="24"/>
  <c r="M335" i="24"/>
  <c r="M338" i="24"/>
  <c r="N338" i="24"/>
  <c r="L378" i="24"/>
  <c r="N378" i="24"/>
  <c r="L384" i="24"/>
  <c r="I74" i="25"/>
  <c r="M403" i="24"/>
  <c r="N403" i="24"/>
  <c r="O403" i="24"/>
  <c r="L447" i="24"/>
  <c r="L462" i="24"/>
  <c r="L464" i="24"/>
  <c r="M468" i="24"/>
  <c r="M471" i="24"/>
  <c r="M474" i="24"/>
  <c r="L504" i="24"/>
  <c r="L506" i="24"/>
  <c r="L507" i="24"/>
  <c r="I96" i="25"/>
  <c r="M515" i="24"/>
  <c r="M517" i="24"/>
  <c r="J99" i="25"/>
  <c r="L577" i="24"/>
  <c r="N577" i="24"/>
  <c r="O577" i="24"/>
  <c r="L580" i="24"/>
  <c r="L595" i="24"/>
  <c r="L608" i="24"/>
  <c r="L633" i="24"/>
  <c r="L635" i="24"/>
  <c r="L645" i="24"/>
  <c r="L650" i="24"/>
  <c r="M708" i="24"/>
  <c r="N708" i="24"/>
  <c r="O708" i="24"/>
  <c r="M728" i="24"/>
  <c r="M730" i="24"/>
  <c r="L777" i="24"/>
  <c r="L783" i="24"/>
  <c r="L358" i="24"/>
  <c r="L360" i="24"/>
  <c r="M626" i="22"/>
  <c r="N626" i="22"/>
  <c r="M770" i="24"/>
  <c r="M425" i="22"/>
  <c r="L682" i="22"/>
  <c r="L144" i="22"/>
  <c r="L300" i="24"/>
  <c r="L832" i="24"/>
  <c r="L773" i="24"/>
  <c r="M311" i="24"/>
  <c r="L676" i="22"/>
  <c r="M85" i="22"/>
  <c r="M90" i="22"/>
  <c r="J19" i="23"/>
  <c r="M238" i="22"/>
  <c r="M289" i="24"/>
  <c r="M292" i="24"/>
  <c r="M298" i="24"/>
  <c r="M645" i="24"/>
  <c r="M599" i="22"/>
  <c r="E23" i="25"/>
  <c r="M23" i="25"/>
  <c r="M360" i="22"/>
  <c r="M277" i="24"/>
  <c r="L609" i="24"/>
  <c r="I115" i="25"/>
  <c r="N777" i="22"/>
  <c r="N111" i="24"/>
  <c r="O111" i="24"/>
  <c r="L681" i="22"/>
  <c r="M159" i="24"/>
  <c r="M278" i="22"/>
  <c r="L246" i="22"/>
  <c r="N116" i="22"/>
  <c r="M384" i="22"/>
  <c r="J74" i="23"/>
  <c r="L209" i="24"/>
  <c r="L210" i="24"/>
  <c r="I40" i="25"/>
  <c r="M14" i="22"/>
  <c r="L145" i="22"/>
  <c r="N601" i="22"/>
  <c r="M740" i="22"/>
  <c r="M783" i="22"/>
  <c r="L644" i="22"/>
  <c r="N644" i="22"/>
  <c r="L101" i="22"/>
  <c r="L103" i="22"/>
  <c r="N103" i="22"/>
  <c r="O103" i="22"/>
  <c r="L214" i="24"/>
  <c r="M761" i="24"/>
  <c r="M894" i="24"/>
  <c r="N604" i="22"/>
  <c r="L709" i="24"/>
  <c r="N709" i="24"/>
  <c r="L582" i="22"/>
  <c r="L713" i="22"/>
  <c r="M501" i="22"/>
  <c r="M449" i="22"/>
  <c r="M452" i="22"/>
  <c r="L583" i="24"/>
  <c r="L44" i="22"/>
  <c r="N44" i="22"/>
  <c r="O44" i="22"/>
  <c r="N382" i="24"/>
  <c r="L65" i="22"/>
  <c r="M445" i="24"/>
  <c r="J87" i="25"/>
  <c r="J93" i="23"/>
  <c r="L172" i="22"/>
  <c r="L10" i="24"/>
  <c r="M492" i="24"/>
  <c r="N208" i="24"/>
  <c r="M496" i="22"/>
  <c r="N118" i="22"/>
  <c r="L509" i="24"/>
  <c r="N509" i="24"/>
  <c r="O509" i="24"/>
  <c r="M379" i="24"/>
  <c r="M721" i="24"/>
  <c r="M474" i="22"/>
  <c r="M476" i="22"/>
  <c r="F49" i="25"/>
  <c r="N49" i="25"/>
  <c r="M177" i="22"/>
  <c r="M650" i="22"/>
  <c r="M466" i="24"/>
  <c r="N466" i="24"/>
  <c r="O466" i="24"/>
  <c r="L23" i="22"/>
  <c r="L410" i="22"/>
  <c r="L12" i="22"/>
  <c r="L14" i="22"/>
  <c r="L382" i="22"/>
  <c r="I73" i="23"/>
  <c r="M413" i="22"/>
  <c r="M420" i="22"/>
  <c r="M376" i="22"/>
  <c r="M236" i="22"/>
  <c r="M639" i="24"/>
  <c r="N642" i="24"/>
  <c r="O642" i="24"/>
  <c r="M642" i="22"/>
  <c r="M434" i="22"/>
  <c r="M435" i="22"/>
  <c r="M410" i="24"/>
  <c r="M714" i="22"/>
  <c r="M770" i="22"/>
  <c r="N81" i="24"/>
  <c r="M781" i="24"/>
  <c r="N781" i="24"/>
  <c r="M202" i="22"/>
  <c r="L112" i="22"/>
  <c r="L746" i="22"/>
  <c r="L178" i="24"/>
  <c r="L311" i="24"/>
  <c r="L517" i="24"/>
  <c r="M353" i="22"/>
  <c r="M355" i="22"/>
  <c r="F73" i="23"/>
  <c r="N73" i="23"/>
  <c r="M826" i="22"/>
  <c r="M628" i="22"/>
  <c r="N783" i="24"/>
  <c r="O783" i="24"/>
  <c r="L184" i="22"/>
  <c r="L705" i="24"/>
  <c r="M501" i="24"/>
  <c r="M502" i="24"/>
  <c r="N502" i="24"/>
  <c r="O502" i="24"/>
  <c r="L645" i="22"/>
  <c r="N734" i="22"/>
  <c r="M682" i="22"/>
  <c r="M143" i="24"/>
  <c r="M301" i="24"/>
  <c r="M302" i="24"/>
  <c r="L410" i="24"/>
  <c r="M671" i="22"/>
  <c r="M672" i="22"/>
  <c r="N377" i="24"/>
  <c r="M216" i="24"/>
  <c r="M643" i="24"/>
  <c r="M771" i="24"/>
  <c r="M626" i="24"/>
  <c r="M631" i="24"/>
  <c r="J120" i="25"/>
  <c r="M749" i="22"/>
  <c r="M145" i="22"/>
  <c r="L159" i="22"/>
  <c r="L182" i="22"/>
  <c r="M178" i="24"/>
  <c r="L468" i="24"/>
  <c r="L471" i="24"/>
  <c r="L118" i="24"/>
  <c r="I24" i="25"/>
  <c r="L757" i="22"/>
  <c r="L759" i="22"/>
  <c r="L764" i="22"/>
  <c r="L205" i="22"/>
  <c r="L376" i="24"/>
  <c r="M376" i="24"/>
  <c r="L730" i="22"/>
  <c r="N43" i="22"/>
  <c r="M243" i="22"/>
  <c r="L243" i="22"/>
  <c r="M246" i="24"/>
  <c r="N246" i="24"/>
  <c r="O246" i="24"/>
  <c r="M210" i="24"/>
  <c r="J40" i="25"/>
  <c r="L764" i="24"/>
  <c r="L72" i="22"/>
  <c r="N69" i="22"/>
  <c r="L198" i="24"/>
  <c r="M274" i="22"/>
  <c r="N270" i="22"/>
  <c r="O270" i="22"/>
  <c r="M578" i="22"/>
  <c r="J112" i="23"/>
  <c r="N575" i="22"/>
  <c r="O575" i="22"/>
  <c r="I118" i="23"/>
  <c r="N613" i="22"/>
  <c r="M754" i="22"/>
  <c r="N754" i="22"/>
  <c r="M609" i="22"/>
  <c r="J115" i="23"/>
  <c r="I68" i="23"/>
  <c r="N536" i="24"/>
  <c r="O536" i="24"/>
  <c r="N599" i="24"/>
  <c r="O599" i="24"/>
  <c r="E23" i="23"/>
  <c r="M23" i="23"/>
  <c r="M14" i="24"/>
  <c r="O442" i="24"/>
  <c r="M72" i="22"/>
  <c r="L331" i="22"/>
  <c r="N329" i="22"/>
  <c r="F99" i="25"/>
  <c r="F99" i="23"/>
  <c r="M676" i="24"/>
  <c r="M638" i="22"/>
  <c r="M639" i="22"/>
  <c r="N639" i="22"/>
  <c r="M510" i="22"/>
  <c r="M178" i="22"/>
  <c r="M515" i="22"/>
  <c r="M164" i="22"/>
  <c r="L329" i="24"/>
  <c r="L331" i="24"/>
  <c r="L709" i="22"/>
  <c r="L711" i="22"/>
  <c r="L480" i="24"/>
  <c r="L613" i="24"/>
  <c r="M688" i="24"/>
  <c r="M691" i="24"/>
  <c r="M217" i="24"/>
  <c r="L644" i="24"/>
  <c r="L646" i="24"/>
  <c r="L67" i="24"/>
  <c r="N67" i="24"/>
  <c r="O67" i="24"/>
  <c r="M679" i="24"/>
  <c r="M351" i="24"/>
  <c r="M556" i="24"/>
  <c r="M276" i="22"/>
  <c r="M808" i="22"/>
  <c r="M341" i="24"/>
  <c r="M341" i="22"/>
  <c r="M343" i="22"/>
  <c r="J65" i="23"/>
  <c r="L290" i="22"/>
  <c r="M200" i="22"/>
  <c r="N200" i="22"/>
  <c r="O200" i="22"/>
  <c r="L434" i="22"/>
  <c r="M177" i="24"/>
  <c r="M423" i="24"/>
  <c r="M168" i="22"/>
  <c r="M169" i="22"/>
  <c r="M359" i="24"/>
  <c r="M447" i="24"/>
  <c r="M358" i="24"/>
  <c r="M76" i="24"/>
  <c r="L578" i="24"/>
  <c r="I112" i="25"/>
  <c r="L595" i="22"/>
  <c r="L468" i="22"/>
  <c r="M544" i="24"/>
  <c r="M581" i="24"/>
  <c r="M585" i="24"/>
  <c r="M144" i="24"/>
  <c r="M147" i="24"/>
  <c r="L677" i="22"/>
  <c r="L716" i="24"/>
  <c r="L423" i="24"/>
  <c r="L425" i="24"/>
  <c r="L722" i="24"/>
  <c r="M671" i="24"/>
  <c r="L582" i="24"/>
  <c r="L76" i="24"/>
  <c r="L495" i="22"/>
  <c r="L497" i="22"/>
  <c r="L315" i="22"/>
  <c r="L311" i="22"/>
  <c r="N311" i="22"/>
  <c r="O311" i="22"/>
  <c r="L491" i="22"/>
  <c r="L493" i="22"/>
  <c r="L310" i="24"/>
  <c r="M771" i="22"/>
  <c r="M497" i="22"/>
  <c r="M545" i="24"/>
  <c r="M689" i="22"/>
  <c r="M691" i="22"/>
  <c r="M697" i="22"/>
  <c r="M694" i="24"/>
  <c r="M696" i="24"/>
  <c r="M504" i="24"/>
  <c r="M506" i="24"/>
  <c r="L411" i="24"/>
  <c r="L77" i="24"/>
  <c r="L544" i="22"/>
  <c r="L225" i="22"/>
  <c r="L347" i="24"/>
  <c r="M350" i="22"/>
  <c r="L615" i="22"/>
  <c r="L617" i="22"/>
  <c r="S191" i="3"/>
  <c r="U191" i="3"/>
  <c r="E74" i="25"/>
  <c r="E74" i="23"/>
  <c r="M74" i="23"/>
  <c r="E18" i="25"/>
  <c r="M18" i="25"/>
  <c r="E18" i="23"/>
  <c r="D43" i="23"/>
  <c r="D49" i="23"/>
  <c r="F93" i="25"/>
  <c r="D74" i="25"/>
  <c r="D109" i="23"/>
  <c r="D74" i="23"/>
  <c r="F43" i="23"/>
  <c r="D118" i="23"/>
  <c r="D113" i="25"/>
  <c r="D43" i="25"/>
  <c r="F123" i="23"/>
  <c r="D118" i="25"/>
  <c r="D113" i="23"/>
  <c r="D13" i="25"/>
  <c r="D98" i="23"/>
  <c r="F24" i="25"/>
  <c r="D123" i="25"/>
  <c r="H136" i="3"/>
  <c r="F136" i="3"/>
  <c r="D65" i="23"/>
  <c r="D65" i="25"/>
  <c r="D71" i="25"/>
  <c r="D71" i="23"/>
  <c r="D122" i="23"/>
  <c r="D122" i="25"/>
  <c r="D90" i="25"/>
  <c r="D90" i="23"/>
  <c r="D49" i="25"/>
  <c r="F18" i="25"/>
  <c r="F18" i="23"/>
  <c r="N18" i="23"/>
  <c r="F123" i="25"/>
  <c r="D9" i="25"/>
  <c r="D134" i="25"/>
  <c r="D9" i="23"/>
  <c r="E43" i="23"/>
  <c r="E43" i="25"/>
  <c r="D58" i="25"/>
  <c r="D58" i="23"/>
  <c r="D98" i="25"/>
  <c r="D121" i="23"/>
  <c r="D121" i="25"/>
  <c r="D68" i="25"/>
  <c r="D68" i="23"/>
  <c r="D20" i="25"/>
  <c r="D145" i="25"/>
  <c r="D20" i="23"/>
  <c r="D145" i="23"/>
  <c r="D124" i="23"/>
  <c r="F124" i="25"/>
  <c r="N124" i="25"/>
  <c r="D10" i="25"/>
  <c r="D97" i="25"/>
  <c r="D97" i="23"/>
  <c r="D18" i="23"/>
  <c r="D18" i="25"/>
  <c r="D21" i="25"/>
  <c r="D21" i="23"/>
  <c r="D88" i="25"/>
  <c r="D88" i="23"/>
  <c r="H140" i="18"/>
  <c r="Z134" i="18"/>
  <c r="AA134" i="18"/>
  <c r="X134" i="18"/>
  <c r="AD134" i="18"/>
  <c r="AB134" i="18"/>
  <c r="M20" i="22"/>
  <c r="M778" i="22"/>
  <c r="M779" i="22"/>
  <c r="L778" i="22"/>
  <c r="M895" i="24"/>
  <c r="I684" i="24"/>
  <c r="M684" i="24"/>
  <c r="M681" i="24"/>
  <c r="M146" i="22"/>
  <c r="M147" i="22"/>
  <c r="M827" i="22"/>
  <c r="M94" i="22"/>
  <c r="I152" i="22"/>
  <c r="M150" i="24"/>
  <c r="M231" i="24"/>
  <c r="M511" i="24"/>
  <c r="I512" i="24"/>
  <c r="I827" i="22"/>
  <c r="I829" i="22"/>
  <c r="I753" i="24"/>
  <c r="M752" i="24"/>
  <c r="M371" i="22"/>
  <c r="I372" i="22"/>
  <c r="M49" i="24"/>
  <c r="I814" i="24"/>
  <c r="N608" i="24"/>
  <c r="M609" i="24"/>
  <c r="M435" i="24"/>
  <c r="I152" i="24"/>
  <c r="I832" i="22"/>
  <c r="I809" i="24"/>
  <c r="I890" i="24"/>
  <c r="I678" i="22"/>
  <c r="M678" i="22"/>
  <c r="M679" i="22"/>
  <c r="M300" i="22"/>
  <c r="I301" i="22"/>
  <c r="O176" i="24"/>
  <c r="I49" i="22"/>
  <c r="N43" i="24"/>
  <c r="L46" i="24"/>
  <c r="I12" i="25"/>
  <c r="L841" i="24"/>
  <c r="I587" i="22"/>
  <c r="I588" i="22"/>
  <c r="M588" i="22"/>
  <c r="L28" i="24"/>
  <c r="G31" i="24"/>
  <c r="N775" i="22"/>
  <c r="O775" i="22"/>
  <c r="M437" i="22"/>
  <c r="I438" i="22"/>
  <c r="M438" i="22"/>
  <c r="I279" i="24"/>
  <c r="M482" i="22"/>
  <c r="I483" i="22"/>
  <c r="M483" i="22"/>
  <c r="D83" i="25"/>
  <c r="M766" i="24"/>
  <c r="I767" i="24"/>
  <c r="M767" i="24"/>
  <c r="I314" i="22"/>
  <c r="I315" i="22"/>
  <c r="M315" i="22"/>
  <c r="I326" i="22"/>
  <c r="I113" i="24"/>
  <c r="I908" i="24"/>
  <c r="I587" i="24"/>
  <c r="I588" i="24"/>
  <c r="I589" i="24"/>
  <c r="M588" i="24"/>
  <c r="G581" i="24"/>
  <c r="F584" i="24"/>
  <c r="G584" i="24"/>
  <c r="L584" i="24"/>
  <c r="G355" i="22"/>
  <c r="G356" i="22"/>
  <c r="L353" i="22"/>
  <c r="L355" i="22"/>
  <c r="M406" i="22"/>
  <c r="I369" i="24"/>
  <c r="I373" i="24"/>
  <c r="I386" i="24"/>
  <c r="I861" i="24"/>
  <c r="I863" i="24"/>
  <c r="I331" i="24"/>
  <c r="I339" i="24"/>
  <c r="I345" i="24"/>
  <c r="M329" i="24"/>
  <c r="I437" i="24"/>
  <c r="I438" i="24"/>
  <c r="M438" i="24"/>
  <c r="S196" i="18"/>
  <c r="Q206" i="18"/>
  <c r="M757" i="24"/>
  <c r="I758" i="24"/>
  <c r="M758" i="24"/>
  <c r="G691" i="24"/>
  <c r="L689" i="24"/>
  <c r="M748" i="24"/>
  <c r="I749" i="24"/>
  <c r="M749" i="24"/>
  <c r="M720" i="24"/>
  <c r="I722" i="24"/>
  <c r="M722" i="24"/>
  <c r="I487" i="22"/>
  <c r="M487" i="22"/>
  <c r="M488" i="22"/>
  <c r="N488" i="22"/>
  <c r="I629" i="22"/>
  <c r="M629" i="22"/>
  <c r="I491" i="22"/>
  <c r="I168" i="24"/>
  <c r="M482" i="24"/>
  <c r="I483" i="24"/>
  <c r="M483" i="24"/>
  <c r="E591" i="24"/>
  <c r="M464" i="24"/>
  <c r="E171" i="24"/>
  <c r="L225" i="24"/>
  <c r="L227" i="24"/>
  <c r="G227" i="24"/>
  <c r="D94" i="23"/>
  <c r="D94" i="25"/>
  <c r="I363" i="22"/>
  <c r="I172" i="22"/>
  <c r="D34" i="23"/>
  <c r="L589" i="22"/>
  <c r="M555" i="24"/>
  <c r="L367" i="24"/>
  <c r="L369" i="24"/>
  <c r="G369" i="24"/>
  <c r="G374" i="24"/>
  <c r="G101" i="24"/>
  <c r="F899" i="24"/>
  <c r="F901" i="24"/>
  <c r="F906" i="24"/>
  <c r="G244" i="24"/>
  <c r="F909" i="24"/>
  <c r="I715" i="24"/>
  <c r="M715" i="24"/>
  <c r="I39" i="24"/>
  <c r="E428" i="24"/>
  <c r="E827" i="24"/>
  <c r="E829" i="24"/>
  <c r="Q212" i="18"/>
  <c r="S210" i="18"/>
  <c r="P123" i="3"/>
  <c r="C36" i="5"/>
  <c r="I36" i="5"/>
  <c r="L36" i="5"/>
  <c r="R116" i="3"/>
  <c r="C35" i="5"/>
  <c r="I35" i="5"/>
  <c r="L35" i="5"/>
  <c r="G425" i="24"/>
  <c r="L510" i="24"/>
  <c r="G513" i="24"/>
  <c r="G161" i="24"/>
  <c r="E26" i="5"/>
  <c r="K26" i="5"/>
  <c r="N26" i="5"/>
  <c r="R77" i="3"/>
  <c r="T77" i="18"/>
  <c r="Y77" i="18"/>
  <c r="F305" i="22"/>
  <c r="E821" i="24"/>
  <c r="L584" i="22"/>
  <c r="G587" i="24"/>
  <c r="I741" i="22"/>
  <c r="M741" i="22"/>
  <c r="F162" i="24"/>
  <c r="E52" i="5"/>
  <c r="K52" i="5"/>
  <c r="N52" i="5"/>
  <c r="E822" i="24"/>
  <c r="F723" i="24"/>
  <c r="G723" i="24"/>
  <c r="L723" i="24"/>
  <c r="F721" i="24"/>
  <c r="G721" i="24"/>
  <c r="L721" i="24"/>
  <c r="I776" i="24"/>
  <c r="I777" i="24"/>
  <c r="M777" i="24"/>
  <c r="E909" i="24"/>
  <c r="E912" i="24"/>
  <c r="N517" i="22"/>
  <c r="J99" i="23"/>
  <c r="I306" i="22"/>
  <c r="L362" i="24"/>
  <c r="L364" i="24"/>
  <c r="G364" i="24"/>
  <c r="G365" i="24"/>
  <c r="I763" i="22"/>
  <c r="Q140" i="18"/>
  <c r="S138" i="18"/>
  <c r="L776" i="24"/>
  <c r="G779" i="24"/>
  <c r="G742" i="24"/>
  <c r="L741" i="24"/>
  <c r="G874" i="24"/>
  <c r="L637" i="24"/>
  <c r="L639" i="24"/>
  <c r="G639" i="24"/>
  <c r="G640" i="24"/>
  <c r="I342" i="24"/>
  <c r="F720" i="24"/>
  <c r="G871" i="22"/>
  <c r="M297" i="22"/>
  <c r="G292" i="22"/>
  <c r="F423" i="22"/>
  <c r="F16" i="24"/>
  <c r="F17" i="24"/>
  <c r="G750" i="24"/>
  <c r="G488" i="24"/>
  <c r="G489" i="24"/>
  <c r="E682" i="22"/>
  <c r="E815" i="22"/>
  <c r="E681" i="22"/>
  <c r="E814" i="22"/>
  <c r="G500" i="22"/>
  <c r="F899" i="22"/>
  <c r="F901" i="22"/>
  <c r="F683" i="22"/>
  <c r="E717" i="22"/>
  <c r="G449" i="22"/>
  <c r="F451" i="22"/>
  <c r="G451" i="22"/>
  <c r="L451" i="22"/>
  <c r="I377" i="22"/>
  <c r="I378" i="22"/>
  <c r="D46" i="25"/>
  <c r="D46" i="23"/>
  <c r="E149" i="24"/>
  <c r="E150" i="24"/>
  <c r="I133" i="23"/>
  <c r="G107" i="24"/>
  <c r="L105" i="24"/>
  <c r="I540" i="22"/>
  <c r="I611" i="22"/>
  <c r="I654" i="22"/>
  <c r="I662" i="22"/>
  <c r="G464" i="22"/>
  <c r="G472" i="22"/>
  <c r="G570" i="24"/>
  <c r="G605" i="22"/>
  <c r="L633" i="22"/>
  <c r="L635" i="22"/>
  <c r="G635" i="22"/>
  <c r="G640" i="22"/>
  <c r="G652" i="22"/>
  <c r="G164" i="22"/>
  <c r="G165" i="22"/>
  <c r="L161" i="22"/>
  <c r="L164" i="22"/>
  <c r="M310" i="22"/>
  <c r="G694" i="24"/>
  <c r="G696" i="24"/>
  <c r="G697" i="24"/>
  <c r="G571" i="24"/>
  <c r="L571" i="24"/>
  <c r="G343" i="24"/>
  <c r="L342" i="24"/>
  <c r="F316" i="24"/>
  <c r="G316" i="24"/>
  <c r="L316" i="24"/>
  <c r="F317" i="24"/>
  <c r="G317" i="24"/>
  <c r="L317" i="24"/>
  <c r="F326" i="24"/>
  <c r="F314" i="24"/>
  <c r="L150" i="24"/>
  <c r="G314" i="22"/>
  <c r="E560" i="22"/>
  <c r="E561" i="22"/>
  <c r="I221" i="3"/>
  <c r="G94" i="24"/>
  <c r="L92" i="24"/>
  <c r="I209" i="22"/>
  <c r="M208" i="22"/>
  <c r="L208" i="22"/>
  <c r="P23" i="3"/>
  <c r="P30" i="3"/>
  <c r="J30" i="3"/>
  <c r="G22" i="18"/>
  <c r="F231" i="24"/>
  <c r="F229" i="24"/>
  <c r="F315" i="24"/>
  <c r="G315" i="24"/>
  <c r="L315" i="24"/>
  <c r="E550" i="24"/>
  <c r="L628" i="24"/>
  <c r="L630" i="24"/>
  <c r="G630" i="24"/>
  <c r="G631" i="24"/>
  <c r="G23" i="24"/>
  <c r="F24" i="24"/>
  <c r="I84" i="24"/>
  <c r="M83" i="24"/>
  <c r="G210" i="24"/>
  <c r="G145" i="24"/>
  <c r="L341" i="22"/>
  <c r="F847" i="22"/>
  <c r="G141" i="24"/>
  <c r="G568" i="24"/>
  <c r="L567" i="24"/>
  <c r="G355" i="24"/>
  <c r="L353" i="24"/>
  <c r="L355" i="24"/>
  <c r="M289" i="22"/>
  <c r="I290" i="22"/>
  <c r="M290" i="22"/>
  <c r="M310" i="24"/>
  <c r="E682" i="24"/>
  <c r="E681" i="24"/>
  <c r="E683" i="24"/>
  <c r="E591" i="22"/>
  <c r="F693" i="22"/>
  <c r="G693" i="22"/>
  <c r="F676" i="24"/>
  <c r="F685" i="24"/>
  <c r="F675" i="24"/>
  <c r="F677" i="24"/>
  <c r="M570" i="24"/>
  <c r="I571" i="24"/>
  <c r="M571" i="24"/>
  <c r="G561" i="24"/>
  <c r="I235" i="24"/>
  <c r="M234" i="24"/>
  <c r="F448" i="24"/>
  <c r="G39" i="24"/>
  <c r="E676" i="24"/>
  <c r="E677" i="24"/>
  <c r="L28" i="22"/>
  <c r="F323" i="22"/>
  <c r="G323" i="22"/>
  <c r="L323" i="22"/>
  <c r="F688" i="22"/>
  <c r="G688" i="22"/>
  <c r="F317" i="22"/>
  <c r="F318" i="22"/>
  <c r="X71" i="18"/>
  <c r="Y71" i="18"/>
  <c r="H73" i="18"/>
  <c r="H88" i="18"/>
  <c r="F417" i="24"/>
  <c r="E639" i="24"/>
  <c r="E637" i="24"/>
  <c r="G474" i="24"/>
  <c r="G227" i="22"/>
  <c r="L608" i="22"/>
  <c r="N608" i="22"/>
  <c r="L576" i="22"/>
  <c r="P134" i="3"/>
  <c r="C38" i="5"/>
  <c r="I38" i="5"/>
  <c r="L38" i="5"/>
  <c r="C49" i="5"/>
  <c r="I49" i="5"/>
  <c r="L49" i="5"/>
  <c r="R183" i="3"/>
  <c r="R17" i="18"/>
  <c r="R18" i="18"/>
  <c r="V17" i="18"/>
  <c r="D53" i="5"/>
  <c r="J53" i="5"/>
  <c r="M53" i="5"/>
  <c r="Q201" i="3"/>
  <c r="F450" i="24"/>
  <c r="G450" i="24"/>
  <c r="L450" i="24"/>
  <c r="F321" i="22"/>
  <c r="G321" i="22"/>
  <c r="F717" i="22"/>
  <c r="G717" i="22"/>
  <c r="G88" i="18"/>
  <c r="Q114" i="18"/>
  <c r="Q116" i="18"/>
  <c r="G116" i="18"/>
  <c r="G128" i="18"/>
  <c r="F873" i="24"/>
  <c r="F875" i="24"/>
  <c r="G46" i="22"/>
  <c r="E305" i="22"/>
  <c r="E18" i="22"/>
  <c r="Q162" i="3"/>
  <c r="F342" i="22"/>
  <c r="E277" i="22"/>
  <c r="M156" i="22"/>
  <c r="I157" i="22"/>
  <c r="J86" i="3"/>
  <c r="S177" i="3"/>
  <c r="Y7" i="18"/>
  <c r="T236" i="18"/>
  <c r="Q105" i="3"/>
  <c r="K54" i="5"/>
  <c r="N54" i="5"/>
  <c r="Q7" i="18"/>
  <c r="R7" i="18"/>
  <c r="R9" i="18"/>
  <c r="J52" i="5"/>
  <c r="M52" i="5"/>
  <c r="D26" i="5"/>
  <c r="J26" i="5"/>
  <c r="M26" i="5"/>
  <c r="Q77" i="3"/>
  <c r="S77" i="18"/>
  <c r="J10" i="5"/>
  <c r="M10" i="5"/>
  <c r="J16" i="5"/>
  <c r="M16" i="5"/>
  <c r="J29" i="5"/>
  <c r="M29" i="5"/>
  <c r="P219" i="3"/>
  <c r="C58" i="5"/>
  <c r="I58" i="5"/>
  <c r="L58" i="5"/>
  <c r="P44" i="3"/>
  <c r="P48" i="3"/>
  <c r="R217" i="3"/>
  <c r="C59" i="5"/>
  <c r="I59" i="5"/>
  <c r="L59" i="5"/>
  <c r="S71" i="18"/>
  <c r="R73" i="18"/>
  <c r="R88" i="18"/>
  <c r="F110" i="18"/>
  <c r="I46" i="5"/>
  <c r="L46" i="5"/>
  <c r="Q147" i="3"/>
  <c r="Q148" i="3"/>
  <c r="H153" i="18"/>
  <c r="J147" i="3"/>
  <c r="J13" i="3"/>
  <c r="G221" i="3"/>
  <c r="Q220" i="18"/>
  <c r="Q222" i="18"/>
  <c r="R123" i="18"/>
  <c r="R125" i="18"/>
  <c r="S125" i="18"/>
  <c r="K63" i="3"/>
  <c r="H62" i="18"/>
  <c r="H116" i="18"/>
  <c r="R115" i="18"/>
  <c r="R116" i="18"/>
  <c r="R128" i="18"/>
  <c r="G333" i="24"/>
  <c r="F865" i="24"/>
  <c r="J46" i="3"/>
  <c r="F43" i="18"/>
  <c r="Q176" i="3"/>
  <c r="Q177" i="3"/>
  <c r="H221" i="3"/>
  <c r="D119" i="25"/>
  <c r="D119" i="23"/>
  <c r="G136" i="3"/>
  <c r="G218" i="24"/>
  <c r="G223" i="24"/>
  <c r="L216" i="24"/>
  <c r="L218" i="24"/>
  <c r="R203" i="18"/>
  <c r="R204" i="18"/>
  <c r="S204" i="18"/>
  <c r="F221" i="3"/>
  <c r="F18" i="18"/>
  <c r="F31" i="18"/>
  <c r="I249" i="22"/>
  <c r="I249" i="24"/>
  <c r="M249" i="24"/>
  <c r="X28" i="17"/>
  <c r="X20" i="17"/>
  <c r="I140" i="24"/>
  <c r="I139" i="24"/>
  <c r="E802" i="24"/>
  <c r="F65" i="24"/>
  <c r="G63" i="24"/>
  <c r="M138" i="24"/>
  <c r="F273" i="24"/>
  <c r="F274" i="24"/>
  <c r="F345" i="24"/>
  <c r="F388" i="24"/>
  <c r="F396" i="24"/>
  <c r="L271" i="24"/>
  <c r="E708" i="24"/>
  <c r="F802" i="24"/>
  <c r="F806" i="24"/>
  <c r="F89" i="22"/>
  <c r="F87" i="22"/>
  <c r="F83" i="22"/>
  <c r="F179" i="22"/>
  <c r="F212" i="22"/>
  <c r="F255" i="22"/>
  <c r="F263" i="22"/>
  <c r="G177" i="22"/>
  <c r="G842" i="22"/>
  <c r="G844" i="22"/>
  <c r="F867" i="24"/>
  <c r="F870" i="24"/>
  <c r="G69" i="24"/>
  <c r="F72" i="24"/>
  <c r="G202" i="24"/>
  <c r="F205" i="24"/>
  <c r="F206" i="24"/>
  <c r="F558" i="22"/>
  <c r="F563" i="22"/>
  <c r="E184" i="24"/>
  <c r="E181" i="24"/>
  <c r="E183" i="24"/>
  <c r="E182" i="24"/>
  <c r="I116" i="24"/>
  <c r="G251" i="22"/>
  <c r="F916" i="22"/>
  <c r="G540" i="22"/>
  <c r="E98" i="24"/>
  <c r="E96" i="24"/>
  <c r="E894" i="24"/>
  <c r="E896" i="24"/>
  <c r="E897" i="24"/>
  <c r="F280" i="22"/>
  <c r="F286" i="22"/>
  <c r="E179" i="22"/>
  <c r="E212" i="22"/>
  <c r="E255" i="22"/>
  <c r="E263" i="22"/>
  <c r="F373" i="22"/>
  <c r="F371" i="22"/>
  <c r="G371" i="22"/>
  <c r="E608" i="22"/>
  <c r="F85" i="24"/>
  <c r="F83" i="24"/>
  <c r="G251" i="24"/>
  <c r="E605" i="24"/>
  <c r="E611" i="24"/>
  <c r="E654" i="24"/>
  <c r="E662" i="24"/>
  <c r="E26" i="22"/>
  <c r="F110" i="22"/>
  <c r="G670" i="22"/>
  <c r="F50" i="24"/>
  <c r="E568" i="24"/>
  <c r="E40" i="22"/>
  <c r="F193" i="22"/>
  <c r="F240" i="22"/>
  <c r="F238" i="22"/>
  <c r="F568" i="22"/>
  <c r="F572" i="22"/>
  <c r="F49" i="24"/>
  <c r="F51" i="24"/>
  <c r="E240" i="24"/>
  <c r="E238" i="24"/>
  <c r="E903" i="24"/>
  <c r="E905" i="24"/>
  <c r="G407" i="24"/>
  <c r="F546" i="24"/>
  <c r="F552" i="24"/>
  <c r="E861" i="22"/>
  <c r="E863" i="22"/>
  <c r="E871" i="22"/>
  <c r="F297" i="22"/>
  <c r="E377" i="22"/>
  <c r="E909" i="22"/>
  <c r="E20" i="24"/>
  <c r="E209" i="24"/>
  <c r="E474" i="24"/>
  <c r="E873" i="24"/>
  <c r="E738" i="24"/>
  <c r="E452" i="24"/>
  <c r="G471" i="24"/>
  <c r="G472" i="24"/>
  <c r="F555" i="24"/>
  <c r="F597" i="24"/>
  <c r="F605" i="24"/>
  <c r="F611" i="24"/>
  <c r="F654" i="24"/>
  <c r="F662" i="24"/>
  <c r="E406" i="24"/>
  <c r="E407" i="24"/>
  <c r="E478" i="24"/>
  <c r="E521" i="24"/>
  <c r="E529" i="24"/>
  <c r="E413" i="24"/>
  <c r="E419" i="24"/>
  <c r="F464" i="24"/>
  <c r="F472" i="24"/>
  <c r="F478" i="24"/>
  <c r="F521" i="24"/>
  <c r="F529" i="24"/>
  <c r="F737" i="24"/>
  <c r="F738" i="24"/>
  <c r="F744" i="24"/>
  <c r="F787" i="24"/>
  <c r="F795" i="24"/>
  <c r="G149" i="22"/>
  <c r="H99" i="18"/>
  <c r="G563" i="24"/>
  <c r="M149" i="22"/>
  <c r="M73" i="24"/>
  <c r="J14" i="25"/>
  <c r="G459" i="22"/>
  <c r="I803" i="22"/>
  <c r="I19" i="24"/>
  <c r="M19" i="24"/>
  <c r="M17" i="24"/>
  <c r="M20" i="24"/>
  <c r="Q90" i="18"/>
  <c r="Q99" i="18"/>
  <c r="G99" i="18"/>
  <c r="F890" i="22"/>
  <c r="F892" i="22"/>
  <c r="G358" i="22"/>
  <c r="L542" i="22"/>
  <c r="L546" i="22"/>
  <c r="N546" i="22"/>
  <c r="O546" i="22"/>
  <c r="N196" i="24"/>
  <c r="E388" i="22"/>
  <c r="E396" i="22"/>
  <c r="Q168" i="3"/>
  <c r="R167" i="18"/>
  <c r="R168" i="18"/>
  <c r="S168" i="18"/>
  <c r="I345" i="22"/>
  <c r="M564" i="22"/>
  <c r="J110" i="23"/>
  <c r="D55" i="5"/>
  <c r="J55" i="5"/>
  <c r="M55" i="5"/>
  <c r="Q207" i="3"/>
  <c r="D56" i="5"/>
  <c r="J56" i="5"/>
  <c r="M56" i="5"/>
  <c r="G498" i="22"/>
  <c r="G173" i="22"/>
  <c r="N196" i="22"/>
  <c r="N309" i="22"/>
  <c r="O309" i="22"/>
  <c r="E881" i="22"/>
  <c r="E883" i="22"/>
  <c r="E888" i="22"/>
  <c r="I865" i="24"/>
  <c r="P207" i="3"/>
  <c r="C55" i="5"/>
  <c r="I55" i="5"/>
  <c r="L55" i="5"/>
  <c r="R205" i="3"/>
  <c r="R188" i="18"/>
  <c r="R190" i="18"/>
  <c r="F549" i="22"/>
  <c r="G549" i="22"/>
  <c r="F548" i="22"/>
  <c r="F151" i="22"/>
  <c r="E850" i="22"/>
  <c r="L861" i="22"/>
  <c r="L863" i="22"/>
  <c r="M315" i="24"/>
  <c r="M319" i="24"/>
  <c r="M41" i="22"/>
  <c r="L349" i="24"/>
  <c r="L351" i="24"/>
  <c r="G351" i="24"/>
  <c r="C43" i="5"/>
  <c r="I43" i="5"/>
  <c r="L43" i="5"/>
  <c r="P156" i="3"/>
  <c r="J61" i="3"/>
  <c r="F61" i="18"/>
  <c r="F64" i="18"/>
  <c r="F66" i="18"/>
  <c r="F168" i="22"/>
  <c r="G167" i="22"/>
  <c r="L167" i="22"/>
  <c r="R154" i="3"/>
  <c r="L752" i="24"/>
  <c r="L754" i="24"/>
  <c r="L755" i="24"/>
  <c r="G754" i="24"/>
  <c r="G755" i="24"/>
  <c r="G785" i="24"/>
  <c r="I13" i="24"/>
  <c r="M13" i="24"/>
  <c r="H188" i="18"/>
  <c r="F157" i="24"/>
  <c r="G156" i="24"/>
  <c r="G542" i="22"/>
  <c r="G546" i="22"/>
  <c r="E806" i="24"/>
  <c r="Z18" i="18"/>
  <c r="Z19" i="18"/>
  <c r="I847" i="24"/>
  <c r="M802" i="24"/>
  <c r="N802" i="24"/>
  <c r="E222" i="24"/>
  <c r="E220" i="24"/>
  <c r="E885" i="24"/>
  <c r="E887" i="24"/>
  <c r="E888" i="24"/>
  <c r="L409" i="22"/>
  <c r="F456" i="24"/>
  <c r="G456" i="24"/>
  <c r="L456" i="24"/>
  <c r="L509" i="22"/>
  <c r="F457" i="24"/>
  <c r="G457" i="24"/>
  <c r="L457" i="24"/>
  <c r="M430" i="22"/>
  <c r="N430" i="22"/>
  <c r="O430" i="22"/>
  <c r="G194" i="24"/>
  <c r="I538" i="22"/>
  <c r="M538" i="22"/>
  <c r="M539" i="22"/>
  <c r="N539" i="22"/>
  <c r="O539" i="22"/>
  <c r="Q106" i="3"/>
  <c r="M229" i="22"/>
  <c r="F591" i="24"/>
  <c r="G591" i="24"/>
  <c r="L591" i="24"/>
  <c r="M182" i="24"/>
  <c r="L276" i="24"/>
  <c r="N198" i="22"/>
  <c r="O198" i="22"/>
  <c r="F278" i="24"/>
  <c r="M509" i="22"/>
  <c r="F454" i="24"/>
  <c r="G454" i="24"/>
  <c r="R159" i="18"/>
  <c r="R160" i="18"/>
  <c r="H160" i="18"/>
  <c r="E437" i="22"/>
  <c r="E438" i="22"/>
  <c r="G147" i="22"/>
  <c r="S188" i="18"/>
  <c r="F438" i="24"/>
  <c r="F704" i="24"/>
  <c r="F871" i="24"/>
  <c r="G356" i="24"/>
  <c r="G386" i="24"/>
  <c r="L147" i="22"/>
  <c r="N147" i="22"/>
  <c r="M738" i="22"/>
  <c r="E717" i="24"/>
  <c r="N648" i="22"/>
  <c r="N123" i="23"/>
  <c r="L445" i="22"/>
  <c r="I87" i="23"/>
  <c r="L77" i="22"/>
  <c r="I15" i="23"/>
  <c r="N728" i="22"/>
  <c r="M772" i="24"/>
  <c r="N772" i="24"/>
  <c r="O772" i="24"/>
  <c r="N123" i="25"/>
  <c r="L585" i="22"/>
  <c r="J149" i="25"/>
  <c r="M916" i="24"/>
  <c r="N75" i="22"/>
  <c r="L292" i="22"/>
  <c r="L865" i="22"/>
  <c r="N99" i="25"/>
  <c r="N36" i="24"/>
  <c r="O36" i="24"/>
  <c r="N384" i="24"/>
  <c r="O384" i="24"/>
  <c r="M672" i="24"/>
  <c r="N672" i="24"/>
  <c r="O672" i="24"/>
  <c r="N382" i="22"/>
  <c r="N443" i="24"/>
  <c r="O443" i="24"/>
  <c r="N732" i="24"/>
  <c r="O732" i="24"/>
  <c r="N759" i="22"/>
  <c r="M738" i="24"/>
  <c r="M829" i="22"/>
  <c r="M74" i="25"/>
  <c r="M445" i="22"/>
  <c r="J87" i="23"/>
  <c r="I18" i="23"/>
  <c r="N43" i="23"/>
  <c r="M873" i="24"/>
  <c r="M77" i="22"/>
  <c r="J15" i="23"/>
  <c r="N474" i="22"/>
  <c r="N338" i="22"/>
  <c r="M351" i="22"/>
  <c r="N351" i="22"/>
  <c r="M77" i="24"/>
  <c r="J15" i="25"/>
  <c r="L435" i="22"/>
  <c r="L440" i="22"/>
  <c r="I86" i="23"/>
  <c r="N645" i="24"/>
  <c r="O645" i="24"/>
  <c r="L847" i="22"/>
  <c r="N635" i="24"/>
  <c r="O635" i="24"/>
  <c r="L914" i="24"/>
  <c r="M622" i="24"/>
  <c r="N617" i="24"/>
  <c r="L302" i="24"/>
  <c r="N302" i="24"/>
  <c r="O302" i="24"/>
  <c r="M750" i="22"/>
  <c r="N750" i="22"/>
  <c r="N645" i="22"/>
  <c r="O645" i="22"/>
  <c r="N335" i="24"/>
  <c r="M502" i="22"/>
  <c r="M843" i="22"/>
  <c r="M809" i="22"/>
  <c r="N63" i="22"/>
  <c r="N642" i="22"/>
  <c r="O642" i="22"/>
  <c r="M841" i="22"/>
  <c r="N841" i="22"/>
  <c r="O841" i="22"/>
  <c r="N768" i="22"/>
  <c r="O768" i="22"/>
  <c r="M841" i="24"/>
  <c r="N67" i="22"/>
  <c r="O67" i="22"/>
  <c r="M232" i="24"/>
  <c r="J45" i="25"/>
  <c r="M21" i="22"/>
  <c r="J9" i="23"/>
  <c r="N209" i="24"/>
  <c r="N245" i="24"/>
  <c r="N511" i="22"/>
  <c r="N198" i="24"/>
  <c r="O198" i="24"/>
  <c r="I123" i="25"/>
  <c r="M816" i="24"/>
  <c r="N376" i="22"/>
  <c r="O376" i="22"/>
  <c r="J143" i="23"/>
  <c r="L691" i="24"/>
  <c r="N691" i="24"/>
  <c r="O691" i="24"/>
  <c r="M21" i="24"/>
  <c r="J9" i="25"/>
  <c r="M763" i="24"/>
  <c r="N763" i="24"/>
  <c r="M861" i="22"/>
  <c r="M339" i="22"/>
  <c r="J64" i="23"/>
  <c r="M407" i="24"/>
  <c r="N407" i="24"/>
  <c r="K83" i="25"/>
  <c r="L773" i="22"/>
  <c r="N643" i="24"/>
  <c r="M493" i="24"/>
  <c r="M498" i="24"/>
  <c r="J95" i="25"/>
  <c r="N347" i="22"/>
  <c r="N536" i="22"/>
  <c r="O536" i="22"/>
  <c r="N740" i="24"/>
  <c r="M896" i="24"/>
  <c r="D138" i="23"/>
  <c r="L842" i="24"/>
  <c r="L844" i="24"/>
  <c r="M646" i="22"/>
  <c r="J122" i="23"/>
  <c r="N510" i="22"/>
  <c r="M711" i="24"/>
  <c r="L108" i="22"/>
  <c r="I21" i="23"/>
  <c r="N369" i="22"/>
  <c r="O369" i="22"/>
  <c r="N177" i="24"/>
  <c r="O177" i="24"/>
  <c r="N335" i="22"/>
  <c r="N480" i="22"/>
  <c r="O480" i="22"/>
  <c r="M879" i="22"/>
  <c r="L223" i="22"/>
  <c r="I44" i="23"/>
  <c r="M617" i="22"/>
  <c r="N617" i="22"/>
  <c r="N471" i="24"/>
  <c r="N45" i="24"/>
  <c r="O45" i="24"/>
  <c r="N728" i="24"/>
  <c r="N462" i="22"/>
  <c r="N746" i="24"/>
  <c r="O746" i="24"/>
  <c r="M240" i="24"/>
  <c r="D149" i="23"/>
  <c r="D135" i="25"/>
  <c r="G53" i="22"/>
  <c r="L52" i="22"/>
  <c r="E151" i="24"/>
  <c r="M804" i="22"/>
  <c r="M805" i="22"/>
  <c r="M205" i="22"/>
  <c r="N205" i="22"/>
  <c r="M867" i="22"/>
  <c r="M870" i="22"/>
  <c r="N599" i="22"/>
  <c r="O599" i="22"/>
  <c r="M605" i="22"/>
  <c r="J114" i="23"/>
  <c r="M205" i="24"/>
  <c r="M867" i="24"/>
  <c r="M870" i="24"/>
  <c r="N708" i="22"/>
  <c r="O708" i="22"/>
  <c r="M711" i="22"/>
  <c r="G278" i="24"/>
  <c r="G280" i="24"/>
  <c r="L278" i="24"/>
  <c r="G12" i="24"/>
  <c r="G14" i="24"/>
  <c r="M699" i="24"/>
  <c r="I700" i="24"/>
  <c r="M700" i="24"/>
  <c r="E294" i="22"/>
  <c r="E295" i="22"/>
  <c r="G700" i="24"/>
  <c r="F833" i="24"/>
  <c r="F834" i="24"/>
  <c r="V8" i="18"/>
  <c r="W8" i="18"/>
  <c r="N595" i="24"/>
  <c r="L597" i="24"/>
  <c r="L605" i="24"/>
  <c r="I114" i="25"/>
  <c r="J98" i="25"/>
  <c r="N515" i="24"/>
  <c r="K98" i="25"/>
  <c r="I216" i="22"/>
  <c r="I222" i="22"/>
  <c r="L737" i="24"/>
  <c r="N737" i="24"/>
  <c r="N734" i="24"/>
  <c r="E567" i="22"/>
  <c r="E833" i="22"/>
  <c r="E832" i="22"/>
  <c r="F212" i="24"/>
  <c r="F255" i="24"/>
  <c r="F263" i="24"/>
  <c r="L694" i="24"/>
  <c r="L696" i="24"/>
  <c r="N696" i="24"/>
  <c r="O696" i="24"/>
  <c r="N777" i="24"/>
  <c r="N462" i="24"/>
  <c r="I871" i="24"/>
  <c r="L730" i="24"/>
  <c r="M916" i="22"/>
  <c r="N783" i="22"/>
  <c r="O783" i="22"/>
  <c r="M8" i="22"/>
  <c r="N4" i="22"/>
  <c r="O4" i="22"/>
  <c r="M802" i="22"/>
  <c r="N802" i="22"/>
  <c r="O802" i="22"/>
  <c r="G725" i="22"/>
  <c r="L723" i="22"/>
  <c r="L725" i="22"/>
  <c r="M283" i="24"/>
  <c r="I815" i="24"/>
  <c r="M549" i="22"/>
  <c r="I551" i="22"/>
  <c r="M551" i="22"/>
  <c r="M150" i="22"/>
  <c r="M151" i="22"/>
  <c r="M152" i="22"/>
  <c r="M153" i="22"/>
  <c r="M154" i="22"/>
  <c r="I815" i="22"/>
  <c r="I124" i="25"/>
  <c r="N650" i="24"/>
  <c r="K124" i="25"/>
  <c r="I148" i="25"/>
  <c r="L672" i="22"/>
  <c r="L673" i="22"/>
  <c r="L803" i="22"/>
  <c r="L805" i="22"/>
  <c r="L806" i="22"/>
  <c r="G24" i="22"/>
  <c r="L24" i="22"/>
  <c r="L26" i="22"/>
  <c r="N26" i="22"/>
  <c r="E874" i="22"/>
  <c r="E875" i="22"/>
  <c r="F689" i="22"/>
  <c r="G652" i="24"/>
  <c r="E824" i="24"/>
  <c r="M815" i="24"/>
  <c r="D89" i="23"/>
  <c r="D89" i="25"/>
  <c r="M673" i="22"/>
  <c r="N202" i="22"/>
  <c r="M685" i="22"/>
  <c r="N705" i="24"/>
  <c r="O705" i="24"/>
  <c r="N214" i="24"/>
  <c r="I43" i="25"/>
  <c r="M43" i="25"/>
  <c r="N44" i="24"/>
  <c r="O44" i="24"/>
  <c r="M46" i="24"/>
  <c r="J12" i="25"/>
  <c r="N575" i="24"/>
  <c r="M578" i="24"/>
  <c r="J112" i="25"/>
  <c r="L46" i="22"/>
  <c r="I12" i="23"/>
  <c r="N45" i="22"/>
  <c r="O45" i="22"/>
  <c r="M283" i="22"/>
  <c r="I285" i="22"/>
  <c r="M285" i="22"/>
  <c r="M286" i="22"/>
  <c r="L679" i="22"/>
  <c r="N679" i="22"/>
  <c r="O679" i="22"/>
  <c r="O802" i="24"/>
  <c r="L472" i="24"/>
  <c r="I89" i="25"/>
  <c r="M218" i="24"/>
  <c r="M223" i="24"/>
  <c r="J44" i="25"/>
  <c r="N506" i="22"/>
  <c r="O506" i="22"/>
  <c r="M640" i="24"/>
  <c r="J121" i="25"/>
  <c r="E849" i="22"/>
  <c r="E851" i="22"/>
  <c r="G26" i="22"/>
  <c r="P60" i="3"/>
  <c r="G60" i="18"/>
  <c r="Q60" i="18"/>
  <c r="I305" i="24"/>
  <c r="M305" i="24"/>
  <c r="M306" i="24"/>
  <c r="M307" i="24"/>
  <c r="J61" i="25"/>
  <c r="N746" i="22"/>
  <c r="O746" i="22"/>
  <c r="N246" i="22"/>
  <c r="O246" i="22"/>
  <c r="M206" i="24"/>
  <c r="J39" i="25"/>
  <c r="I136" i="3"/>
  <c r="I223" i="3"/>
  <c r="F231" i="18"/>
  <c r="R224" i="18"/>
  <c r="I844" i="24"/>
  <c r="N306" i="24"/>
  <c r="O306" i="24"/>
  <c r="D111" i="25"/>
  <c r="D136" i="25"/>
  <c r="D111" i="23"/>
  <c r="D136" i="23"/>
  <c r="I570" i="22"/>
  <c r="M570" i="22"/>
  <c r="I571" i="22"/>
  <c r="M571" i="22"/>
  <c r="M572" i="22"/>
  <c r="M573" i="22"/>
  <c r="J111" i="23"/>
  <c r="G18" i="22"/>
  <c r="L18" i="22"/>
  <c r="L20" i="22"/>
  <c r="G20" i="22"/>
  <c r="G21" i="22"/>
  <c r="Q103" i="18"/>
  <c r="M548" i="24"/>
  <c r="M814" i="24"/>
  <c r="I551" i="24"/>
  <c r="M551" i="24"/>
  <c r="M816" i="22"/>
  <c r="I816" i="22"/>
  <c r="D149" i="25"/>
  <c r="L914" i="22"/>
  <c r="M247" i="22"/>
  <c r="J47" i="23"/>
  <c r="N468" i="24"/>
  <c r="N379" i="24"/>
  <c r="O379" i="24"/>
  <c r="L173" i="22"/>
  <c r="M194" i="22"/>
  <c r="J38" i="23"/>
  <c r="Q50" i="3"/>
  <c r="D17" i="5"/>
  <c r="J17" i="5"/>
  <c r="M17" i="5"/>
  <c r="G226" i="18"/>
  <c r="I896" i="24"/>
  <c r="F478" i="22"/>
  <c r="F521" i="22"/>
  <c r="F529" i="22"/>
  <c r="P101" i="3"/>
  <c r="P106" i="3"/>
  <c r="C32" i="5"/>
  <c r="I32" i="5"/>
  <c r="L32" i="5"/>
  <c r="J106" i="3"/>
  <c r="J108" i="3"/>
  <c r="G104" i="18"/>
  <c r="Q104" i="18"/>
  <c r="I738" i="24"/>
  <c r="I744" i="24"/>
  <c r="I787" i="24"/>
  <c r="I795" i="24"/>
  <c r="M633" i="22"/>
  <c r="I899" i="22"/>
  <c r="I634" i="22"/>
  <c r="Z110" i="18"/>
  <c r="X110" i="18"/>
  <c r="E910" i="22"/>
  <c r="E912" i="22"/>
  <c r="G223" i="3"/>
  <c r="S213" i="3"/>
  <c r="U213" i="3"/>
  <c r="H223" i="3"/>
  <c r="S40" i="3"/>
  <c r="S217" i="3"/>
  <c r="U217" i="3"/>
  <c r="F318" i="24"/>
  <c r="G318" i="24"/>
  <c r="L318" i="24"/>
  <c r="I910" i="24"/>
  <c r="G284" i="24"/>
  <c r="L284" i="24"/>
  <c r="M108" i="22"/>
  <c r="J21" i="23"/>
  <c r="N107" i="22"/>
  <c r="O107" i="22"/>
  <c r="E475" i="24"/>
  <c r="AA200" i="18"/>
  <c r="AB200" i="18"/>
  <c r="U200" i="18"/>
  <c r="AD200" i="18"/>
  <c r="E185" i="24"/>
  <c r="AB168" i="18"/>
  <c r="AD168" i="18"/>
  <c r="M810" i="22"/>
  <c r="L711" i="24"/>
  <c r="N311" i="24"/>
  <c r="O311" i="24"/>
  <c r="G493" i="24"/>
  <c r="L491" i="24"/>
  <c r="L493" i="24"/>
  <c r="G890" i="24"/>
  <c r="G892" i="24"/>
  <c r="F289" i="24"/>
  <c r="G289" i="24"/>
  <c r="G183" i="22"/>
  <c r="L183" i="22"/>
  <c r="F848" i="22"/>
  <c r="M46" i="22"/>
  <c r="J12" i="23"/>
  <c r="L53" i="22"/>
  <c r="M699" i="22"/>
  <c r="M701" i="22"/>
  <c r="F35" i="22"/>
  <c r="G34" i="22"/>
  <c r="G11" i="18"/>
  <c r="Q11" i="18"/>
  <c r="P12" i="3"/>
  <c r="F56" i="24"/>
  <c r="G56" i="24"/>
  <c r="L56" i="24"/>
  <c r="F55" i="24"/>
  <c r="G55" i="24"/>
  <c r="F57" i="24"/>
  <c r="G57" i="24"/>
  <c r="L57" i="24"/>
  <c r="F58" i="24"/>
  <c r="G58" i="24"/>
  <c r="L58" i="24"/>
  <c r="F40" i="22"/>
  <c r="E544" i="24"/>
  <c r="G229" i="22"/>
  <c r="F894" i="22"/>
  <c r="F896" i="22"/>
  <c r="F897" i="22"/>
  <c r="D11" i="5"/>
  <c r="J11" i="5"/>
  <c r="M11" i="5"/>
  <c r="Q32" i="3"/>
  <c r="E145" i="24"/>
  <c r="G413" i="24"/>
  <c r="F910" i="24"/>
  <c r="E28" i="5"/>
  <c r="K28" i="5"/>
  <c r="N28" i="5"/>
  <c r="T83" i="18"/>
  <c r="Y83" i="18"/>
  <c r="R84" i="3"/>
  <c r="R86" i="3"/>
  <c r="G29" i="22"/>
  <c r="L29" i="22"/>
  <c r="I816" i="24"/>
  <c r="S190" i="18"/>
  <c r="AA182" i="18"/>
  <c r="AB182" i="18"/>
  <c r="AD182" i="18"/>
  <c r="T146" i="18"/>
  <c r="R142" i="3"/>
  <c r="E41" i="5"/>
  <c r="K41" i="5"/>
  <c r="N41" i="5"/>
  <c r="E40" i="5"/>
  <c r="K40" i="5"/>
  <c r="N40" i="5"/>
  <c r="I512" i="22"/>
  <c r="R206" i="18"/>
  <c r="R214" i="18"/>
  <c r="I101" i="24"/>
  <c r="M101" i="24"/>
  <c r="M409" i="24"/>
  <c r="M808" i="24"/>
  <c r="I412" i="24"/>
  <c r="M412" i="24"/>
  <c r="I189" i="24"/>
  <c r="M189" i="24"/>
  <c r="I322" i="24"/>
  <c r="M322" i="24"/>
  <c r="I455" i="24"/>
  <c r="M455" i="24"/>
  <c r="M854" i="24"/>
  <c r="I188" i="24"/>
  <c r="M188" i="24"/>
  <c r="L427" i="24"/>
  <c r="L430" i="24"/>
  <c r="N430" i="24"/>
  <c r="O430" i="24"/>
  <c r="G430" i="24"/>
  <c r="G431" i="24"/>
  <c r="S218" i="18"/>
  <c r="F411" i="22"/>
  <c r="G411" i="22"/>
  <c r="L411" i="22"/>
  <c r="F185" i="22"/>
  <c r="G185" i="22"/>
  <c r="L185" i="22"/>
  <c r="J33" i="23"/>
  <c r="N141" i="22"/>
  <c r="K33" i="23"/>
  <c r="E899" i="24"/>
  <c r="E901" i="24"/>
  <c r="E906" i="24"/>
  <c r="I454" i="24"/>
  <c r="M454" i="24"/>
  <c r="I285" i="24"/>
  <c r="M285" i="24"/>
  <c r="M179" i="24"/>
  <c r="J37" i="25"/>
  <c r="F294" i="24"/>
  <c r="F295" i="24"/>
  <c r="L244" i="22"/>
  <c r="N244" i="22"/>
  <c r="G247" i="22"/>
  <c r="N76" i="22"/>
  <c r="R57" i="18"/>
  <c r="R59" i="18"/>
  <c r="H59" i="18"/>
  <c r="E55" i="22"/>
  <c r="E853" i="22"/>
  <c r="E58" i="22"/>
  <c r="E856" i="22"/>
  <c r="E57" i="22"/>
  <c r="E855" i="22"/>
  <c r="E56" i="22"/>
  <c r="E854" i="22"/>
  <c r="AA121" i="18"/>
  <c r="AD121" i="18"/>
  <c r="AB121" i="18"/>
  <c r="R27" i="18"/>
  <c r="R29" i="18"/>
  <c r="R31" i="18"/>
  <c r="H29" i="18"/>
  <c r="E325" i="22"/>
  <c r="F591" i="22"/>
  <c r="G591" i="22"/>
  <c r="R96" i="3"/>
  <c r="U96" i="3"/>
  <c r="C31" i="5"/>
  <c r="I31" i="5"/>
  <c r="L31" i="5"/>
  <c r="P108" i="3"/>
  <c r="C33" i="5"/>
  <c r="I33" i="5"/>
  <c r="L33" i="5"/>
  <c r="R121" i="3"/>
  <c r="T125" i="18"/>
  <c r="U125" i="18"/>
  <c r="M566" i="24"/>
  <c r="I567" i="24"/>
  <c r="M567" i="24"/>
  <c r="I486" i="24"/>
  <c r="I487" i="24"/>
  <c r="G240" i="24"/>
  <c r="G241" i="24"/>
  <c r="L238" i="24"/>
  <c r="L240" i="24"/>
  <c r="G903" i="24"/>
  <c r="G905" i="24"/>
  <c r="I321" i="24"/>
  <c r="M321" i="24"/>
  <c r="M167" i="24"/>
  <c r="I832" i="24"/>
  <c r="M713" i="22"/>
  <c r="M718" i="22"/>
  <c r="I715" i="22"/>
  <c r="M715" i="22"/>
  <c r="F837" i="24"/>
  <c r="F838" i="24"/>
  <c r="F839" i="24"/>
  <c r="G172" i="24"/>
  <c r="L172" i="24"/>
  <c r="L173" i="24"/>
  <c r="I31" i="24"/>
  <c r="I23" i="24"/>
  <c r="F415" i="22"/>
  <c r="F416" i="22"/>
  <c r="F417" i="22"/>
  <c r="I619" i="22"/>
  <c r="I620" i="22"/>
  <c r="G282" i="24"/>
  <c r="G286" i="24"/>
  <c r="L282" i="24"/>
  <c r="I449" i="24"/>
  <c r="G785" i="22"/>
  <c r="L879" i="24"/>
  <c r="M186" i="24"/>
  <c r="N186" i="24"/>
  <c r="O186" i="24"/>
  <c r="N76" i="24"/>
  <c r="N14" i="22"/>
  <c r="L413" i="22"/>
  <c r="N413" i="22"/>
  <c r="O413" i="22"/>
  <c r="N384" i="22"/>
  <c r="K74" i="23"/>
  <c r="M507" i="22"/>
  <c r="J96" i="23"/>
  <c r="G111" i="22"/>
  <c r="F909" i="22"/>
  <c r="I803" i="24"/>
  <c r="M537" i="24"/>
  <c r="K136" i="3"/>
  <c r="K223" i="3"/>
  <c r="H231" i="18"/>
  <c r="M604" i="24"/>
  <c r="N601" i="24"/>
  <c r="G699" i="22"/>
  <c r="F700" i="22"/>
  <c r="G98" i="24"/>
  <c r="G99" i="24"/>
  <c r="L96" i="24"/>
  <c r="L98" i="24"/>
  <c r="N98" i="24"/>
  <c r="O98" i="24"/>
  <c r="L740" i="22"/>
  <c r="L742" i="22"/>
  <c r="G742" i="22"/>
  <c r="M89" i="24"/>
  <c r="G42" i="18"/>
  <c r="G49" i="18"/>
  <c r="G51" i="18"/>
  <c r="J48" i="3"/>
  <c r="J50" i="3"/>
  <c r="N7" i="24"/>
  <c r="O7" i="24"/>
  <c r="M8" i="24"/>
  <c r="G287" i="24"/>
  <c r="AD173" i="18"/>
  <c r="H174" i="18"/>
  <c r="R173" i="18"/>
  <c r="R174" i="18"/>
  <c r="C37" i="5"/>
  <c r="I37" i="5"/>
  <c r="L37" i="5"/>
  <c r="R129" i="3"/>
  <c r="C15" i="5"/>
  <c r="I15" i="5"/>
  <c r="L15" i="5"/>
  <c r="R40" i="3"/>
  <c r="X168" i="18"/>
  <c r="Z168" i="18"/>
  <c r="AA168" i="18"/>
  <c r="M227" i="22"/>
  <c r="G149" i="24"/>
  <c r="F151" i="24"/>
  <c r="L149" i="24"/>
  <c r="I804" i="22"/>
  <c r="I805" i="22"/>
  <c r="I806" i="22"/>
  <c r="F717" i="24"/>
  <c r="G717" i="24"/>
  <c r="L717" i="24"/>
  <c r="L718" i="24"/>
  <c r="I388" i="22"/>
  <c r="I396" i="22"/>
  <c r="G173" i="24"/>
  <c r="G174" i="24"/>
  <c r="I475" i="24"/>
  <c r="M475" i="24"/>
  <c r="T116" i="18"/>
  <c r="E34" i="5"/>
  <c r="K34" i="5"/>
  <c r="N34" i="5"/>
  <c r="N509" i="22"/>
  <c r="O509" i="22"/>
  <c r="I171" i="24"/>
  <c r="M171" i="24"/>
  <c r="F458" i="24"/>
  <c r="G458" i="24"/>
  <c r="L458" i="24"/>
  <c r="M286" i="24"/>
  <c r="L454" i="24"/>
  <c r="G413" i="22"/>
  <c r="Q162" i="18"/>
  <c r="Q192" i="18"/>
  <c r="S160" i="18"/>
  <c r="E897" i="22"/>
  <c r="M161" i="24"/>
  <c r="AB83" i="18"/>
  <c r="U83" i="18"/>
  <c r="S86" i="18"/>
  <c r="AA83" i="18"/>
  <c r="AD83" i="18"/>
  <c r="I808" i="24"/>
  <c r="I162" i="24"/>
  <c r="M162" i="24"/>
  <c r="M697" i="24"/>
  <c r="L73" i="22"/>
  <c r="I14" i="23"/>
  <c r="L214" i="22"/>
  <c r="G879" i="22"/>
  <c r="M480" i="24"/>
  <c r="I519" i="24"/>
  <c r="I521" i="24"/>
  <c r="I529" i="24"/>
  <c r="I879" i="24"/>
  <c r="P54" i="3"/>
  <c r="P58" i="3"/>
  <c r="G55" i="18"/>
  <c r="J58" i="3"/>
  <c r="E191" i="24"/>
  <c r="E190" i="24"/>
  <c r="E189" i="24"/>
  <c r="E188" i="24"/>
  <c r="F113" i="24"/>
  <c r="G110" i="24"/>
  <c r="F908" i="24"/>
  <c r="T199" i="3"/>
  <c r="U199" i="3"/>
  <c r="F497" i="24"/>
  <c r="F495" i="24"/>
  <c r="G495" i="24"/>
  <c r="F703" i="22"/>
  <c r="G703" i="22"/>
  <c r="L703" i="22"/>
  <c r="F704" i="22"/>
  <c r="G704" i="22"/>
  <c r="G705" i="22"/>
  <c r="X40" i="18"/>
  <c r="Z40" i="18"/>
  <c r="H49" i="18"/>
  <c r="R46" i="18"/>
  <c r="R49" i="18"/>
  <c r="R51" i="18"/>
  <c r="P86" i="3"/>
  <c r="C30" i="5"/>
  <c r="I30" i="5"/>
  <c r="L30" i="5"/>
  <c r="C27" i="5"/>
  <c r="I27" i="5"/>
  <c r="L27" i="5"/>
  <c r="G910" i="24"/>
  <c r="J134" i="3"/>
  <c r="S40" i="18"/>
  <c r="I538" i="24"/>
  <c r="M538" i="24"/>
  <c r="M539" i="24"/>
  <c r="G31" i="22"/>
  <c r="G32" i="22"/>
  <c r="F890" i="24"/>
  <c r="F892" i="24"/>
  <c r="G718" i="24"/>
  <c r="E720" i="24"/>
  <c r="E721" i="24"/>
  <c r="E723" i="24"/>
  <c r="E722" i="24"/>
  <c r="L58" i="22"/>
  <c r="L60" i="22"/>
  <c r="N60" i="22"/>
  <c r="O60" i="22"/>
  <c r="G60" i="22"/>
  <c r="G61" i="22"/>
  <c r="I106" i="24"/>
  <c r="M106" i="24"/>
  <c r="M105" i="24"/>
  <c r="M454" i="22"/>
  <c r="I456" i="22"/>
  <c r="M456" i="22"/>
  <c r="I720" i="22"/>
  <c r="M720" i="22"/>
  <c r="I721" i="22"/>
  <c r="M721" i="22"/>
  <c r="M411" i="24"/>
  <c r="M810" i="24"/>
  <c r="I810" i="24"/>
  <c r="L181" i="22"/>
  <c r="L186" i="22"/>
  <c r="N186" i="22"/>
  <c r="O186" i="22"/>
  <c r="I581" i="22"/>
  <c r="M581" i="22"/>
  <c r="I580" i="22"/>
  <c r="I239" i="22"/>
  <c r="M239" i="22"/>
  <c r="M240" i="22"/>
  <c r="M241" i="22"/>
  <c r="J46" i="23"/>
  <c r="S19" i="3"/>
  <c r="S205" i="3"/>
  <c r="S207" i="3"/>
  <c r="S195" i="3"/>
  <c r="T191" i="3"/>
  <c r="S129" i="3"/>
  <c r="S116" i="3"/>
  <c r="U116" i="3"/>
  <c r="O709" i="24"/>
  <c r="N711" i="24"/>
  <c r="O711" i="24"/>
  <c r="E93" i="23"/>
  <c r="M93" i="23"/>
  <c r="M312" i="24"/>
  <c r="J62" i="25"/>
  <c r="E93" i="25"/>
  <c r="L312" i="22"/>
  <c r="I62" i="23"/>
  <c r="M865" i="24"/>
  <c r="N77" i="22"/>
  <c r="K15" i="23"/>
  <c r="M380" i="24"/>
  <c r="J72" i="25"/>
  <c r="N65" i="22"/>
  <c r="O65" i="22"/>
  <c r="K23" i="23"/>
  <c r="O116" i="22"/>
  <c r="M891" i="24"/>
  <c r="N506" i="24"/>
  <c r="O506" i="24"/>
  <c r="M507" i="24"/>
  <c r="N507" i="24"/>
  <c r="N445" i="24"/>
  <c r="K87" i="25"/>
  <c r="E48" i="25"/>
  <c r="M48" i="25"/>
  <c r="E48" i="23"/>
  <c r="M48" i="23"/>
  <c r="K24" i="23"/>
  <c r="O118" i="22"/>
  <c r="M725" i="24"/>
  <c r="M772" i="22"/>
  <c r="M292" i="22"/>
  <c r="M298" i="22"/>
  <c r="J60" i="23"/>
  <c r="N626" i="24"/>
  <c r="M558" i="24"/>
  <c r="M564" i="24"/>
  <c r="J110" i="25"/>
  <c r="M280" i="22"/>
  <c r="M287" i="22"/>
  <c r="J59" i="23"/>
  <c r="F49" i="23"/>
  <c r="N49" i="23"/>
  <c r="L312" i="24"/>
  <c r="I62" i="25"/>
  <c r="N709" i="22"/>
  <c r="O709" i="22"/>
  <c r="L646" i="22"/>
  <c r="N178" i="24"/>
  <c r="O178" i="24"/>
  <c r="L179" i="24"/>
  <c r="I37" i="25"/>
  <c r="N597" i="24"/>
  <c r="O597" i="24"/>
  <c r="M768" i="24"/>
  <c r="N768" i="24"/>
  <c r="O768" i="24"/>
  <c r="I99" i="25"/>
  <c r="N517" i="24"/>
  <c r="M646" i="24"/>
  <c r="J122" i="25"/>
  <c r="M630" i="22"/>
  <c r="N630" i="22"/>
  <c r="F43" i="25"/>
  <c r="N43" i="25"/>
  <c r="N93" i="23"/>
  <c r="M903" i="22"/>
  <c r="N236" i="22"/>
  <c r="O236" i="22"/>
  <c r="N210" i="24"/>
  <c r="O210" i="24"/>
  <c r="N112" i="22"/>
  <c r="O112" i="22"/>
  <c r="L910" i="22"/>
  <c r="L843" i="24"/>
  <c r="K73" i="25"/>
  <c r="O382" i="24"/>
  <c r="O81" i="24"/>
  <c r="K18" i="25"/>
  <c r="M843" i="24"/>
  <c r="K93" i="23"/>
  <c r="L413" i="24"/>
  <c r="N118" i="24"/>
  <c r="K24" i="25"/>
  <c r="N650" i="22"/>
  <c r="J124" i="23"/>
  <c r="J149" i="23"/>
  <c r="I122" i="25"/>
  <c r="N179" i="24"/>
  <c r="E124" i="23"/>
  <c r="M124" i="23"/>
  <c r="N497" i="22"/>
  <c r="L597" i="22"/>
  <c r="N595" i="22"/>
  <c r="L247" i="22"/>
  <c r="N243" i="22"/>
  <c r="O243" i="22"/>
  <c r="N644" i="24"/>
  <c r="I15" i="25"/>
  <c r="N77" i="24"/>
  <c r="M865" i="22"/>
  <c r="N865" i="22"/>
  <c r="O865" i="22"/>
  <c r="N730" i="22"/>
  <c r="O730" i="22"/>
  <c r="L738" i="22"/>
  <c r="N738" i="22"/>
  <c r="O738" i="22"/>
  <c r="N376" i="24"/>
  <c r="O376" i="24"/>
  <c r="L380" i="24"/>
  <c r="L206" i="22"/>
  <c r="I39" i="23"/>
  <c r="L194" i="24"/>
  <c r="I38" i="25"/>
  <c r="M360" i="24"/>
  <c r="N360" i="24"/>
  <c r="L280" i="24"/>
  <c r="I118" i="25"/>
  <c r="N613" i="24"/>
  <c r="N515" i="22"/>
  <c r="J98" i="23"/>
  <c r="N341" i="24"/>
  <c r="J58" i="23"/>
  <c r="N274" i="22"/>
  <c r="K58" i="23"/>
  <c r="M425" i="24"/>
  <c r="L910" i="24"/>
  <c r="L471" i="22"/>
  <c r="N468" i="22"/>
  <c r="M484" i="24"/>
  <c r="N484" i="24"/>
  <c r="M247" i="24"/>
  <c r="J47" i="25"/>
  <c r="F24" i="23"/>
  <c r="N24" i="23"/>
  <c r="N480" i="24"/>
  <c r="I93" i="25"/>
  <c r="N178" i="22"/>
  <c r="O178" i="22"/>
  <c r="M179" i="22"/>
  <c r="J37" i="23"/>
  <c r="N72" i="22"/>
  <c r="O72" i="22"/>
  <c r="M73" i="22"/>
  <c r="J14" i="23"/>
  <c r="K123" i="25"/>
  <c r="O648" i="24"/>
  <c r="K18" i="23"/>
  <c r="O81" i="22"/>
  <c r="N331" i="22"/>
  <c r="O331" i="22"/>
  <c r="L339" i="22"/>
  <c r="F124" i="23"/>
  <c r="M750" i="24"/>
  <c r="N750" i="24"/>
  <c r="M846" i="24"/>
  <c r="M18" i="23"/>
  <c r="O18" i="23"/>
  <c r="P18" i="23"/>
  <c r="L498" i="22"/>
  <c r="I95" i="23"/>
  <c r="M356" i="24"/>
  <c r="J69" i="25"/>
  <c r="N351" i="24"/>
  <c r="K73" i="23"/>
  <c r="O382" i="22"/>
  <c r="O613" i="22"/>
  <c r="K118" i="23"/>
  <c r="L867" i="22"/>
  <c r="O43" i="22"/>
  <c r="N46" i="22"/>
  <c r="L843" i="22"/>
  <c r="E124" i="25"/>
  <c r="L227" i="22"/>
  <c r="N227" i="22"/>
  <c r="I68" i="25"/>
  <c r="N347" i="24"/>
  <c r="M546" i="24"/>
  <c r="N578" i="24"/>
  <c r="O575" i="24"/>
  <c r="M809" i="24"/>
  <c r="M484" i="22"/>
  <c r="M489" i="22"/>
  <c r="L622" i="22"/>
  <c r="I119" i="23"/>
  <c r="M356" i="22"/>
  <c r="J69" i="23"/>
  <c r="F223" i="3"/>
  <c r="S8" i="3"/>
  <c r="S183" i="3"/>
  <c r="U183" i="3"/>
  <c r="S58" i="3"/>
  <c r="S112" i="3"/>
  <c r="D138" i="25"/>
  <c r="F89" i="25"/>
  <c r="F89" i="23"/>
  <c r="F98" i="23"/>
  <c r="F98" i="25"/>
  <c r="N98" i="25"/>
  <c r="F68" i="23"/>
  <c r="N68" i="23"/>
  <c r="F68" i="25"/>
  <c r="N68" i="25"/>
  <c r="F118" i="23"/>
  <c r="N118" i="23"/>
  <c r="F118" i="25"/>
  <c r="N118" i="25"/>
  <c r="F108" i="23"/>
  <c r="F108" i="25"/>
  <c r="F15" i="25"/>
  <c r="N15" i="25"/>
  <c r="F15" i="23"/>
  <c r="N15" i="23"/>
  <c r="D39" i="25"/>
  <c r="D39" i="23"/>
  <c r="D14" i="25"/>
  <c r="D14" i="23"/>
  <c r="F12" i="25"/>
  <c r="F12" i="23"/>
  <c r="D12" i="25"/>
  <c r="D12" i="23"/>
  <c r="D75" i="25"/>
  <c r="D75" i="23"/>
  <c r="D147" i="25"/>
  <c r="E58" i="25"/>
  <c r="E58" i="23"/>
  <c r="M58" i="23"/>
  <c r="E45" i="25"/>
  <c r="G18" i="25"/>
  <c r="G18" i="23"/>
  <c r="D108" i="25"/>
  <c r="D108" i="23"/>
  <c r="D37" i="25"/>
  <c r="D37" i="23"/>
  <c r="D41" i="23"/>
  <c r="D125" i="23"/>
  <c r="D114" i="25"/>
  <c r="D114" i="23"/>
  <c r="D143" i="25"/>
  <c r="D25" i="25"/>
  <c r="D147" i="23"/>
  <c r="E99" i="25"/>
  <c r="E99" i="23"/>
  <c r="M99" i="23"/>
  <c r="D140" i="23"/>
  <c r="D62" i="23"/>
  <c r="D62" i="25"/>
  <c r="E98" i="25"/>
  <c r="E98" i="23"/>
  <c r="E49" i="23"/>
  <c r="N18" i="25"/>
  <c r="E49" i="25"/>
  <c r="D25" i="23"/>
  <c r="D143" i="23"/>
  <c r="N24" i="25"/>
  <c r="D112" i="25"/>
  <c r="D112" i="23"/>
  <c r="D125" i="25"/>
  <c r="E33" i="25"/>
  <c r="M33" i="25"/>
  <c r="E33" i="23"/>
  <c r="M33" i="23"/>
  <c r="F114" i="23"/>
  <c r="N114" i="23"/>
  <c r="F114" i="25"/>
  <c r="D8" i="23"/>
  <c r="D8" i="25"/>
  <c r="D140" i="25"/>
  <c r="E24" i="23"/>
  <c r="E24" i="25"/>
  <c r="M24" i="25"/>
  <c r="D42" i="5"/>
  <c r="J42" i="5"/>
  <c r="M42" i="5"/>
  <c r="Q156" i="3"/>
  <c r="R148" i="3"/>
  <c r="F548" i="24"/>
  <c r="F549" i="24"/>
  <c r="G318" i="22"/>
  <c r="F850" i="22"/>
  <c r="E918" i="24"/>
  <c r="F283" i="22"/>
  <c r="F282" i="22"/>
  <c r="I371" i="24"/>
  <c r="I372" i="24"/>
  <c r="F560" i="22"/>
  <c r="G560" i="22"/>
  <c r="G342" i="22"/>
  <c r="F874" i="22"/>
  <c r="F875" i="22"/>
  <c r="E874" i="24"/>
  <c r="F189" i="22"/>
  <c r="F191" i="22"/>
  <c r="F188" i="22"/>
  <c r="F190" i="22"/>
  <c r="L273" i="24"/>
  <c r="L803" i="24"/>
  <c r="L805" i="24"/>
  <c r="M249" i="22"/>
  <c r="I253" i="22"/>
  <c r="I255" i="22"/>
  <c r="I263" i="22"/>
  <c r="I914" i="22"/>
  <c r="F49" i="18"/>
  <c r="F51" i="18"/>
  <c r="F53" i="18"/>
  <c r="F142" i="18"/>
  <c r="F228" i="18"/>
  <c r="Q43" i="18"/>
  <c r="Q49" i="18"/>
  <c r="U237" i="18"/>
  <c r="V237" i="18"/>
  <c r="AA71" i="18"/>
  <c r="AB71" i="18"/>
  <c r="AD71" i="18"/>
  <c r="U71" i="18"/>
  <c r="Q86" i="3"/>
  <c r="D30" i="5"/>
  <c r="J30" i="5"/>
  <c r="M30" i="5"/>
  <c r="D27" i="5"/>
  <c r="J27" i="5"/>
  <c r="M27" i="5"/>
  <c r="Q9" i="18"/>
  <c r="S7" i="18"/>
  <c r="D54" i="5"/>
  <c r="J54" i="5"/>
  <c r="M54" i="5"/>
  <c r="M572" i="24"/>
  <c r="L609" i="22"/>
  <c r="N341" i="22"/>
  <c r="L23" i="24"/>
  <c r="I704" i="22"/>
  <c r="M704" i="22"/>
  <c r="M705" i="22"/>
  <c r="M706" i="22"/>
  <c r="F324" i="24"/>
  <c r="F322" i="24"/>
  <c r="F321" i="24"/>
  <c r="F323" i="24"/>
  <c r="G147" i="24"/>
  <c r="M377" i="22"/>
  <c r="I379" i="22"/>
  <c r="I909" i="22"/>
  <c r="E683" i="22"/>
  <c r="L742" i="24"/>
  <c r="N742" i="24"/>
  <c r="O742" i="24"/>
  <c r="N741" i="24"/>
  <c r="L161" i="24"/>
  <c r="O444" i="22"/>
  <c r="N445" i="22"/>
  <c r="M49" i="22"/>
  <c r="I847" i="22"/>
  <c r="M301" i="22"/>
  <c r="M833" i="22"/>
  <c r="I833" i="22"/>
  <c r="I834" i="22"/>
  <c r="M512" i="24"/>
  <c r="M513" i="24"/>
  <c r="J97" i="25"/>
  <c r="L512" i="24"/>
  <c r="M685" i="24"/>
  <c r="M686" i="24"/>
  <c r="N20" i="22"/>
  <c r="L21" i="22"/>
  <c r="S30" i="3"/>
  <c r="Q185" i="3"/>
  <c r="D50" i="5"/>
  <c r="J50" i="5"/>
  <c r="M50" i="5"/>
  <c r="D48" i="5"/>
  <c r="J48" i="5"/>
  <c r="M48" i="5"/>
  <c r="R177" i="3"/>
  <c r="G24" i="24"/>
  <c r="G26" i="24"/>
  <c r="G32" i="24"/>
  <c r="M378" i="22"/>
  <c r="I910" i="22"/>
  <c r="AA196" i="18"/>
  <c r="S206" i="18"/>
  <c r="AD196" i="18"/>
  <c r="AB196" i="18"/>
  <c r="U196" i="18"/>
  <c r="M587" i="22"/>
  <c r="I589" i="22"/>
  <c r="M589" i="22"/>
  <c r="J96" i="25"/>
  <c r="L251" i="24"/>
  <c r="G916" i="24"/>
  <c r="L177" i="22"/>
  <c r="G179" i="22"/>
  <c r="L223" i="24"/>
  <c r="S108" i="3"/>
  <c r="T96" i="3"/>
  <c r="G151" i="22"/>
  <c r="L151" i="22"/>
  <c r="G677" i="24"/>
  <c r="L677" i="24"/>
  <c r="G29" i="18"/>
  <c r="Q22" i="18"/>
  <c r="Q29" i="18"/>
  <c r="L640" i="22"/>
  <c r="G162" i="24"/>
  <c r="L162" i="24"/>
  <c r="AB210" i="18"/>
  <c r="AD210" i="18"/>
  <c r="S212" i="18"/>
  <c r="AA210" i="18"/>
  <c r="G247" i="24"/>
  <c r="L244" i="24"/>
  <c r="G909" i="24"/>
  <c r="I367" i="24"/>
  <c r="I368" i="24"/>
  <c r="M368" i="24"/>
  <c r="M753" i="24"/>
  <c r="N511" i="24"/>
  <c r="M910" i="24"/>
  <c r="M817" i="22"/>
  <c r="I817" i="22"/>
  <c r="I818" i="22"/>
  <c r="N464" i="22"/>
  <c r="O464" i="22"/>
  <c r="L69" i="24"/>
  <c r="G72" i="24"/>
  <c r="G867" i="24"/>
  <c r="G870" i="24"/>
  <c r="L94" i="24"/>
  <c r="I761" i="22"/>
  <c r="I762" i="22"/>
  <c r="D100" i="23"/>
  <c r="D144" i="23"/>
  <c r="L581" i="24"/>
  <c r="L585" i="24"/>
  <c r="G585" i="24"/>
  <c r="G672" i="22"/>
  <c r="G673" i="22"/>
  <c r="G803" i="22"/>
  <c r="G805" i="22"/>
  <c r="G806" i="22"/>
  <c r="G83" i="24"/>
  <c r="F881" i="24"/>
  <c r="F883" i="24"/>
  <c r="M803" i="24"/>
  <c r="M139" i="24"/>
  <c r="M804" i="24"/>
  <c r="I804" i="24"/>
  <c r="I805" i="24"/>
  <c r="I806" i="24"/>
  <c r="H128" i="18"/>
  <c r="X116" i="18"/>
  <c r="Y116" i="18"/>
  <c r="Z116" i="18"/>
  <c r="T222" i="18"/>
  <c r="E59" i="5"/>
  <c r="K59" i="5"/>
  <c r="N59" i="5"/>
  <c r="R219" i="3"/>
  <c r="X99" i="18"/>
  <c r="Z99" i="18"/>
  <c r="H112" i="18"/>
  <c r="G40" i="24"/>
  <c r="G41" i="24"/>
  <c r="L675" i="24"/>
  <c r="G675" i="24"/>
  <c r="L145" i="24"/>
  <c r="L549" i="22"/>
  <c r="L449" i="22"/>
  <c r="G452" i="22"/>
  <c r="L365" i="24"/>
  <c r="N364" i="24"/>
  <c r="N99" i="23"/>
  <c r="N741" i="22"/>
  <c r="M742" i="22"/>
  <c r="N742" i="22"/>
  <c r="O742" i="22"/>
  <c r="N510" i="24"/>
  <c r="N227" i="24"/>
  <c r="M168" i="24"/>
  <c r="I833" i="24"/>
  <c r="I834" i="24"/>
  <c r="I321" i="22"/>
  <c r="I322" i="22"/>
  <c r="I323" i="22"/>
  <c r="L31" i="24"/>
  <c r="N841" i="24"/>
  <c r="M847" i="24"/>
  <c r="M53" i="24"/>
  <c r="M61" i="24"/>
  <c r="J13" i="25"/>
  <c r="M814" i="22"/>
  <c r="I891" i="24"/>
  <c r="M811" i="22"/>
  <c r="M812" i="22"/>
  <c r="O14" i="22"/>
  <c r="G238" i="22"/>
  <c r="F903" i="22"/>
  <c r="F905" i="22"/>
  <c r="F906" i="22"/>
  <c r="E415" i="24"/>
  <c r="E416" i="24"/>
  <c r="F570" i="22"/>
  <c r="F571" i="22"/>
  <c r="E711" i="24"/>
  <c r="E744" i="24"/>
  <c r="E787" i="24"/>
  <c r="E795" i="24"/>
  <c r="E841" i="24"/>
  <c r="E844" i="24"/>
  <c r="L31" i="22"/>
  <c r="G314" i="24"/>
  <c r="F846" i="24"/>
  <c r="R123" i="3"/>
  <c r="E35" i="5"/>
  <c r="K35" i="5"/>
  <c r="N35" i="5"/>
  <c r="T121" i="18"/>
  <c r="M472" i="24"/>
  <c r="N464" i="24"/>
  <c r="O464" i="24"/>
  <c r="E16" i="24"/>
  <c r="E17" i="24"/>
  <c r="E18" i="24"/>
  <c r="G50" i="24"/>
  <c r="F848" i="24"/>
  <c r="F277" i="22"/>
  <c r="F276" i="22"/>
  <c r="E449" i="24"/>
  <c r="E848" i="24"/>
  <c r="E448" i="24"/>
  <c r="E450" i="24"/>
  <c r="E849" i="24"/>
  <c r="E447" i="24"/>
  <c r="E566" i="24"/>
  <c r="E832" i="24"/>
  <c r="E410" i="24"/>
  <c r="E809" i="24"/>
  <c r="E409" i="24"/>
  <c r="E808" i="24"/>
  <c r="E459" i="24"/>
  <c r="F294" i="22"/>
  <c r="F295" i="22"/>
  <c r="E572" i="24"/>
  <c r="F113" i="22"/>
  <c r="G110" i="22"/>
  <c r="F908" i="22"/>
  <c r="G83" i="22"/>
  <c r="F881" i="22"/>
  <c r="F883" i="22"/>
  <c r="G65" i="24"/>
  <c r="L63" i="24"/>
  <c r="G861" i="24"/>
  <c r="G863" i="24"/>
  <c r="L333" i="24"/>
  <c r="G865" i="24"/>
  <c r="R62" i="18"/>
  <c r="C60" i="5"/>
  <c r="I60" i="5"/>
  <c r="L60" i="5"/>
  <c r="U177" i="3"/>
  <c r="L717" i="22"/>
  <c r="L718" i="22"/>
  <c r="G718" i="22"/>
  <c r="G726" i="22"/>
  <c r="T188" i="18"/>
  <c r="E49" i="5"/>
  <c r="K49" i="5"/>
  <c r="N49" i="5"/>
  <c r="G689" i="22"/>
  <c r="G691" i="22"/>
  <c r="R112" i="18"/>
  <c r="S99" i="18"/>
  <c r="G317" i="22"/>
  <c r="F849" i="22"/>
  <c r="F451" i="24"/>
  <c r="G451" i="24"/>
  <c r="L451" i="24"/>
  <c r="G448" i="24"/>
  <c r="F681" i="24"/>
  <c r="F682" i="24"/>
  <c r="N355" i="24"/>
  <c r="L356" i="24"/>
  <c r="I141" i="24"/>
  <c r="I212" i="24"/>
  <c r="L631" i="24"/>
  <c r="N630" i="24"/>
  <c r="R30" i="3"/>
  <c r="C13" i="5"/>
  <c r="I13" i="5"/>
  <c r="L13" i="5"/>
  <c r="L314" i="22"/>
  <c r="G846" i="22"/>
  <c r="N310" i="22"/>
  <c r="M842" i="22"/>
  <c r="M312" i="22"/>
  <c r="J62" i="23"/>
  <c r="O517" i="22"/>
  <c r="K99" i="23"/>
  <c r="G592" i="24"/>
  <c r="L587" i="24"/>
  <c r="L592" i="24"/>
  <c r="E172" i="24"/>
  <c r="I492" i="22"/>
  <c r="M491" i="22"/>
  <c r="I890" i="22"/>
  <c r="M437" i="24"/>
  <c r="I836" i="24"/>
  <c r="N406" i="22"/>
  <c r="O406" i="22"/>
  <c r="M407" i="22"/>
  <c r="M587" i="24"/>
  <c r="I853" i="24"/>
  <c r="M439" i="22"/>
  <c r="N476" i="22"/>
  <c r="J90" i="23"/>
  <c r="M755" i="22"/>
  <c r="M152" i="24"/>
  <c r="M817" i="24"/>
  <c r="I817" i="24"/>
  <c r="I818" i="24"/>
  <c r="J115" i="25"/>
  <c r="N609" i="24"/>
  <c r="M718" i="24"/>
  <c r="N778" i="22"/>
  <c r="O778" i="22"/>
  <c r="L779" i="22"/>
  <c r="N622" i="24"/>
  <c r="J119" i="25"/>
  <c r="G555" i="24"/>
  <c r="F556" i="24"/>
  <c r="F821" i="24"/>
  <c r="E816" i="22"/>
  <c r="E818" i="22"/>
  <c r="L578" i="22"/>
  <c r="I112" i="23"/>
  <c r="N576" i="22"/>
  <c r="M209" i="22"/>
  <c r="M210" i="22"/>
  <c r="J40" i="23"/>
  <c r="I874" i="22"/>
  <c r="I875" i="22"/>
  <c r="G720" i="24"/>
  <c r="F724" i="24"/>
  <c r="G724" i="24"/>
  <c r="L724" i="24"/>
  <c r="M39" i="24"/>
  <c r="N435" i="24"/>
  <c r="E38" i="22"/>
  <c r="E836" i="22"/>
  <c r="G51" i="24"/>
  <c r="F849" i="24"/>
  <c r="E23" i="22"/>
  <c r="E821" i="22"/>
  <c r="L371" i="22"/>
  <c r="L373" i="22"/>
  <c r="G373" i="22"/>
  <c r="G374" i="22"/>
  <c r="G87" i="22"/>
  <c r="F885" i="22"/>
  <c r="F887" i="22"/>
  <c r="F89" i="24"/>
  <c r="F87" i="24"/>
  <c r="F73" i="24"/>
  <c r="F79" i="24"/>
  <c r="F122" i="24"/>
  <c r="F130" i="24"/>
  <c r="H63" i="18"/>
  <c r="R63" i="18"/>
  <c r="Q63" i="3"/>
  <c r="Q64" i="3"/>
  <c r="G12" i="18"/>
  <c r="J19" i="3"/>
  <c r="J32" i="3"/>
  <c r="P13" i="3"/>
  <c r="H154" i="18"/>
  <c r="R153" i="18"/>
  <c r="R154" i="18"/>
  <c r="AA77" i="18"/>
  <c r="AB77" i="18"/>
  <c r="AD77" i="18"/>
  <c r="S88" i="18"/>
  <c r="U77" i="18"/>
  <c r="Q108" i="3"/>
  <c r="D33" i="5"/>
  <c r="J33" i="5"/>
  <c r="M33" i="5"/>
  <c r="D32" i="5"/>
  <c r="J32" i="5"/>
  <c r="M32" i="5"/>
  <c r="R106" i="3"/>
  <c r="M157" i="22"/>
  <c r="M822" i="22"/>
  <c r="I822" i="22"/>
  <c r="I824" i="22"/>
  <c r="I830" i="22"/>
  <c r="Q128" i="18"/>
  <c r="S116" i="18"/>
  <c r="L321" i="22"/>
  <c r="G873" i="24"/>
  <c r="G875" i="24"/>
  <c r="G476" i="24"/>
  <c r="L474" i="24"/>
  <c r="M231" i="22"/>
  <c r="M232" i="22"/>
  <c r="J45" i="23"/>
  <c r="M235" i="24"/>
  <c r="M236" i="24"/>
  <c r="G676" i="24"/>
  <c r="L676" i="24"/>
  <c r="F694" i="22"/>
  <c r="F851" i="22"/>
  <c r="L874" i="24"/>
  <c r="L343" i="24"/>
  <c r="G683" i="22"/>
  <c r="G685" i="22"/>
  <c r="G686" i="22"/>
  <c r="G17" i="24"/>
  <c r="L17" i="24"/>
  <c r="M342" i="24"/>
  <c r="N342" i="24"/>
  <c r="I874" i="24"/>
  <c r="I875" i="24"/>
  <c r="E830" i="24"/>
  <c r="I148" i="23"/>
  <c r="M172" i="22"/>
  <c r="M890" i="24"/>
  <c r="M892" i="24"/>
  <c r="M759" i="24"/>
  <c r="M861" i="24"/>
  <c r="M863" i="24"/>
  <c r="M331" i="24"/>
  <c r="N329" i="24"/>
  <c r="L356" i="22"/>
  <c r="N355" i="22"/>
  <c r="M589" i="24"/>
  <c r="I846" i="22"/>
  <c r="M314" i="22"/>
  <c r="I316" i="22"/>
  <c r="N46" i="24"/>
  <c r="O43" i="24"/>
  <c r="M686" i="22"/>
  <c r="I811" i="22"/>
  <c r="I812" i="22"/>
  <c r="I819" i="22"/>
  <c r="J84" i="23"/>
  <c r="J48" i="25"/>
  <c r="N249" i="24"/>
  <c r="L570" i="24"/>
  <c r="G572" i="24"/>
  <c r="G573" i="24"/>
  <c r="G836" i="24"/>
  <c r="F543" i="24"/>
  <c r="F542" i="24"/>
  <c r="F544" i="24"/>
  <c r="G49" i="24"/>
  <c r="F52" i="24"/>
  <c r="F847" i="24"/>
  <c r="L251" i="22"/>
  <c r="G916" i="22"/>
  <c r="F555" i="22"/>
  <c r="F556" i="22"/>
  <c r="L202" i="24"/>
  <c r="G205" i="24"/>
  <c r="G206" i="24"/>
  <c r="C16" i="5"/>
  <c r="I16" i="5"/>
  <c r="L16" i="5"/>
  <c r="P50" i="3"/>
  <c r="C17" i="5"/>
  <c r="I17" i="5"/>
  <c r="L17" i="5"/>
  <c r="R48" i="3"/>
  <c r="M159" i="22"/>
  <c r="M821" i="22"/>
  <c r="G153" i="22"/>
  <c r="G154" i="22"/>
  <c r="S162" i="3"/>
  <c r="L688" i="22"/>
  <c r="L561" i="24"/>
  <c r="L563" i="24"/>
  <c r="N563" i="24"/>
  <c r="L693" i="22"/>
  <c r="N310" i="24"/>
  <c r="M842" i="24"/>
  <c r="L568" i="24"/>
  <c r="M881" i="24"/>
  <c r="L39" i="24"/>
  <c r="G229" i="24"/>
  <c r="F894" i="24"/>
  <c r="F896" i="24"/>
  <c r="F897" i="24"/>
  <c r="N208" i="22"/>
  <c r="L210" i="22"/>
  <c r="L873" i="22"/>
  <c r="L704" i="22"/>
  <c r="L705" i="22"/>
  <c r="S201" i="3"/>
  <c r="T195" i="3"/>
  <c r="U195" i="3"/>
  <c r="L107" i="24"/>
  <c r="D146" i="23"/>
  <c r="F18" i="24"/>
  <c r="G16" i="24"/>
  <c r="L16" i="24"/>
  <c r="F827" i="24"/>
  <c r="AA138" i="18"/>
  <c r="U138" i="18"/>
  <c r="AD138" i="18"/>
  <c r="S140" i="18"/>
  <c r="AB138" i="18"/>
  <c r="G305" i="22"/>
  <c r="L305" i="22"/>
  <c r="E27" i="5"/>
  <c r="K27" i="5"/>
  <c r="N27" i="5"/>
  <c r="O648" i="22"/>
  <c r="K123" i="23"/>
  <c r="G103" i="24"/>
  <c r="G108" i="24"/>
  <c r="L101" i="24"/>
  <c r="G899" i="24"/>
  <c r="G901" i="24"/>
  <c r="G906" i="24"/>
  <c r="D134" i="23"/>
  <c r="M363" i="22"/>
  <c r="I388" i="24"/>
  <c r="I396" i="24"/>
  <c r="M863" i="22"/>
  <c r="I892" i="24"/>
  <c r="I897" i="24"/>
  <c r="M372" i="22"/>
  <c r="I904" i="22"/>
  <c r="I905" i="22"/>
  <c r="M99" i="22"/>
  <c r="N94" i="22"/>
  <c r="J60" i="25"/>
  <c r="E847" i="24"/>
  <c r="L374" i="24"/>
  <c r="M279" i="24"/>
  <c r="I811" i="24"/>
  <c r="I812" i="24"/>
  <c r="E875" i="24"/>
  <c r="F566" i="22"/>
  <c r="F567" i="22"/>
  <c r="M116" i="24"/>
  <c r="I914" i="24"/>
  <c r="I120" i="24"/>
  <c r="I122" i="24"/>
  <c r="I130" i="24"/>
  <c r="E31" i="22"/>
  <c r="D48" i="23"/>
  <c r="D148" i="23"/>
  <c r="D48" i="25"/>
  <c r="D148" i="25"/>
  <c r="F23" i="25"/>
  <c r="F23" i="23"/>
  <c r="S222" i="18"/>
  <c r="Q224" i="18"/>
  <c r="E809" i="22"/>
  <c r="E278" i="22"/>
  <c r="E810" i="22"/>
  <c r="Q170" i="3"/>
  <c r="D47" i="5"/>
  <c r="J47" i="5"/>
  <c r="M47" i="5"/>
  <c r="D45" i="5"/>
  <c r="J45" i="5"/>
  <c r="M45" i="5"/>
  <c r="R162" i="3"/>
  <c r="G417" i="24"/>
  <c r="G419" i="24"/>
  <c r="G420" i="24"/>
  <c r="M84" i="24"/>
  <c r="M882" i="24"/>
  <c r="I882" i="24"/>
  <c r="I883" i="24"/>
  <c r="M873" i="22"/>
  <c r="F325" i="22"/>
  <c r="G325" i="22"/>
  <c r="L325" i="22"/>
  <c r="G339" i="24"/>
  <c r="N164" i="22"/>
  <c r="L165" i="22"/>
  <c r="D146" i="25"/>
  <c r="L500" i="22"/>
  <c r="G899" i="22"/>
  <c r="G901" i="22"/>
  <c r="G502" i="22"/>
  <c r="G507" i="22"/>
  <c r="G519" i="22"/>
  <c r="G423" i="22"/>
  <c r="L640" i="24"/>
  <c r="N639" i="24"/>
  <c r="I304" i="22"/>
  <c r="M776" i="24"/>
  <c r="I778" i="24"/>
  <c r="I911" i="24"/>
  <c r="I909" i="24"/>
  <c r="I253" i="24"/>
  <c r="D144" i="25"/>
  <c r="D100" i="25"/>
  <c r="Q214" i="18"/>
  <c r="Q226" i="18"/>
  <c r="J89" i="23"/>
  <c r="M32" i="22"/>
  <c r="J10" i="23"/>
  <c r="J11" i="23"/>
  <c r="L697" i="24"/>
  <c r="N805" i="22"/>
  <c r="O805" i="22"/>
  <c r="Z188" i="18"/>
  <c r="AA188" i="18"/>
  <c r="X188" i="18"/>
  <c r="G848" i="22"/>
  <c r="C44" i="5"/>
  <c r="I44" i="5"/>
  <c r="L44" i="5"/>
  <c r="P187" i="3"/>
  <c r="G360" i="22"/>
  <c r="G365" i="22"/>
  <c r="L358" i="22"/>
  <c r="G890" i="22"/>
  <c r="G892" i="22"/>
  <c r="E417" i="24"/>
  <c r="G460" i="22"/>
  <c r="X160" i="18"/>
  <c r="Z160" i="18"/>
  <c r="AA160" i="18"/>
  <c r="M431" i="22"/>
  <c r="J85" i="23"/>
  <c r="I854" i="24"/>
  <c r="N218" i="24"/>
  <c r="M540" i="22"/>
  <c r="E43" i="5"/>
  <c r="K43" i="5"/>
  <c r="N43" i="5"/>
  <c r="T160" i="18"/>
  <c r="L548" i="22"/>
  <c r="G548" i="22"/>
  <c r="F550" i="22"/>
  <c r="G550" i="22"/>
  <c r="G552" i="22"/>
  <c r="G553" i="22"/>
  <c r="J64" i="3"/>
  <c r="G61" i="18"/>
  <c r="Q61" i="18"/>
  <c r="Q64" i="18"/>
  <c r="M773" i="24"/>
  <c r="N773" i="24"/>
  <c r="O773" i="24"/>
  <c r="F325" i="24"/>
  <c r="Q209" i="3"/>
  <c r="D57" i="5"/>
  <c r="J57" i="5"/>
  <c r="M57" i="5"/>
  <c r="G186" i="22"/>
  <c r="G704" i="24"/>
  <c r="G705" i="24"/>
  <c r="L704" i="24"/>
  <c r="C56" i="5"/>
  <c r="I56" i="5"/>
  <c r="L56" i="5"/>
  <c r="P209" i="3"/>
  <c r="C57" i="5"/>
  <c r="I57" i="5"/>
  <c r="L57" i="5"/>
  <c r="P19" i="3"/>
  <c r="T213" i="3"/>
  <c r="J66" i="3"/>
  <c r="M815" i="22"/>
  <c r="G438" i="24"/>
  <c r="L438" i="24"/>
  <c r="L439" i="24"/>
  <c r="L440" i="24"/>
  <c r="G157" i="24"/>
  <c r="G159" i="24"/>
  <c r="L156" i="24"/>
  <c r="L159" i="24"/>
  <c r="N159" i="24"/>
  <c r="O159" i="24"/>
  <c r="G168" i="22"/>
  <c r="G169" i="22"/>
  <c r="G174" i="22"/>
  <c r="L168" i="22"/>
  <c r="L169" i="22"/>
  <c r="N169" i="22"/>
  <c r="D46" i="5"/>
  <c r="J46" i="5"/>
  <c r="M46" i="5"/>
  <c r="R168" i="3"/>
  <c r="R170" i="3"/>
  <c r="N861" i="22"/>
  <c r="G386" i="22"/>
  <c r="F550" i="24"/>
  <c r="R207" i="3"/>
  <c r="T207" i="3"/>
  <c r="AD188" i="18"/>
  <c r="AB188" i="18"/>
  <c r="L157" i="24"/>
  <c r="P61" i="3"/>
  <c r="P64" i="3"/>
  <c r="E55" i="5"/>
  <c r="K55" i="5"/>
  <c r="N55" i="5"/>
  <c r="T210" i="18"/>
  <c r="K74" i="25"/>
  <c r="M206" i="22"/>
  <c r="J39" i="23"/>
  <c r="J139" i="23"/>
  <c r="N842" i="24"/>
  <c r="O842" i="24"/>
  <c r="M124" i="25"/>
  <c r="O124" i="25"/>
  <c r="P124" i="25"/>
  <c r="M652" i="24"/>
  <c r="M871" i="24"/>
  <c r="N435" i="22"/>
  <c r="O435" i="22"/>
  <c r="N843" i="22"/>
  <c r="O843" i="22"/>
  <c r="N711" i="22"/>
  <c r="O711" i="22"/>
  <c r="L890" i="24"/>
  <c r="L892" i="24"/>
  <c r="N892" i="24"/>
  <c r="O892" i="24"/>
  <c r="M673" i="24"/>
  <c r="N673" i="24"/>
  <c r="N697" i="24"/>
  <c r="O697" i="24"/>
  <c r="M806" i="22"/>
  <c r="M904" i="22"/>
  <c r="N484" i="22"/>
  <c r="O515" i="24"/>
  <c r="M832" i="24"/>
  <c r="O77" i="22"/>
  <c r="J137" i="25"/>
  <c r="M897" i="24"/>
  <c r="M844" i="22"/>
  <c r="N124" i="23"/>
  <c r="O384" i="22"/>
  <c r="N292" i="22"/>
  <c r="O292" i="22"/>
  <c r="L307" i="24"/>
  <c r="O650" i="24"/>
  <c r="N98" i="23"/>
  <c r="N673" i="22"/>
  <c r="N910" i="24"/>
  <c r="N12" i="25"/>
  <c r="O118" i="24"/>
  <c r="N108" i="22"/>
  <c r="K21" i="23"/>
  <c r="L738" i="24"/>
  <c r="N738" i="24"/>
  <c r="O738" i="24"/>
  <c r="L903" i="24"/>
  <c r="L905" i="24"/>
  <c r="M832" i="22"/>
  <c r="M834" i="22"/>
  <c r="J83" i="25"/>
  <c r="N730" i="24"/>
  <c r="O730" i="24"/>
  <c r="M99" i="25"/>
  <c r="O99" i="25"/>
  <c r="P99" i="25"/>
  <c r="D41" i="25"/>
  <c r="N12" i="23"/>
  <c r="M905" i="22"/>
  <c r="D16" i="25"/>
  <c r="D27" i="25"/>
  <c r="K68" i="23"/>
  <c r="O347" i="22"/>
  <c r="N512" i="24"/>
  <c r="O512" i="24"/>
  <c r="M762" i="22"/>
  <c r="I895" i="22"/>
  <c r="F14" i="25"/>
  <c r="N14" i="25"/>
  <c r="F14" i="23"/>
  <c r="N14" i="23"/>
  <c r="F278" i="22"/>
  <c r="G278" i="22"/>
  <c r="G810" i="22"/>
  <c r="L459" i="24"/>
  <c r="I456" i="24"/>
  <c r="M456" i="24"/>
  <c r="M459" i="24"/>
  <c r="M552" i="24"/>
  <c r="N8" i="22"/>
  <c r="K8" i="23"/>
  <c r="J8" i="23"/>
  <c r="L12" i="24"/>
  <c r="L14" i="24"/>
  <c r="N14" i="24"/>
  <c r="O14" i="24"/>
  <c r="M818" i="24"/>
  <c r="M634" i="22"/>
  <c r="M900" i="22"/>
  <c r="I900" i="22"/>
  <c r="I901" i="22"/>
  <c r="O214" i="24"/>
  <c r="K43" i="25"/>
  <c r="N672" i="22"/>
  <c r="O672" i="22"/>
  <c r="I220" i="22"/>
  <c r="M220" i="22"/>
  <c r="M222" i="22"/>
  <c r="N222" i="22"/>
  <c r="I221" i="22"/>
  <c r="M221" i="22"/>
  <c r="G701" i="24"/>
  <c r="G706" i="24"/>
  <c r="G833" i="24"/>
  <c r="G834" i="24"/>
  <c r="L700" i="24"/>
  <c r="I906" i="22"/>
  <c r="M553" i="24"/>
  <c r="J109" i="25"/>
  <c r="E724" i="24"/>
  <c r="M568" i="24"/>
  <c r="M573" i="24"/>
  <c r="J111" i="25"/>
  <c r="G110" i="18"/>
  <c r="G112" i="18"/>
  <c r="I881" i="22"/>
  <c r="I217" i="22"/>
  <c r="M216" i="22"/>
  <c r="M881" i="22"/>
  <c r="F74" i="25"/>
  <c r="F74" i="23"/>
  <c r="N74" i="23"/>
  <c r="O74" i="23"/>
  <c r="P74" i="23"/>
  <c r="J52" i="3"/>
  <c r="F232" i="18"/>
  <c r="F561" i="22"/>
  <c r="M107" i="24"/>
  <c r="N107" i="24"/>
  <c r="O107" i="24"/>
  <c r="L550" i="22"/>
  <c r="E918" i="22"/>
  <c r="G459" i="24"/>
  <c r="I172" i="24"/>
  <c r="I323" i="24"/>
  <c r="M323" i="24"/>
  <c r="M326" i="24"/>
  <c r="M327" i="24"/>
  <c r="J63" i="25"/>
  <c r="R53" i="18"/>
  <c r="I102" i="24"/>
  <c r="M102" i="24"/>
  <c r="T40" i="3"/>
  <c r="M635" i="22"/>
  <c r="M899" i="22"/>
  <c r="Q110" i="18"/>
  <c r="G64" i="18"/>
  <c r="M552" i="22"/>
  <c r="M553" i="22"/>
  <c r="J109" i="23"/>
  <c r="E834" i="22"/>
  <c r="M701" i="24"/>
  <c r="M706" i="24"/>
  <c r="T116" i="3"/>
  <c r="U40" i="3"/>
  <c r="T217" i="3"/>
  <c r="S219" i="3"/>
  <c r="U219" i="3"/>
  <c r="S48" i="3"/>
  <c r="S185" i="3"/>
  <c r="M620" i="22"/>
  <c r="G417" i="22"/>
  <c r="L417" i="22"/>
  <c r="L174" i="24"/>
  <c r="I36" i="25"/>
  <c r="M487" i="24"/>
  <c r="M886" i="24"/>
  <c r="I886" i="24"/>
  <c r="I912" i="24"/>
  <c r="E39" i="22"/>
  <c r="E837" i="22"/>
  <c r="F683" i="24"/>
  <c r="E411" i="24"/>
  <c r="E810" i="24"/>
  <c r="E451" i="24"/>
  <c r="E850" i="24"/>
  <c r="F192" i="22"/>
  <c r="O445" i="24"/>
  <c r="N646" i="24"/>
  <c r="K122" i="25"/>
  <c r="O43" i="25"/>
  <c r="P43" i="25"/>
  <c r="M580" i="22"/>
  <c r="M846" i="22"/>
  <c r="I582" i="22"/>
  <c r="M582" i="22"/>
  <c r="I722" i="22"/>
  <c r="M722" i="22"/>
  <c r="M725" i="22"/>
  <c r="N725" i="22"/>
  <c r="O725" i="22"/>
  <c r="N539" i="24"/>
  <c r="O539" i="24"/>
  <c r="M540" i="24"/>
  <c r="Q55" i="18"/>
  <c r="Q59" i="18"/>
  <c r="S59" i="18"/>
  <c r="G59" i="18"/>
  <c r="J93" i="25"/>
  <c r="M879" i="24"/>
  <c r="N879" i="24"/>
  <c r="O879" i="24"/>
  <c r="L431" i="24"/>
  <c r="I85" i="25"/>
  <c r="AA86" i="18"/>
  <c r="AB86" i="18"/>
  <c r="AD86" i="18"/>
  <c r="M164" i="24"/>
  <c r="M165" i="24"/>
  <c r="J35" i="25"/>
  <c r="AB160" i="18"/>
  <c r="AD160" i="18"/>
  <c r="U160" i="18"/>
  <c r="N459" i="24"/>
  <c r="O459" i="24"/>
  <c r="N475" i="24"/>
  <c r="M476" i="24"/>
  <c r="J90" i="25"/>
  <c r="T40" i="18"/>
  <c r="Y40" i="18"/>
  <c r="E15" i="5"/>
  <c r="K15" i="5"/>
  <c r="N15" i="5"/>
  <c r="S174" i="18"/>
  <c r="R176" i="18"/>
  <c r="N8" i="24"/>
  <c r="K8" i="25"/>
  <c r="J8" i="25"/>
  <c r="N604" i="24"/>
  <c r="M605" i="24"/>
  <c r="J114" i="25"/>
  <c r="M449" i="24"/>
  <c r="I848" i="24"/>
  <c r="I851" i="24"/>
  <c r="N240" i="24"/>
  <c r="O240" i="24"/>
  <c r="L241" i="24"/>
  <c r="I46" i="25"/>
  <c r="L591" i="22"/>
  <c r="L592" i="22"/>
  <c r="G592" i="22"/>
  <c r="G593" i="22"/>
  <c r="I190" i="24"/>
  <c r="M103" i="24"/>
  <c r="L61" i="22"/>
  <c r="I13" i="23"/>
  <c r="F290" i="24"/>
  <c r="G290" i="24"/>
  <c r="L290" i="24"/>
  <c r="H64" i="18"/>
  <c r="G871" i="24"/>
  <c r="M140" i="24"/>
  <c r="X49" i="18"/>
  <c r="Z49" i="18"/>
  <c r="H51" i="18"/>
  <c r="G908" i="24"/>
  <c r="L110" i="24"/>
  <c r="M110" i="24"/>
  <c r="M908" i="24"/>
  <c r="C19" i="5"/>
  <c r="I19" i="5"/>
  <c r="L19" i="5"/>
  <c r="R58" i="3"/>
  <c r="U58" i="3"/>
  <c r="V83" i="18"/>
  <c r="W83" i="18"/>
  <c r="Z174" i="18"/>
  <c r="H176" i="18"/>
  <c r="X174" i="18"/>
  <c r="G700" i="22"/>
  <c r="L700" i="22"/>
  <c r="L111" i="22"/>
  <c r="G909" i="22"/>
  <c r="N740" i="22"/>
  <c r="G415" i="22"/>
  <c r="L415" i="22"/>
  <c r="E59" i="22"/>
  <c r="E857" i="22"/>
  <c r="E858" i="22"/>
  <c r="E859" i="22"/>
  <c r="G295" i="24"/>
  <c r="L295" i="24"/>
  <c r="L827" i="24"/>
  <c r="AC146" i="18"/>
  <c r="U146" i="18"/>
  <c r="Y146" i="18"/>
  <c r="E29" i="5"/>
  <c r="K29" i="5"/>
  <c r="N29" i="5"/>
  <c r="T86" i="18"/>
  <c r="Y86" i="18"/>
  <c r="F38" i="22"/>
  <c r="G38" i="22"/>
  <c r="F39" i="22"/>
  <c r="L55" i="24"/>
  <c r="L34" i="22"/>
  <c r="L289" i="24"/>
  <c r="G292" i="24"/>
  <c r="W200" i="18"/>
  <c r="V200" i="18"/>
  <c r="L286" i="24"/>
  <c r="N286" i="24"/>
  <c r="O286" i="24"/>
  <c r="L417" i="24"/>
  <c r="L419" i="24"/>
  <c r="E24" i="22"/>
  <c r="E822" i="22"/>
  <c r="F822" i="24"/>
  <c r="M592" i="22"/>
  <c r="G164" i="24"/>
  <c r="G165" i="24"/>
  <c r="F284" i="22"/>
  <c r="N843" i="24"/>
  <c r="O843" i="24"/>
  <c r="O93" i="23"/>
  <c r="P93" i="23"/>
  <c r="I137" i="25"/>
  <c r="M459" i="22"/>
  <c r="G113" i="24"/>
  <c r="F911" i="24"/>
  <c r="F912" i="24"/>
  <c r="I43" i="23"/>
  <c r="N214" i="22"/>
  <c r="L879" i="22"/>
  <c r="N879" i="22"/>
  <c r="O879" i="22"/>
  <c r="G151" i="24"/>
  <c r="G153" i="24"/>
  <c r="G154" i="24"/>
  <c r="E37" i="5"/>
  <c r="K37" i="5"/>
  <c r="N37" i="5"/>
  <c r="R134" i="3"/>
  <c r="E38" i="5"/>
  <c r="K38" i="5"/>
  <c r="N38" i="5"/>
  <c r="T134" i="18"/>
  <c r="L699" i="22"/>
  <c r="M413" i="24"/>
  <c r="M420" i="24"/>
  <c r="J84" i="25"/>
  <c r="I24" i="24"/>
  <c r="I821" i="24"/>
  <c r="M23" i="24"/>
  <c r="Z29" i="18"/>
  <c r="Z30" i="18"/>
  <c r="X29" i="18"/>
  <c r="H31" i="18"/>
  <c r="G294" i="24"/>
  <c r="F826" i="24"/>
  <c r="F829" i="24"/>
  <c r="M512" i="22"/>
  <c r="M513" i="22"/>
  <c r="J97" i="23"/>
  <c r="L512" i="22"/>
  <c r="G894" i="22"/>
  <c r="G896" i="22"/>
  <c r="G897" i="22"/>
  <c r="G231" i="22"/>
  <c r="G232" i="22"/>
  <c r="L229" i="22"/>
  <c r="F59" i="24"/>
  <c r="G59" i="24"/>
  <c r="L59" i="24"/>
  <c r="G35" i="22"/>
  <c r="G36" i="22"/>
  <c r="L326" i="22"/>
  <c r="J136" i="3"/>
  <c r="J223" i="3"/>
  <c r="G231" i="18"/>
  <c r="L287" i="24"/>
  <c r="I59" i="25"/>
  <c r="AA40" i="18"/>
  <c r="AD40" i="18"/>
  <c r="AB40" i="18"/>
  <c r="U40" i="18"/>
  <c r="L495" i="24"/>
  <c r="L497" i="24"/>
  <c r="N497" i="24"/>
  <c r="G497" i="24"/>
  <c r="G498" i="24"/>
  <c r="G519" i="24"/>
  <c r="E192" i="24"/>
  <c r="I885" i="22"/>
  <c r="M619" i="22"/>
  <c r="G416" i="22"/>
  <c r="L416" i="22"/>
  <c r="I28" i="24"/>
  <c r="I29" i="24"/>
  <c r="M486" i="24"/>
  <c r="I885" i="24"/>
  <c r="I887" i="24"/>
  <c r="I888" i="24"/>
  <c r="T99" i="18"/>
  <c r="Y99" i="18"/>
  <c r="E31" i="5"/>
  <c r="K31" i="5"/>
  <c r="N31" i="5"/>
  <c r="X59" i="18"/>
  <c r="Z59" i="18"/>
  <c r="AA218" i="18"/>
  <c r="U218" i="18"/>
  <c r="AD218" i="18"/>
  <c r="AB218" i="18"/>
  <c r="D14" i="5"/>
  <c r="J14" i="5"/>
  <c r="M14" i="5"/>
  <c r="Q52" i="3"/>
  <c r="D18" i="5"/>
  <c r="J18" i="5"/>
  <c r="M18" i="5"/>
  <c r="L498" i="24"/>
  <c r="N493" i="24"/>
  <c r="U207" i="3"/>
  <c r="T205" i="3"/>
  <c r="U205" i="3"/>
  <c r="S75" i="3"/>
  <c r="S77" i="3"/>
  <c r="T129" i="3"/>
  <c r="U129" i="3"/>
  <c r="S134" i="3"/>
  <c r="T183" i="3"/>
  <c r="S148" i="3"/>
  <c r="T148" i="3"/>
  <c r="M93" i="25"/>
  <c r="N73" i="22"/>
  <c r="O73" i="22"/>
  <c r="F33" i="23"/>
  <c r="N33" i="23"/>
  <c r="O33" i="23"/>
  <c r="P33" i="23"/>
  <c r="G93" i="25"/>
  <c r="G93" i="23"/>
  <c r="E20" i="25"/>
  <c r="E20" i="23"/>
  <c r="M20" i="23"/>
  <c r="G43" i="25"/>
  <c r="G43" i="23"/>
  <c r="K40" i="25"/>
  <c r="K124" i="23"/>
  <c r="O650" i="22"/>
  <c r="N772" i="22"/>
  <c r="O772" i="22"/>
  <c r="M773" i="22"/>
  <c r="N773" i="22"/>
  <c r="O773" i="22"/>
  <c r="F149" i="23"/>
  <c r="M302" i="22"/>
  <c r="N302" i="22"/>
  <c r="I143" i="25"/>
  <c r="O517" i="24"/>
  <c r="K99" i="25"/>
  <c r="I122" i="23"/>
  <c r="N646" i="22"/>
  <c r="M631" i="22"/>
  <c r="J120" i="23"/>
  <c r="K68" i="25"/>
  <c r="O347" i="24"/>
  <c r="L472" i="22"/>
  <c r="N471" i="22"/>
  <c r="K15" i="25"/>
  <c r="O77" i="24"/>
  <c r="M818" i="22"/>
  <c r="M819" i="22"/>
  <c r="I47" i="23"/>
  <c r="N247" i="22"/>
  <c r="M365" i="24"/>
  <c r="J70" i="25"/>
  <c r="J145" i="25"/>
  <c r="O515" i="22"/>
  <c r="K98" i="23"/>
  <c r="O124" i="23"/>
  <c r="P124" i="23"/>
  <c r="F33" i="25"/>
  <c r="N143" i="23"/>
  <c r="K12" i="23"/>
  <c r="O46" i="22"/>
  <c r="K93" i="25"/>
  <c r="O480" i="24"/>
  <c r="O613" i="24"/>
  <c r="K118" i="25"/>
  <c r="O179" i="24"/>
  <c r="K37" i="25"/>
  <c r="F143" i="23"/>
  <c r="N339" i="22"/>
  <c r="I64" i="23"/>
  <c r="N425" i="24"/>
  <c r="O425" i="24"/>
  <c r="M431" i="24"/>
  <c r="N114" i="25"/>
  <c r="F143" i="25"/>
  <c r="N867" i="22"/>
  <c r="L870" i="22"/>
  <c r="M805" i="24"/>
  <c r="M806" i="24"/>
  <c r="N307" i="24"/>
  <c r="I61" i="25"/>
  <c r="N597" i="22"/>
  <c r="O597" i="22"/>
  <c r="L605" i="22"/>
  <c r="O578" i="24"/>
  <c r="K112" i="25"/>
  <c r="M824" i="22"/>
  <c r="M830" i="22"/>
  <c r="I72" i="25"/>
  <c r="N380" i="24"/>
  <c r="S10" i="3"/>
  <c r="U10" i="3"/>
  <c r="U8" i="3"/>
  <c r="T112" i="3"/>
  <c r="S123" i="3"/>
  <c r="U123" i="3"/>
  <c r="U112" i="3"/>
  <c r="S168" i="3"/>
  <c r="S154" i="3"/>
  <c r="S64" i="3"/>
  <c r="S66" i="3"/>
  <c r="S81" i="3"/>
  <c r="S140" i="3"/>
  <c r="E45" i="23"/>
  <c r="E73" i="23"/>
  <c r="M73" i="23"/>
  <c r="O73" i="23"/>
  <c r="P73" i="23"/>
  <c r="E73" i="25"/>
  <c r="M73" i="25"/>
  <c r="O73" i="25"/>
  <c r="P73" i="25"/>
  <c r="O24" i="25"/>
  <c r="P24" i="25"/>
  <c r="E108" i="23"/>
  <c r="M108" i="23"/>
  <c r="E108" i="25"/>
  <c r="M108" i="25"/>
  <c r="E83" i="25"/>
  <c r="M83" i="25"/>
  <c r="E83" i="23"/>
  <c r="M83" i="23"/>
  <c r="F60" i="25"/>
  <c r="N60" i="25"/>
  <c r="D50" i="25"/>
  <c r="R351" i="22"/>
  <c r="E46" i="25"/>
  <c r="E46" i="23"/>
  <c r="R169" i="22"/>
  <c r="E19" i="25"/>
  <c r="E19" i="23"/>
  <c r="G37" i="23"/>
  <c r="G37" i="25"/>
  <c r="R413" i="22"/>
  <c r="F36" i="23"/>
  <c r="F36" i="25"/>
  <c r="D116" i="23"/>
  <c r="D127" i="23"/>
  <c r="D16" i="23"/>
  <c r="D27" i="23"/>
  <c r="D133" i="23"/>
  <c r="G124" i="25"/>
  <c r="G124" i="23"/>
  <c r="E149" i="25"/>
  <c r="O18" i="25"/>
  <c r="P18" i="25"/>
  <c r="D116" i="25"/>
  <c r="D127" i="25"/>
  <c r="G24" i="25"/>
  <c r="G24" i="23"/>
  <c r="F58" i="25"/>
  <c r="N58" i="25"/>
  <c r="F58" i="23"/>
  <c r="N58" i="23"/>
  <c r="O58" i="23"/>
  <c r="P58" i="23"/>
  <c r="E68" i="23"/>
  <c r="M68" i="23"/>
  <c r="O68" i="23"/>
  <c r="P68" i="23"/>
  <c r="E68" i="25"/>
  <c r="M68" i="25"/>
  <c r="O68" i="25"/>
  <c r="F112" i="25"/>
  <c r="N112" i="25"/>
  <c r="F112" i="23"/>
  <c r="N112" i="23"/>
  <c r="G98" i="23"/>
  <c r="G98" i="25"/>
  <c r="R141" i="22"/>
  <c r="G33" i="25"/>
  <c r="G33" i="23"/>
  <c r="E112" i="23"/>
  <c r="M112" i="23"/>
  <c r="E112" i="25"/>
  <c r="M112" i="25"/>
  <c r="M24" i="23"/>
  <c r="O24" i="23"/>
  <c r="P24" i="23"/>
  <c r="E149" i="23"/>
  <c r="F37" i="25"/>
  <c r="N37" i="25"/>
  <c r="F37" i="23"/>
  <c r="N37" i="23"/>
  <c r="E37" i="25"/>
  <c r="M37" i="25"/>
  <c r="E37" i="23"/>
  <c r="M98" i="23"/>
  <c r="O98" i="23"/>
  <c r="P98" i="23"/>
  <c r="G99" i="23"/>
  <c r="G99" i="25"/>
  <c r="F62" i="25"/>
  <c r="N62" i="25"/>
  <c r="F62" i="23"/>
  <c r="N62" i="23"/>
  <c r="E123" i="23"/>
  <c r="M123" i="23"/>
  <c r="O123" i="23"/>
  <c r="P123" i="23"/>
  <c r="E123" i="25"/>
  <c r="M123" i="25"/>
  <c r="O123" i="25"/>
  <c r="P123" i="25"/>
  <c r="F47" i="25"/>
  <c r="N47" i="25"/>
  <c r="F47" i="23"/>
  <c r="N47" i="23"/>
  <c r="D133" i="25"/>
  <c r="M98" i="25"/>
  <c r="F122" i="25"/>
  <c r="N122" i="25"/>
  <c r="G49" i="23"/>
  <c r="G49" i="25"/>
  <c r="R435" i="24"/>
  <c r="G567" i="22"/>
  <c r="F833" i="22"/>
  <c r="G325" i="24"/>
  <c r="F857" i="24"/>
  <c r="G284" i="22"/>
  <c r="L284" i="22"/>
  <c r="F816" i="22"/>
  <c r="L153" i="22"/>
  <c r="G550" i="24"/>
  <c r="L550" i="24"/>
  <c r="G192" i="22"/>
  <c r="F857" i="22"/>
  <c r="L306" i="22"/>
  <c r="M241" i="24"/>
  <c r="N236" i="24"/>
  <c r="O236" i="24"/>
  <c r="G556" i="22"/>
  <c r="L556" i="22"/>
  <c r="F822" i="22"/>
  <c r="G683" i="24"/>
  <c r="L683" i="24"/>
  <c r="M372" i="24"/>
  <c r="M904" i="24"/>
  <c r="I904" i="24"/>
  <c r="O99" i="23"/>
  <c r="P99" i="23"/>
  <c r="N149" i="23"/>
  <c r="L342" i="22"/>
  <c r="G874" i="22"/>
  <c r="G875" i="22"/>
  <c r="G343" i="22"/>
  <c r="G283" i="22"/>
  <c r="G815" i="22"/>
  <c r="F815" i="22"/>
  <c r="D150" i="25"/>
  <c r="M909" i="24"/>
  <c r="I35" i="23"/>
  <c r="E812" i="22"/>
  <c r="E819" i="22"/>
  <c r="E30" i="5"/>
  <c r="K30" i="5"/>
  <c r="N30" i="5"/>
  <c r="W138" i="18"/>
  <c r="V138" i="18"/>
  <c r="M165" i="22"/>
  <c r="J35" i="23"/>
  <c r="J135" i="23"/>
  <c r="N159" i="22"/>
  <c r="T48" i="3"/>
  <c r="E16" i="5"/>
  <c r="K16" i="5"/>
  <c r="N16" i="5"/>
  <c r="T49" i="18"/>
  <c r="R50" i="3"/>
  <c r="I49" i="23"/>
  <c r="N251" i="22"/>
  <c r="L916" i="22"/>
  <c r="N916" i="22"/>
  <c r="O916" i="22"/>
  <c r="G544" i="24"/>
  <c r="G810" i="24"/>
  <c r="F810" i="24"/>
  <c r="L572" i="24"/>
  <c r="N572" i="24"/>
  <c r="L836" i="24"/>
  <c r="F122" i="23"/>
  <c r="N122" i="23"/>
  <c r="G326" i="22"/>
  <c r="L374" i="22"/>
  <c r="L51" i="24"/>
  <c r="L849" i="24"/>
  <c r="G849" i="24"/>
  <c r="M40" i="24"/>
  <c r="M41" i="24"/>
  <c r="N439" i="22"/>
  <c r="M440" i="22"/>
  <c r="M890" i="22"/>
  <c r="J137" i="23"/>
  <c r="L689" i="22"/>
  <c r="L691" i="22"/>
  <c r="R64" i="18"/>
  <c r="R66" i="18"/>
  <c r="R142" i="18"/>
  <c r="L65" i="24"/>
  <c r="L861" i="24"/>
  <c r="N63" i="24"/>
  <c r="E455" i="24"/>
  <c r="E854" i="24"/>
  <c r="E457" i="24"/>
  <c r="E856" i="24"/>
  <c r="E454" i="24"/>
  <c r="E853" i="24"/>
  <c r="E456" i="24"/>
  <c r="E855" i="24"/>
  <c r="L50" i="24"/>
  <c r="L848" i="24"/>
  <c r="G848" i="24"/>
  <c r="G240" i="22"/>
  <c r="G241" i="22"/>
  <c r="G253" i="22"/>
  <c r="L238" i="22"/>
  <c r="G903" i="22"/>
  <c r="G905" i="22"/>
  <c r="L513" i="24"/>
  <c r="AC222" i="18"/>
  <c r="Y222" i="18"/>
  <c r="L72" i="24"/>
  <c r="N72" i="24"/>
  <c r="O72" i="24"/>
  <c r="N69" i="24"/>
  <c r="L867" i="24"/>
  <c r="I49" i="25"/>
  <c r="N251" i="24"/>
  <c r="L916" i="24"/>
  <c r="N916" i="24"/>
  <c r="O916" i="24"/>
  <c r="M910" i="22"/>
  <c r="N910" i="22"/>
  <c r="N378" i="22"/>
  <c r="U30" i="3"/>
  <c r="K87" i="23"/>
  <c r="O445" i="22"/>
  <c r="L164" i="24"/>
  <c r="J34" i="23"/>
  <c r="L49" i="24"/>
  <c r="G847" i="24"/>
  <c r="N755" i="22"/>
  <c r="O755" i="22"/>
  <c r="V196" i="18"/>
  <c r="W196" i="18"/>
  <c r="F119" i="23"/>
  <c r="F119" i="25"/>
  <c r="N119" i="25"/>
  <c r="M304" i="22"/>
  <c r="I836" i="22"/>
  <c r="O164" i="22"/>
  <c r="N419" i="24"/>
  <c r="L420" i="24"/>
  <c r="O94" i="22"/>
  <c r="R94" i="22"/>
  <c r="L103" i="24"/>
  <c r="L899" i="24"/>
  <c r="L901" i="24"/>
  <c r="L40" i="24"/>
  <c r="L837" i="24"/>
  <c r="L542" i="24"/>
  <c r="G542" i="24"/>
  <c r="F808" i="24"/>
  <c r="O46" i="24"/>
  <c r="K12" i="25"/>
  <c r="I900" i="24"/>
  <c r="AB116" i="18"/>
  <c r="AA116" i="18"/>
  <c r="S128" i="18"/>
  <c r="AD116" i="18"/>
  <c r="U116" i="18"/>
  <c r="Q12" i="18"/>
  <c r="Q18" i="18"/>
  <c r="S18" i="18"/>
  <c r="G18" i="18"/>
  <c r="O576" i="22"/>
  <c r="N578" i="22"/>
  <c r="J125" i="25"/>
  <c r="M492" i="22"/>
  <c r="M891" i="22"/>
  <c r="I891" i="22"/>
  <c r="N776" i="24"/>
  <c r="L448" i="24"/>
  <c r="L452" i="24"/>
  <c r="G452" i="24"/>
  <c r="G460" i="24"/>
  <c r="G73" i="24"/>
  <c r="E816" i="24"/>
  <c r="J89" i="25"/>
  <c r="N89" i="25"/>
  <c r="N472" i="24"/>
  <c r="M833" i="24"/>
  <c r="M834" i="24"/>
  <c r="M169" i="24"/>
  <c r="I70" i="25"/>
  <c r="L147" i="24"/>
  <c r="D150" i="23"/>
  <c r="O169" i="22"/>
  <c r="M153" i="24"/>
  <c r="T177" i="3"/>
  <c r="R185" i="3"/>
  <c r="E48" i="5"/>
  <c r="K48" i="5"/>
  <c r="N48" i="5"/>
  <c r="T182" i="18"/>
  <c r="M754" i="24"/>
  <c r="G323" i="24"/>
  <c r="F855" i="24"/>
  <c r="AD7" i="18"/>
  <c r="AB7" i="18"/>
  <c r="S9" i="18"/>
  <c r="U7" i="18"/>
  <c r="AA7" i="18"/>
  <c r="U236" i="18"/>
  <c r="V236" i="18"/>
  <c r="W71" i="18"/>
  <c r="V71" i="18"/>
  <c r="G561" i="22"/>
  <c r="L561" i="22"/>
  <c r="M371" i="24"/>
  <c r="I903" i="24"/>
  <c r="I905" i="24"/>
  <c r="G548" i="24"/>
  <c r="L548" i="24"/>
  <c r="G231" i="24"/>
  <c r="G232" i="24"/>
  <c r="G253" i="24"/>
  <c r="L229" i="24"/>
  <c r="G894" i="24"/>
  <c r="G896" i="24"/>
  <c r="G897" i="24"/>
  <c r="N474" i="24"/>
  <c r="L476" i="24"/>
  <c r="L873" i="24"/>
  <c r="I892" i="22"/>
  <c r="X64" i="18"/>
  <c r="Z64" i="18"/>
  <c r="H66" i="18"/>
  <c r="L99" i="24"/>
  <c r="N94" i="24"/>
  <c r="I121" i="23"/>
  <c r="L652" i="22"/>
  <c r="I86" i="25"/>
  <c r="G549" i="24"/>
  <c r="L549" i="24"/>
  <c r="O26" i="22"/>
  <c r="G906" i="22"/>
  <c r="E118" i="23"/>
  <c r="E118" i="25"/>
  <c r="M811" i="24"/>
  <c r="M812" i="24"/>
  <c r="M819" i="24"/>
  <c r="M280" i="24"/>
  <c r="J20" i="23"/>
  <c r="N99" i="22"/>
  <c r="N705" i="22"/>
  <c r="O705" i="22"/>
  <c r="M883" i="24"/>
  <c r="O563" i="24"/>
  <c r="G543" i="24"/>
  <c r="G809" i="24"/>
  <c r="F809" i="24"/>
  <c r="K48" i="25"/>
  <c r="O249" i="24"/>
  <c r="N489" i="22"/>
  <c r="J94" i="23"/>
  <c r="I69" i="23"/>
  <c r="N356" i="22"/>
  <c r="M173" i="22"/>
  <c r="M900" i="24"/>
  <c r="S154" i="18"/>
  <c r="R162" i="18"/>
  <c r="R192" i="18"/>
  <c r="R226" i="18"/>
  <c r="D21" i="5"/>
  <c r="J21" i="5"/>
  <c r="M21" i="5"/>
  <c r="Q66" i="3"/>
  <c r="O435" i="24"/>
  <c r="K119" i="25"/>
  <c r="O622" i="24"/>
  <c r="M726" i="24"/>
  <c r="M744" i="24"/>
  <c r="N718" i="24"/>
  <c r="O476" i="22"/>
  <c r="K90" i="23"/>
  <c r="M853" i="24"/>
  <c r="M592" i="24"/>
  <c r="M593" i="24"/>
  <c r="O310" i="22"/>
  <c r="N312" i="22"/>
  <c r="N333" i="24"/>
  <c r="O333" i="24"/>
  <c r="L339" i="24"/>
  <c r="L865" i="24"/>
  <c r="N865" i="24"/>
  <c r="O865" i="24"/>
  <c r="E812" i="24"/>
  <c r="E815" i="24"/>
  <c r="G571" i="22"/>
  <c r="L571" i="22"/>
  <c r="E846" i="24"/>
  <c r="E851" i="24"/>
  <c r="L247" i="24"/>
  <c r="N244" i="24"/>
  <c r="L909" i="24"/>
  <c r="S29" i="18"/>
  <c r="K96" i="25"/>
  <c r="O507" i="24"/>
  <c r="S214" i="18"/>
  <c r="M847" i="22"/>
  <c r="M53" i="22"/>
  <c r="G321" i="24"/>
  <c r="F853" i="24"/>
  <c r="L806" i="24"/>
  <c r="L560" i="22"/>
  <c r="G563" i="22"/>
  <c r="G822" i="22"/>
  <c r="G425" i="22"/>
  <c r="N23" i="23"/>
  <c r="G295" i="22"/>
  <c r="L295" i="22"/>
  <c r="F827" i="22"/>
  <c r="I305" i="22"/>
  <c r="M373" i="22"/>
  <c r="M374" i="22"/>
  <c r="J71" i="23"/>
  <c r="L899" i="22"/>
  <c r="L901" i="22"/>
  <c r="L502" i="22"/>
  <c r="J140" i="23"/>
  <c r="E28" i="22"/>
  <c r="E826" i="22"/>
  <c r="F814" i="24"/>
  <c r="D50" i="23"/>
  <c r="D52" i="23"/>
  <c r="N873" i="22"/>
  <c r="M85" i="24"/>
  <c r="M90" i="24"/>
  <c r="L683" i="22"/>
  <c r="L685" i="22"/>
  <c r="Z154" i="18"/>
  <c r="X154" i="18"/>
  <c r="H162" i="18"/>
  <c r="H192" i="18"/>
  <c r="H226" i="18"/>
  <c r="E824" i="22"/>
  <c r="L720" i="24"/>
  <c r="L725" i="24"/>
  <c r="G725" i="24"/>
  <c r="G726" i="24"/>
  <c r="F824" i="24"/>
  <c r="O609" i="24"/>
  <c r="K115" i="25"/>
  <c r="J83" i="23"/>
  <c r="N407" i="22"/>
  <c r="Y188" i="18"/>
  <c r="AC188" i="18"/>
  <c r="U188" i="18"/>
  <c r="D64" i="25"/>
  <c r="D64" i="23"/>
  <c r="M110" i="22"/>
  <c r="L110" i="22"/>
  <c r="G908" i="22"/>
  <c r="E814" i="24"/>
  <c r="T128" i="18"/>
  <c r="Y121" i="18"/>
  <c r="U121" i="18"/>
  <c r="L314" i="24"/>
  <c r="G319" i="24"/>
  <c r="G846" i="24"/>
  <c r="G570" i="22"/>
  <c r="F836" i="22"/>
  <c r="M322" i="22"/>
  <c r="M854" i="22"/>
  <c r="I854" i="22"/>
  <c r="G31" i="18"/>
  <c r="G53" i="18"/>
  <c r="N223" i="24"/>
  <c r="I44" i="25"/>
  <c r="L24" i="24"/>
  <c r="F70" i="23"/>
  <c r="F70" i="25"/>
  <c r="M379" i="22"/>
  <c r="M380" i="22"/>
  <c r="J72" i="23"/>
  <c r="I911" i="22"/>
  <c r="I912" i="22"/>
  <c r="L379" i="22"/>
  <c r="G322" i="24"/>
  <c r="F854" i="24"/>
  <c r="L274" i="24"/>
  <c r="N273" i="24"/>
  <c r="O273" i="24"/>
  <c r="G190" i="22"/>
  <c r="F855" i="22"/>
  <c r="L318" i="22"/>
  <c r="L850" i="22"/>
  <c r="G850" i="22"/>
  <c r="I819" i="24"/>
  <c r="S64" i="18"/>
  <c r="Q66" i="18"/>
  <c r="C11" i="5"/>
  <c r="I11" i="5"/>
  <c r="L11" i="5"/>
  <c r="P32" i="3"/>
  <c r="R19" i="3"/>
  <c r="I121" i="25"/>
  <c r="N640" i="24"/>
  <c r="I71" i="25"/>
  <c r="M844" i="24"/>
  <c r="N863" i="22"/>
  <c r="O863" i="22"/>
  <c r="M871" i="22"/>
  <c r="T201" i="3"/>
  <c r="U201" i="3"/>
  <c r="S209" i="3"/>
  <c r="N210" i="22"/>
  <c r="I40" i="23"/>
  <c r="U162" i="3"/>
  <c r="V77" i="18"/>
  <c r="W77" i="18"/>
  <c r="F39" i="25"/>
  <c r="F39" i="23"/>
  <c r="G556" i="24"/>
  <c r="G822" i="24"/>
  <c r="N779" i="22"/>
  <c r="O779" i="22"/>
  <c r="L785" i="22"/>
  <c r="O147" i="22"/>
  <c r="L846" i="22"/>
  <c r="I120" i="25"/>
  <c r="L652" i="24"/>
  <c r="N652" i="24"/>
  <c r="O652" i="24"/>
  <c r="N631" i="24"/>
  <c r="L317" i="22"/>
  <c r="L849" i="22"/>
  <c r="G849" i="22"/>
  <c r="G113" i="22"/>
  <c r="G114" i="22"/>
  <c r="F911" i="22"/>
  <c r="F912" i="22"/>
  <c r="M323" i="22"/>
  <c r="I855" i="22"/>
  <c r="L83" i="24"/>
  <c r="G85" i="24"/>
  <c r="G881" i="24"/>
  <c r="G883" i="24"/>
  <c r="R360" i="24"/>
  <c r="I9" i="23"/>
  <c r="N21" i="22"/>
  <c r="N377" i="22"/>
  <c r="M909" i="22"/>
  <c r="G324" i="24"/>
  <c r="F856" i="24"/>
  <c r="J48" i="23"/>
  <c r="N249" i="22"/>
  <c r="M914" i="22"/>
  <c r="N914" i="22"/>
  <c r="O914" i="22"/>
  <c r="G188" i="22"/>
  <c r="F853" i="22"/>
  <c r="E42" i="5"/>
  <c r="K42" i="5"/>
  <c r="N42" i="5"/>
  <c r="T154" i="18"/>
  <c r="R156" i="3"/>
  <c r="M778" i="24"/>
  <c r="M779" i="24"/>
  <c r="L778" i="24"/>
  <c r="O310" i="24"/>
  <c r="N312" i="24"/>
  <c r="T29" i="18"/>
  <c r="T30" i="3"/>
  <c r="E13" i="5"/>
  <c r="K13" i="5"/>
  <c r="N13" i="5"/>
  <c r="T168" i="18"/>
  <c r="E45" i="5"/>
  <c r="K45" i="5"/>
  <c r="N45" i="5"/>
  <c r="T162" i="3"/>
  <c r="G306" i="22"/>
  <c r="G307" i="22"/>
  <c r="L205" i="24"/>
  <c r="N202" i="24"/>
  <c r="M316" i="22"/>
  <c r="I848" i="22"/>
  <c r="M339" i="24"/>
  <c r="J64" i="25"/>
  <c r="N331" i="24"/>
  <c r="O331" i="24"/>
  <c r="G87" i="24"/>
  <c r="F885" i="24"/>
  <c r="F887" i="24"/>
  <c r="F888" i="24"/>
  <c r="F918" i="24"/>
  <c r="N89" i="23"/>
  <c r="L423" i="22"/>
  <c r="G23" i="23"/>
  <c r="G23" i="25"/>
  <c r="J23" i="25"/>
  <c r="M914" i="24"/>
  <c r="N914" i="24"/>
  <c r="O914" i="24"/>
  <c r="N116" i="24"/>
  <c r="M364" i="22"/>
  <c r="M895" i="22"/>
  <c r="M343" i="24"/>
  <c r="J65" i="25"/>
  <c r="M874" i="24"/>
  <c r="M875" i="24"/>
  <c r="I65" i="25"/>
  <c r="U106" i="3"/>
  <c r="E32" i="5"/>
  <c r="K32" i="5"/>
  <c r="N32" i="5"/>
  <c r="T110" i="18"/>
  <c r="R108" i="3"/>
  <c r="T106" i="3"/>
  <c r="E838" i="22"/>
  <c r="E839" i="22"/>
  <c r="N209" i="22"/>
  <c r="M874" i="22"/>
  <c r="M875" i="22"/>
  <c r="G558" i="24"/>
  <c r="L555" i="24"/>
  <c r="G564" i="24"/>
  <c r="N592" i="24"/>
  <c r="G319" i="22"/>
  <c r="G327" i="22"/>
  <c r="I255" i="24"/>
  <c r="I263" i="24"/>
  <c r="G682" i="24"/>
  <c r="L682" i="24"/>
  <c r="U99" i="18"/>
  <c r="AA99" i="18"/>
  <c r="AD99" i="18"/>
  <c r="AB99" i="18"/>
  <c r="L726" i="22"/>
  <c r="N718" i="22"/>
  <c r="F888" i="22"/>
  <c r="E570" i="24"/>
  <c r="E836" i="24"/>
  <c r="E571" i="24"/>
  <c r="E837" i="24"/>
  <c r="E567" i="24"/>
  <c r="E833" i="24"/>
  <c r="E834" i="24"/>
  <c r="G276" i="22"/>
  <c r="L276" i="22"/>
  <c r="F808" i="22"/>
  <c r="E36" i="5"/>
  <c r="K36" i="5"/>
  <c r="N36" i="5"/>
  <c r="O841" i="24"/>
  <c r="N844" i="24"/>
  <c r="O844" i="24"/>
  <c r="M321" i="22"/>
  <c r="I853" i="22"/>
  <c r="G679" i="24"/>
  <c r="E60" i="5"/>
  <c r="K60" i="5"/>
  <c r="N60" i="5"/>
  <c r="T219" i="3"/>
  <c r="N140" i="24"/>
  <c r="O140" i="24"/>
  <c r="M141" i="24"/>
  <c r="G593" i="24"/>
  <c r="M761" i="22"/>
  <c r="I894" i="22"/>
  <c r="I896" i="22"/>
  <c r="O20" i="22"/>
  <c r="I115" i="23"/>
  <c r="N609" i="22"/>
  <c r="S49" i="18"/>
  <c r="Q51" i="18"/>
  <c r="G191" i="22"/>
  <c r="F856" i="22"/>
  <c r="Q187" i="3"/>
  <c r="D44" i="5"/>
  <c r="J44" i="5"/>
  <c r="M44" i="5"/>
  <c r="AB222" i="18"/>
  <c r="AD222" i="18"/>
  <c r="U222" i="18"/>
  <c r="AA222" i="18"/>
  <c r="S224" i="18"/>
  <c r="F48" i="25"/>
  <c r="F48" i="23"/>
  <c r="F148" i="23"/>
  <c r="G566" i="22"/>
  <c r="F832" i="22"/>
  <c r="F834" i="22"/>
  <c r="G18" i="24"/>
  <c r="G816" i="24"/>
  <c r="F816" i="24"/>
  <c r="G555" i="22"/>
  <c r="F821" i="22"/>
  <c r="F824" i="22"/>
  <c r="G52" i="24"/>
  <c r="G53" i="24"/>
  <c r="F850" i="24"/>
  <c r="F851" i="24"/>
  <c r="I851" i="22"/>
  <c r="N759" i="24"/>
  <c r="M764" i="24"/>
  <c r="N764" i="24"/>
  <c r="O764" i="24"/>
  <c r="F815" i="24"/>
  <c r="G694" i="22"/>
  <c r="L694" i="22"/>
  <c r="L696" i="22"/>
  <c r="N696" i="22"/>
  <c r="O696" i="22"/>
  <c r="G696" i="22"/>
  <c r="G697" i="22"/>
  <c r="G89" i="22"/>
  <c r="L87" i="22"/>
  <c r="G885" i="22"/>
  <c r="G887" i="22"/>
  <c r="M439" i="24"/>
  <c r="M836" i="24"/>
  <c r="I69" i="25"/>
  <c r="N356" i="24"/>
  <c r="L386" i="24"/>
  <c r="G681" i="24"/>
  <c r="G814" i="24"/>
  <c r="L681" i="24"/>
  <c r="L83" i="22"/>
  <c r="G85" i="22"/>
  <c r="G881" i="22"/>
  <c r="G883" i="22"/>
  <c r="G294" i="22"/>
  <c r="F826" i="22"/>
  <c r="G277" i="22"/>
  <c r="G809" i="22"/>
  <c r="F809" i="22"/>
  <c r="L32" i="22"/>
  <c r="N31" i="22"/>
  <c r="N806" i="22"/>
  <c r="L848" i="22"/>
  <c r="L452" i="22"/>
  <c r="L679" i="24"/>
  <c r="N585" i="24"/>
  <c r="L593" i="24"/>
  <c r="M367" i="24"/>
  <c r="I899" i="24"/>
  <c r="I901" i="24"/>
  <c r="I906" i="24"/>
  <c r="L179" i="22"/>
  <c r="I37" i="23"/>
  <c r="N177" i="22"/>
  <c r="L842" i="22"/>
  <c r="G821" i="24"/>
  <c r="D87" i="25"/>
  <c r="D87" i="23"/>
  <c r="G189" i="22"/>
  <c r="F854" i="22"/>
  <c r="L282" i="22"/>
  <c r="G282" i="22"/>
  <c r="F814" i="22"/>
  <c r="F818" i="22"/>
  <c r="C21" i="5"/>
  <c r="I21" i="5"/>
  <c r="L21" i="5"/>
  <c r="R64" i="3"/>
  <c r="P66" i="3"/>
  <c r="C22" i="5"/>
  <c r="I22" i="5"/>
  <c r="L22" i="5"/>
  <c r="Y49" i="18"/>
  <c r="L35" i="22"/>
  <c r="L552" i="22"/>
  <c r="G439" i="24"/>
  <c r="G440" i="24"/>
  <c r="G478" i="24"/>
  <c r="G521" i="24"/>
  <c r="G529" i="24"/>
  <c r="G837" i="24"/>
  <c r="G838" i="24"/>
  <c r="G839" i="24"/>
  <c r="C51" i="5"/>
  <c r="I51" i="5"/>
  <c r="L51" i="5"/>
  <c r="P221" i="3"/>
  <c r="C61" i="5"/>
  <c r="I61" i="5"/>
  <c r="L61" i="5"/>
  <c r="G90" i="22"/>
  <c r="T174" i="18"/>
  <c r="T176" i="18"/>
  <c r="N206" i="22"/>
  <c r="K39" i="23"/>
  <c r="H53" i="18"/>
  <c r="G701" i="22"/>
  <c r="G706" i="22"/>
  <c r="I886" i="22"/>
  <c r="AC160" i="18"/>
  <c r="Y160" i="18"/>
  <c r="L174" i="22"/>
  <c r="I36" i="23"/>
  <c r="T58" i="3"/>
  <c r="L419" i="22"/>
  <c r="Y210" i="18"/>
  <c r="AC210" i="18"/>
  <c r="U210" i="18"/>
  <c r="L573" i="24"/>
  <c r="L556" i="24"/>
  <c r="H142" i="18"/>
  <c r="G833" i="22"/>
  <c r="E56" i="5"/>
  <c r="K56" i="5"/>
  <c r="N56" i="5"/>
  <c r="R209" i="3"/>
  <c r="E57" i="5"/>
  <c r="K57" i="5"/>
  <c r="N57" i="5"/>
  <c r="N540" i="22"/>
  <c r="K108" i="23"/>
  <c r="J108" i="23"/>
  <c r="N108" i="23"/>
  <c r="E46" i="5"/>
  <c r="K46" i="5"/>
  <c r="N46" i="5"/>
  <c r="L277" i="22"/>
  <c r="L809" i="22"/>
  <c r="F810" i="22"/>
  <c r="G212" i="24"/>
  <c r="G66" i="18"/>
  <c r="G142" i="18"/>
  <c r="G228" i="18"/>
  <c r="G232" i="18"/>
  <c r="L360" i="22"/>
  <c r="L890" i="22"/>
  <c r="L892" i="22"/>
  <c r="O108" i="23"/>
  <c r="P108" i="23"/>
  <c r="J134" i="23"/>
  <c r="D52" i="25"/>
  <c r="K137" i="25"/>
  <c r="M848" i="22"/>
  <c r="N631" i="22"/>
  <c r="O631" i="22"/>
  <c r="N805" i="24"/>
  <c r="O805" i="24"/>
  <c r="N365" i="24"/>
  <c r="O365" i="24"/>
  <c r="N70" i="25"/>
  <c r="M855" i="22"/>
  <c r="O108" i="22"/>
  <c r="M108" i="24"/>
  <c r="J21" i="25"/>
  <c r="N568" i="24"/>
  <c r="O568" i="24"/>
  <c r="L36" i="22"/>
  <c r="N36" i="22"/>
  <c r="O36" i="22"/>
  <c r="M886" i="22"/>
  <c r="L553" i="22"/>
  <c r="I109" i="23"/>
  <c r="N552" i="22"/>
  <c r="F830" i="24"/>
  <c r="Q31" i="18"/>
  <c r="Q53" i="18"/>
  <c r="Q112" i="18"/>
  <c r="Q142" i="18"/>
  <c r="Q228" i="18"/>
  <c r="Q230" i="18"/>
  <c r="G149" i="23"/>
  <c r="L292" i="24"/>
  <c r="N292" i="24"/>
  <c r="O292" i="24"/>
  <c r="L701" i="24"/>
  <c r="L833" i="24"/>
  <c r="L834" i="24"/>
  <c r="N834" i="24"/>
  <c r="O834" i="24"/>
  <c r="G851" i="22"/>
  <c r="M46" i="25"/>
  <c r="O646" i="24"/>
  <c r="K14" i="23"/>
  <c r="N605" i="24"/>
  <c r="K114" i="25"/>
  <c r="M585" i="22"/>
  <c r="M593" i="22"/>
  <c r="M640" i="22"/>
  <c r="N635" i="22"/>
  <c r="O635" i="22"/>
  <c r="N74" i="25"/>
  <c r="F149" i="25"/>
  <c r="G149" i="25"/>
  <c r="L814" i="24"/>
  <c r="L558" i="24"/>
  <c r="N558" i="24"/>
  <c r="G816" i="22"/>
  <c r="L567" i="22"/>
  <c r="U185" i="3"/>
  <c r="M172" i="24"/>
  <c r="I837" i="24"/>
  <c r="I838" i="24"/>
  <c r="I839" i="24"/>
  <c r="M901" i="22"/>
  <c r="M906" i="22"/>
  <c r="G255" i="24"/>
  <c r="G263" i="24"/>
  <c r="S110" i="18"/>
  <c r="U110" i="18"/>
  <c r="G74" i="23"/>
  <c r="G74" i="25"/>
  <c r="I882" i="22"/>
  <c r="I883" i="22"/>
  <c r="M217" i="22"/>
  <c r="T75" i="3"/>
  <c r="U75" i="3"/>
  <c r="U148" i="3"/>
  <c r="S70" i="3"/>
  <c r="U48" i="3"/>
  <c r="S50" i="3"/>
  <c r="S52" i="3"/>
  <c r="S136" i="3"/>
  <c r="N419" i="22"/>
  <c r="O419" i="22"/>
  <c r="L420" i="22"/>
  <c r="F858" i="22"/>
  <c r="F859" i="22"/>
  <c r="L278" i="22"/>
  <c r="L810" i="22"/>
  <c r="L563" i="22"/>
  <c r="N563" i="22"/>
  <c r="R563" i="22"/>
  <c r="M28" i="24"/>
  <c r="I826" i="24"/>
  <c r="W40" i="18"/>
  <c r="V40" i="18"/>
  <c r="L294" i="24"/>
  <c r="G297" i="24"/>
  <c r="G298" i="24"/>
  <c r="G826" i="24"/>
  <c r="M821" i="24"/>
  <c r="Y134" i="18"/>
  <c r="U134" i="18"/>
  <c r="L151" i="24"/>
  <c r="L153" i="24"/>
  <c r="N153" i="24"/>
  <c r="O214" i="22"/>
  <c r="K43" i="23"/>
  <c r="L38" i="22"/>
  <c r="W146" i="18"/>
  <c r="V146" i="18"/>
  <c r="N413" i="24"/>
  <c r="M190" i="24"/>
  <c r="I855" i="24"/>
  <c r="I858" i="24"/>
  <c r="I859" i="24"/>
  <c r="U86" i="18"/>
  <c r="J143" i="25"/>
  <c r="K143" i="25"/>
  <c r="N93" i="25"/>
  <c r="N143" i="25"/>
  <c r="I887" i="22"/>
  <c r="I888" i="22"/>
  <c r="N512" i="22"/>
  <c r="O512" i="22"/>
  <c r="L513" i="22"/>
  <c r="M43" i="23"/>
  <c r="O43" i="23"/>
  <c r="P43" i="23"/>
  <c r="I143" i="23"/>
  <c r="K143" i="23"/>
  <c r="G60" i="24"/>
  <c r="G61" i="24"/>
  <c r="L909" i="22"/>
  <c r="N909" i="22"/>
  <c r="N111" i="22"/>
  <c r="O111" i="22"/>
  <c r="T59" i="18"/>
  <c r="Y59" i="18"/>
  <c r="E19" i="5"/>
  <c r="K19" i="5"/>
  <c r="N19" i="5"/>
  <c r="L908" i="24"/>
  <c r="N908" i="24"/>
  <c r="O908" i="24"/>
  <c r="N110" i="24"/>
  <c r="O110" i="24"/>
  <c r="G827" i="24"/>
  <c r="AD174" i="18"/>
  <c r="AB174" i="18"/>
  <c r="AA174" i="18"/>
  <c r="S176" i="18"/>
  <c r="M726" i="22"/>
  <c r="M744" i="22"/>
  <c r="F812" i="24"/>
  <c r="L544" i="24"/>
  <c r="L810" i="24"/>
  <c r="I95" i="25"/>
  <c r="N498" i="24"/>
  <c r="M488" i="24"/>
  <c r="M885" i="24"/>
  <c r="M887" i="24"/>
  <c r="L231" i="22"/>
  <c r="L894" i="22"/>
  <c r="L896" i="22"/>
  <c r="L897" i="22"/>
  <c r="M24" i="24"/>
  <c r="M822" i="24"/>
  <c r="I822" i="24"/>
  <c r="I824" i="24"/>
  <c r="L701" i="22"/>
  <c r="N459" i="22"/>
  <c r="O459" i="22"/>
  <c r="M460" i="22"/>
  <c r="J88" i="23"/>
  <c r="L60" i="24"/>
  <c r="N60" i="24"/>
  <c r="O60" i="24"/>
  <c r="G419" i="22"/>
  <c r="G420" i="22"/>
  <c r="G478" i="22"/>
  <c r="G521" i="22"/>
  <c r="G529" i="22"/>
  <c r="N592" i="22"/>
  <c r="O592" i="22"/>
  <c r="L593" i="22"/>
  <c r="M848" i="24"/>
  <c r="M851" i="24"/>
  <c r="M452" i="24"/>
  <c r="M460" i="24"/>
  <c r="J88" i="25"/>
  <c r="AD59" i="18"/>
  <c r="AA59" i="18"/>
  <c r="AB59" i="18"/>
  <c r="I918" i="24"/>
  <c r="G744" i="22"/>
  <c r="G787" i="22"/>
  <c r="G795" i="22"/>
  <c r="L18" i="24"/>
  <c r="L816" i="24"/>
  <c r="I897" i="22"/>
  <c r="V218" i="18"/>
  <c r="W218" i="18"/>
  <c r="M29" i="24"/>
  <c r="M827" i="24"/>
  <c r="I827" i="24"/>
  <c r="M621" i="22"/>
  <c r="M885" i="22"/>
  <c r="M887" i="22"/>
  <c r="G911" i="24"/>
  <c r="G912" i="24"/>
  <c r="L113" i="24"/>
  <c r="L911" i="24"/>
  <c r="M113" i="24"/>
  <c r="M114" i="24"/>
  <c r="J22" i="25"/>
  <c r="J147" i="25"/>
  <c r="G39" i="22"/>
  <c r="F837" i="22"/>
  <c r="F838" i="22"/>
  <c r="F839" i="22"/>
  <c r="G114" i="24"/>
  <c r="W160" i="18"/>
  <c r="V160" i="18"/>
  <c r="N540" i="24"/>
  <c r="K108" i="25"/>
  <c r="J108" i="25"/>
  <c r="N108" i="25"/>
  <c r="O108" i="25"/>
  <c r="P108" i="25"/>
  <c r="N585" i="22"/>
  <c r="O585" i="22"/>
  <c r="U134" i="3"/>
  <c r="T134" i="3"/>
  <c r="T123" i="3"/>
  <c r="M493" i="22"/>
  <c r="N493" i="22"/>
  <c r="R351" i="24"/>
  <c r="N909" i="24"/>
  <c r="F60" i="23"/>
  <c r="N60" i="23"/>
  <c r="K122" i="23"/>
  <c r="O646" i="22"/>
  <c r="N870" i="22"/>
  <c r="L871" i="22"/>
  <c r="K72" i="25"/>
  <c r="O380" i="24"/>
  <c r="J85" i="25"/>
  <c r="N431" i="24"/>
  <c r="O247" i="22"/>
  <c r="K47" i="23"/>
  <c r="M319" i="22"/>
  <c r="N871" i="22"/>
  <c r="O871" i="22"/>
  <c r="O339" i="22"/>
  <c r="K64" i="23"/>
  <c r="K61" i="25"/>
  <c r="O307" i="24"/>
  <c r="I89" i="23"/>
  <c r="N472" i="22"/>
  <c r="L816" i="22"/>
  <c r="F113" i="25"/>
  <c r="N605" i="22"/>
  <c r="I114" i="23"/>
  <c r="U168" i="3"/>
  <c r="T168" i="3"/>
  <c r="S170" i="3"/>
  <c r="U170" i="3"/>
  <c r="T81" i="3"/>
  <c r="U81" i="3"/>
  <c r="S84" i="3"/>
  <c r="S142" i="3"/>
  <c r="U140" i="3"/>
  <c r="T140" i="3"/>
  <c r="S156" i="3"/>
  <c r="U156" i="3"/>
  <c r="T154" i="3"/>
  <c r="U154" i="3"/>
  <c r="G73" i="23"/>
  <c r="G73" i="25"/>
  <c r="M148" i="23"/>
  <c r="O37" i="25"/>
  <c r="P37" i="25"/>
  <c r="E148" i="25"/>
  <c r="E114" i="23"/>
  <c r="R626" i="24"/>
  <c r="G108" i="23"/>
  <c r="G108" i="25"/>
  <c r="R540" i="22"/>
  <c r="O112" i="25"/>
  <c r="P112" i="25"/>
  <c r="O112" i="23"/>
  <c r="P112" i="23"/>
  <c r="E70" i="23"/>
  <c r="E70" i="25"/>
  <c r="M70" i="25"/>
  <c r="O70" i="25"/>
  <c r="P70" i="25"/>
  <c r="R159" i="22"/>
  <c r="R302" i="22"/>
  <c r="F88" i="25"/>
  <c r="F97" i="23"/>
  <c r="N97" i="23"/>
  <c r="F97" i="25"/>
  <c r="N97" i="25"/>
  <c r="E97" i="25"/>
  <c r="E97" i="23"/>
  <c r="G68" i="25"/>
  <c r="G68" i="23"/>
  <c r="E15" i="23"/>
  <c r="E15" i="25"/>
  <c r="E62" i="23"/>
  <c r="M62" i="23"/>
  <c r="O62" i="23"/>
  <c r="P62" i="23"/>
  <c r="E62" i="25"/>
  <c r="M62" i="25"/>
  <c r="O62" i="25"/>
  <c r="P62" i="25"/>
  <c r="F65" i="23"/>
  <c r="N65" i="23"/>
  <c r="F65" i="25"/>
  <c r="N65" i="25"/>
  <c r="F148" i="25"/>
  <c r="N48" i="25"/>
  <c r="O48" i="25"/>
  <c r="P48" i="25"/>
  <c r="E87" i="25"/>
  <c r="M87" i="25"/>
  <c r="E87" i="23"/>
  <c r="M87" i="23"/>
  <c r="E12" i="23"/>
  <c r="E12" i="25"/>
  <c r="O98" i="25"/>
  <c r="P98" i="25"/>
  <c r="M148" i="25"/>
  <c r="E121" i="23"/>
  <c r="M121" i="23"/>
  <c r="E121" i="25"/>
  <c r="M121" i="25"/>
  <c r="R274" i="22"/>
  <c r="G58" i="23"/>
  <c r="G58" i="25"/>
  <c r="E90" i="23"/>
  <c r="M90" i="23"/>
  <c r="E90" i="25"/>
  <c r="G123" i="25"/>
  <c r="G123" i="23"/>
  <c r="R435" i="22"/>
  <c r="E148" i="23"/>
  <c r="G148" i="23"/>
  <c r="G112" i="25"/>
  <c r="G112" i="23"/>
  <c r="F86" i="25"/>
  <c r="F86" i="23"/>
  <c r="L697" i="22"/>
  <c r="N697" i="22"/>
  <c r="O697" i="22"/>
  <c r="N691" i="22"/>
  <c r="O691" i="22"/>
  <c r="L815" i="24"/>
  <c r="F85" i="23"/>
  <c r="N85" i="23"/>
  <c r="F85" i="25"/>
  <c r="K69" i="25"/>
  <c r="O356" i="24"/>
  <c r="L280" i="22"/>
  <c r="L808" i="22"/>
  <c r="L812" i="22"/>
  <c r="X226" i="18"/>
  <c r="Z226" i="18"/>
  <c r="N806" i="24"/>
  <c r="J113" i="25"/>
  <c r="M611" i="24"/>
  <c r="M654" i="24"/>
  <c r="M662" i="24"/>
  <c r="M154" i="24"/>
  <c r="J34" i="25"/>
  <c r="E17" i="5"/>
  <c r="K17" i="5"/>
  <c r="N17" i="5"/>
  <c r="E72" i="25"/>
  <c r="M72" i="25"/>
  <c r="E72" i="23"/>
  <c r="M37" i="23"/>
  <c r="I137" i="23"/>
  <c r="K137" i="23"/>
  <c r="N452" i="22"/>
  <c r="L460" i="22"/>
  <c r="I75" i="25"/>
  <c r="G280" i="22"/>
  <c r="G808" i="22"/>
  <c r="G812" i="22"/>
  <c r="F63" i="23"/>
  <c r="F63" i="25"/>
  <c r="N63" i="25"/>
  <c r="N205" i="24"/>
  <c r="L206" i="24"/>
  <c r="O631" i="24"/>
  <c r="K120" i="25"/>
  <c r="N39" i="25"/>
  <c r="U209" i="3"/>
  <c r="T209" i="3"/>
  <c r="P52" i="3"/>
  <c r="C14" i="5"/>
  <c r="I14" i="5"/>
  <c r="L14" i="5"/>
  <c r="D66" i="23"/>
  <c r="D77" i="23"/>
  <c r="D139" i="23"/>
  <c r="M305" i="22"/>
  <c r="M837" i="22"/>
  <c r="I837" i="22"/>
  <c r="I838" i="22"/>
  <c r="I839" i="22"/>
  <c r="E14" i="25"/>
  <c r="E14" i="23"/>
  <c r="L827" i="22"/>
  <c r="N280" i="24"/>
  <c r="M287" i="24"/>
  <c r="O94" i="24"/>
  <c r="R94" i="24"/>
  <c r="T185" i="3"/>
  <c r="E50" i="5"/>
  <c r="K50" i="5"/>
  <c r="N50" i="5"/>
  <c r="N169" i="24"/>
  <c r="L460" i="24"/>
  <c r="L478" i="24"/>
  <c r="V116" i="18"/>
  <c r="W116" i="18"/>
  <c r="G546" i="24"/>
  <c r="G808" i="24"/>
  <c r="G812" i="24"/>
  <c r="L906" i="24"/>
  <c r="L847" i="24"/>
  <c r="L73" i="24"/>
  <c r="N65" i="24"/>
  <c r="O65" i="24"/>
  <c r="O439" i="22"/>
  <c r="N373" i="22"/>
  <c r="O373" i="22"/>
  <c r="N165" i="22"/>
  <c r="N153" i="22"/>
  <c r="L154" i="22"/>
  <c r="L85" i="22"/>
  <c r="L881" i="22"/>
  <c r="L883" i="22"/>
  <c r="N379" i="22"/>
  <c r="O379" i="22"/>
  <c r="L380" i="22"/>
  <c r="W188" i="18"/>
  <c r="V188" i="18"/>
  <c r="H228" i="18"/>
  <c r="X142" i="18"/>
  <c r="Z142" i="18"/>
  <c r="L192" i="22"/>
  <c r="L857" i="22"/>
  <c r="G857" i="22"/>
  <c r="L89" i="22"/>
  <c r="N89" i="22"/>
  <c r="L885" i="22"/>
  <c r="L887" i="22"/>
  <c r="L52" i="24"/>
  <c r="L850" i="24"/>
  <c r="G850" i="24"/>
  <c r="W222" i="18"/>
  <c r="V222" i="18"/>
  <c r="K115" i="23"/>
  <c r="O609" i="22"/>
  <c r="J33" i="25"/>
  <c r="N141" i="24"/>
  <c r="N343" i="24"/>
  <c r="Y29" i="18"/>
  <c r="K62" i="25"/>
  <c r="O312" i="24"/>
  <c r="N778" i="24"/>
  <c r="O778" i="24"/>
  <c r="L779" i="24"/>
  <c r="K9" i="23"/>
  <c r="O21" i="22"/>
  <c r="L190" i="22"/>
  <c r="L855" i="22"/>
  <c r="G855" i="22"/>
  <c r="E29" i="22"/>
  <c r="E827" i="22"/>
  <c r="E829" i="22"/>
  <c r="E830" i="22"/>
  <c r="E877" i="22"/>
  <c r="E920" i="22"/>
  <c r="E928" i="22"/>
  <c r="L507" i="22"/>
  <c r="N502" i="22"/>
  <c r="O502" i="22"/>
  <c r="G827" i="22"/>
  <c r="AD29" i="18"/>
  <c r="S31" i="18"/>
  <c r="AA29" i="18"/>
  <c r="U29" i="18"/>
  <c r="AB29" i="18"/>
  <c r="F64" i="23"/>
  <c r="N64" i="23"/>
  <c r="F64" i="25"/>
  <c r="F139" i="25"/>
  <c r="L543" i="24"/>
  <c r="L809" i="24"/>
  <c r="I20" i="25"/>
  <c r="N99" i="24"/>
  <c r="N874" i="24"/>
  <c r="M373" i="24"/>
  <c r="N373" i="24"/>
  <c r="O373" i="24"/>
  <c r="M903" i="24"/>
  <c r="M905" i="24"/>
  <c r="N905" i="24"/>
  <c r="O905" i="24"/>
  <c r="N754" i="24"/>
  <c r="M755" i="24"/>
  <c r="L808" i="24"/>
  <c r="L108" i="24"/>
  <c r="N103" i="24"/>
  <c r="O103" i="24"/>
  <c r="F87" i="25"/>
  <c r="F87" i="23"/>
  <c r="L165" i="24"/>
  <c r="N164" i="24"/>
  <c r="R228" i="18"/>
  <c r="R230" i="18"/>
  <c r="I71" i="23"/>
  <c r="N374" i="22"/>
  <c r="L307" i="22"/>
  <c r="F110" i="25"/>
  <c r="N110" i="25"/>
  <c r="F110" i="23"/>
  <c r="N110" i="23"/>
  <c r="L188" i="22"/>
  <c r="G193" i="22"/>
  <c r="G194" i="22"/>
  <c r="G212" i="22"/>
  <c r="G255" i="22"/>
  <c r="G263" i="22"/>
  <c r="G853" i="22"/>
  <c r="N39" i="23"/>
  <c r="O210" i="22"/>
  <c r="K40" i="23"/>
  <c r="K62" i="23"/>
  <c r="O312" i="22"/>
  <c r="U154" i="18"/>
  <c r="AB154" i="18"/>
  <c r="AA154" i="18"/>
  <c r="AD154" i="18"/>
  <c r="S162" i="18"/>
  <c r="S192" i="18"/>
  <c r="S226" i="18"/>
  <c r="I125" i="23"/>
  <c r="K112" i="23"/>
  <c r="O578" i="22"/>
  <c r="F90" i="25"/>
  <c r="F90" i="23"/>
  <c r="N513" i="24"/>
  <c r="I97" i="25"/>
  <c r="L519" i="24"/>
  <c r="L863" i="24"/>
  <c r="N861" i="24"/>
  <c r="J86" i="23"/>
  <c r="N440" i="22"/>
  <c r="G286" i="22"/>
  <c r="G814" i="22"/>
  <c r="G818" i="22"/>
  <c r="L191" i="22"/>
  <c r="L856" i="22"/>
  <c r="G856" i="22"/>
  <c r="W99" i="18"/>
  <c r="V99" i="18"/>
  <c r="E33" i="5"/>
  <c r="K33" i="5"/>
  <c r="N33" i="5"/>
  <c r="T108" i="3"/>
  <c r="N364" i="22"/>
  <c r="M365" i="22"/>
  <c r="O116" i="24"/>
  <c r="K23" i="25"/>
  <c r="U50" i="3"/>
  <c r="L822" i="22"/>
  <c r="L425" i="22"/>
  <c r="O249" i="22"/>
  <c r="K48" i="23"/>
  <c r="F115" i="25"/>
  <c r="N115" i="25"/>
  <c r="F115" i="23"/>
  <c r="N115" i="23"/>
  <c r="I125" i="25"/>
  <c r="G815" i="24"/>
  <c r="L570" i="22"/>
  <c r="G572" i="22"/>
  <c r="G836" i="22"/>
  <c r="D66" i="25"/>
  <c r="D77" i="25"/>
  <c r="D139" i="25"/>
  <c r="N685" i="22"/>
  <c r="O685" i="22"/>
  <c r="L686" i="22"/>
  <c r="J19" i="25"/>
  <c r="I64" i="25"/>
  <c r="N339" i="24"/>
  <c r="L552" i="24"/>
  <c r="N552" i="24"/>
  <c r="P68" i="25"/>
  <c r="AD18" i="18"/>
  <c r="AA18" i="18"/>
  <c r="AB18" i="18"/>
  <c r="L41" i="24"/>
  <c r="N40" i="24"/>
  <c r="E64" i="23"/>
  <c r="M64" i="23"/>
  <c r="E64" i="25"/>
  <c r="M306" i="22"/>
  <c r="M307" i="22"/>
  <c r="M836" i="22"/>
  <c r="K49" i="25"/>
  <c r="O251" i="24"/>
  <c r="L240" i="22"/>
  <c r="L903" i="22"/>
  <c r="L905" i="22"/>
  <c r="N905" i="22"/>
  <c r="O905" i="22"/>
  <c r="E458" i="24"/>
  <c r="E857" i="24"/>
  <c r="E858" i="24"/>
  <c r="E859" i="24"/>
  <c r="L874" i="22"/>
  <c r="N342" i="22"/>
  <c r="L343" i="22"/>
  <c r="E22" i="25"/>
  <c r="E22" i="23"/>
  <c r="I113" i="25"/>
  <c r="N593" i="24"/>
  <c r="O585" i="24"/>
  <c r="Q221" i="3"/>
  <c r="D61" i="5"/>
  <c r="J61" i="5"/>
  <c r="M61" i="5"/>
  <c r="D51" i="5"/>
  <c r="J51" i="5"/>
  <c r="M51" i="5"/>
  <c r="L814" i="22"/>
  <c r="F829" i="22"/>
  <c r="F830" i="22"/>
  <c r="N439" i="24"/>
  <c r="M440" i="24"/>
  <c r="L555" i="22"/>
  <c r="G558" i="22"/>
  <c r="G564" i="22"/>
  <c r="G821" i="22"/>
  <c r="G824" i="22"/>
  <c r="L566" i="22"/>
  <c r="G568" i="22"/>
  <c r="G832" i="22"/>
  <c r="F11" i="25"/>
  <c r="F11" i="23"/>
  <c r="E838" i="24"/>
  <c r="E839" i="24"/>
  <c r="Y110" i="18"/>
  <c r="N48" i="23"/>
  <c r="O48" i="23"/>
  <c r="P48" i="23"/>
  <c r="J148" i="23"/>
  <c r="K148" i="23"/>
  <c r="L85" i="24"/>
  <c r="L881" i="24"/>
  <c r="L883" i="24"/>
  <c r="L851" i="22"/>
  <c r="L20" i="24"/>
  <c r="I58" i="25"/>
  <c r="N274" i="24"/>
  <c r="L822" i="24"/>
  <c r="O223" i="24"/>
  <c r="K44" i="25"/>
  <c r="U77" i="3"/>
  <c r="T77" i="3"/>
  <c r="G851" i="24"/>
  <c r="E818" i="24"/>
  <c r="E819" i="24"/>
  <c r="F858" i="24"/>
  <c r="F859" i="24"/>
  <c r="I47" i="25"/>
  <c r="N247" i="24"/>
  <c r="T64" i="18"/>
  <c r="Y64" i="18"/>
  <c r="T64" i="3"/>
  <c r="E21" i="5"/>
  <c r="K21" i="5"/>
  <c r="N21" i="5"/>
  <c r="U64" i="3"/>
  <c r="R66" i="3"/>
  <c r="M888" i="24"/>
  <c r="K20" i="23"/>
  <c r="O99" i="22"/>
  <c r="G552" i="24"/>
  <c r="W7" i="18"/>
  <c r="V7" i="18"/>
  <c r="R31" i="22"/>
  <c r="M49" i="25"/>
  <c r="I149" i="25"/>
  <c r="K149" i="25"/>
  <c r="U108" i="3"/>
  <c r="L838" i="24"/>
  <c r="O159" i="22"/>
  <c r="L283" i="22"/>
  <c r="L815" i="22"/>
  <c r="D137" i="25"/>
  <c r="D91" i="25"/>
  <c r="D102" i="25"/>
  <c r="O177" i="22"/>
  <c r="N179" i="22"/>
  <c r="E11" i="5"/>
  <c r="K11" i="5"/>
  <c r="N11" i="5"/>
  <c r="U19" i="3"/>
  <c r="T18" i="18"/>
  <c r="Y18" i="18"/>
  <c r="T19" i="3"/>
  <c r="R32" i="3"/>
  <c r="L189" i="22"/>
  <c r="L854" i="22"/>
  <c r="G854" i="22"/>
  <c r="L294" i="22"/>
  <c r="G297" i="22"/>
  <c r="G298" i="22"/>
  <c r="G826" i="22"/>
  <c r="F21" i="25"/>
  <c r="F21" i="23"/>
  <c r="AD49" i="18"/>
  <c r="U49" i="18"/>
  <c r="S51" i="18"/>
  <c r="AA49" i="18"/>
  <c r="AB49" i="18"/>
  <c r="F22" i="25"/>
  <c r="F22" i="23"/>
  <c r="E8" i="23"/>
  <c r="E8" i="25"/>
  <c r="F918" i="22"/>
  <c r="J140" i="25"/>
  <c r="N573" i="24"/>
  <c r="I111" i="25"/>
  <c r="N23" i="25"/>
  <c r="J148" i="25"/>
  <c r="K148" i="25"/>
  <c r="R187" i="3"/>
  <c r="E44" i="5"/>
  <c r="K44" i="5"/>
  <c r="N44" i="5"/>
  <c r="L319" i="22"/>
  <c r="AD64" i="18"/>
  <c r="AA64" i="18"/>
  <c r="AB64" i="18"/>
  <c r="S66" i="18"/>
  <c r="L321" i="24"/>
  <c r="G326" i="24"/>
  <c r="G327" i="24"/>
  <c r="G345" i="24"/>
  <c r="G388" i="24"/>
  <c r="G396" i="24"/>
  <c r="G853" i="24"/>
  <c r="D22" i="5"/>
  <c r="J22" i="5"/>
  <c r="M22" i="5"/>
  <c r="Q136" i="3"/>
  <c r="K94" i="23"/>
  <c r="O489" i="22"/>
  <c r="G118" i="23"/>
  <c r="G118" i="25"/>
  <c r="L875" i="24"/>
  <c r="N875" i="24"/>
  <c r="O875" i="24"/>
  <c r="N873" i="24"/>
  <c r="L894" i="24"/>
  <c r="L896" i="24"/>
  <c r="L231" i="24"/>
  <c r="N147" i="24"/>
  <c r="L154" i="24"/>
  <c r="O472" i="24"/>
  <c r="K89" i="25"/>
  <c r="L821" i="24"/>
  <c r="L824" i="24"/>
  <c r="F72" i="25"/>
  <c r="N72" i="25"/>
  <c r="F72" i="23"/>
  <c r="N72" i="23"/>
  <c r="O572" i="24"/>
  <c r="N679" i="24"/>
  <c r="O679" i="24"/>
  <c r="O592" i="24"/>
  <c r="K69" i="23"/>
  <c r="O356" i="22"/>
  <c r="O552" i="22"/>
  <c r="G824" i="24"/>
  <c r="M369" i="24"/>
  <c r="M899" i="24"/>
  <c r="M901" i="24"/>
  <c r="O31" i="22"/>
  <c r="L685" i="24"/>
  <c r="N685" i="24"/>
  <c r="O685" i="24"/>
  <c r="G48" i="25"/>
  <c r="G48" i="23"/>
  <c r="I858" i="22"/>
  <c r="I859" i="22"/>
  <c r="J139" i="25"/>
  <c r="E47" i="5"/>
  <c r="K47" i="5"/>
  <c r="N47" i="5"/>
  <c r="L324" i="24"/>
  <c r="L856" i="24"/>
  <c r="G856" i="24"/>
  <c r="O302" i="22"/>
  <c r="I10" i="23"/>
  <c r="N32" i="22"/>
  <c r="G888" i="22"/>
  <c r="G685" i="24"/>
  <c r="G686" i="24"/>
  <c r="G744" i="24"/>
  <c r="G787" i="24"/>
  <c r="G795" i="24"/>
  <c r="M763" i="22"/>
  <c r="M894" i="22"/>
  <c r="M896" i="22"/>
  <c r="M853" i="22"/>
  <c r="M858" i="22"/>
  <c r="M326" i="22"/>
  <c r="N326" i="22"/>
  <c r="G20" i="24"/>
  <c r="G21" i="24"/>
  <c r="G89" i="24"/>
  <c r="G90" i="24"/>
  <c r="G120" i="24"/>
  <c r="L87" i="24"/>
  <c r="G885" i="24"/>
  <c r="G887" i="24"/>
  <c r="G888" i="24"/>
  <c r="G918" i="24"/>
  <c r="AC154" i="18"/>
  <c r="T162" i="18"/>
  <c r="Y154" i="18"/>
  <c r="O640" i="24"/>
  <c r="K121" i="25"/>
  <c r="G70" i="23"/>
  <c r="G70" i="25"/>
  <c r="L319" i="24"/>
  <c r="L846" i="24"/>
  <c r="N110" i="22"/>
  <c r="O110" i="22"/>
  <c r="L908" i="22"/>
  <c r="K83" i="23"/>
  <c r="N725" i="24"/>
  <c r="O725" i="24"/>
  <c r="L726" i="24"/>
  <c r="N726" i="24"/>
  <c r="O726" i="24"/>
  <c r="O23" i="23"/>
  <c r="K120" i="23"/>
  <c r="M118" i="25"/>
  <c r="E143" i="25"/>
  <c r="I90" i="25"/>
  <c r="N476" i="24"/>
  <c r="L323" i="24"/>
  <c r="L855" i="24"/>
  <c r="G855" i="24"/>
  <c r="I84" i="25"/>
  <c r="N420" i="24"/>
  <c r="L26" i="24"/>
  <c r="L870" i="24"/>
  <c r="N870" i="24"/>
  <c r="N867" i="24"/>
  <c r="M892" i="22"/>
  <c r="J11" i="25"/>
  <c r="K49" i="23"/>
  <c r="O251" i="22"/>
  <c r="J46" i="25"/>
  <c r="N241" i="24"/>
  <c r="M253" i="24"/>
  <c r="L564" i="24"/>
  <c r="D137" i="23"/>
  <c r="D91" i="23"/>
  <c r="D102" i="23"/>
  <c r="N842" i="22"/>
  <c r="L844" i="22"/>
  <c r="G120" i="22"/>
  <c r="F84" i="25"/>
  <c r="F84" i="23"/>
  <c r="F812" i="22"/>
  <c r="F819" i="22"/>
  <c r="M851" i="22"/>
  <c r="G818" i="24"/>
  <c r="U168" i="18"/>
  <c r="Y168" i="18"/>
  <c r="AC168" i="18"/>
  <c r="G911" i="22"/>
  <c r="G912" i="22"/>
  <c r="L113" i="22"/>
  <c r="L114" i="22"/>
  <c r="M113" i="22"/>
  <c r="M911" i="22"/>
  <c r="L322" i="24"/>
  <c r="L854" i="24"/>
  <c r="G854" i="24"/>
  <c r="W121" i="18"/>
  <c r="V121" i="18"/>
  <c r="M908" i="22"/>
  <c r="J133" i="23"/>
  <c r="R617" i="22"/>
  <c r="R617" i="24"/>
  <c r="F818" i="24"/>
  <c r="F819" i="24"/>
  <c r="N53" i="22"/>
  <c r="M61" i="22"/>
  <c r="M174" i="22"/>
  <c r="M212" i="22"/>
  <c r="N173" i="22"/>
  <c r="E143" i="23"/>
  <c r="M118" i="23"/>
  <c r="I918" i="22"/>
  <c r="AC182" i="18"/>
  <c r="U182" i="18"/>
  <c r="Y182" i="18"/>
  <c r="R497" i="22"/>
  <c r="R497" i="24"/>
  <c r="F69" i="25"/>
  <c r="F69" i="23"/>
  <c r="O419" i="24"/>
  <c r="M49" i="23"/>
  <c r="I149" i="23"/>
  <c r="K149" i="23"/>
  <c r="L325" i="24"/>
  <c r="L857" i="24"/>
  <c r="G857" i="24"/>
  <c r="M498" i="22"/>
  <c r="F877" i="24"/>
  <c r="F920" i="24"/>
  <c r="F928" i="24"/>
  <c r="O563" i="22"/>
  <c r="O206" i="22"/>
  <c r="AC174" i="18"/>
  <c r="U174" i="18"/>
  <c r="Y174" i="18"/>
  <c r="W210" i="18"/>
  <c r="V210" i="18"/>
  <c r="G834" i="22"/>
  <c r="N360" i="22"/>
  <c r="R360" i="22"/>
  <c r="L365" i="22"/>
  <c r="I70" i="23"/>
  <c r="U176" i="18"/>
  <c r="G573" i="22"/>
  <c r="M70" i="23"/>
  <c r="I829" i="24"/>
  <c r="L833" i="22"/>
  <c r="R540" i="24"/>
  <c r="N553" i="22"/>
  <c r="N896" i="22"/>
  <c r="K125" i="25"/>
  <c r="O605" i="24"/>
  <c r="K70" i="25"/>
  <c r="N452" i="24"/>
  <c r="O452" i="24"/>
  <c r="O93" i="25"/>
  <c r="P93" i="25"/>
  <c r="N901" i="22"/>
  <c r="O901" i="22"/>
  <c r="M478" i="22"/>
  <c r="M114" i="23"/>
  <c r="O114" i="23"/>
  <c r="P114" i="23"/>
  <c r="M120" i="24"/>
  <c r="J121" i="23"/>
  <c r="J146" i="23"/>
  <c r="N640" i="22"/>
  <c r="L851" i="24"/>
  <c r="N851" i="24"/>
  <c r="O851" i="24"/>
  <c r="N88" i="25"/>
  <c r="M906" i="24"/>
  <c r="M911" i="24"/>
  <c r="M912" i="24"/>
  <c r="M882" i="22"/>
  <c r="M883" i="22"/>
  <c r="M888" i="22"/>
  <c r="M218" i="22"/>
  <c r="AA110" i="18"/>
  <c r="AB110" i="18"/>
  <c r="AD110" i="18"/>
  <c r="S112" i="18"/>
  <c r="O74" i="25"/>
  <c r="P74" i="25"/>
  <c r="N149" i="25"/>
  <c r="L706" i="24"/>
  <c r="N706" i="24"/>
  <c r="O706" i="24"/>
  <c r="N701" i="24"/>
  <c r="O701" i="24"/>
  <c r="M327" i="22"/>
  <c r="J63" i="23"/>
  <c r="M173" i="24"/>
  <c r="M837" i="24"/>
  <c r="M838" i="24"/>
  <c r="M839" i="24"/>
  <c r="T50" i="3"/>
  <c r="S71" i="3"/>
  <c r="T70" i="3"/>
  <c r="U70" i="3"/>
  <c r="L286" i="22"/>
  <c r="N286" i="22"/>
  <c r="J113" i="23"/>
  <c r="J116" i="23"/>
  <c r="M611" i="22"/>
  <c r="L39" i="22"/>
  <c r="L837" i="22"/>
  <c r="G837" i="22"/>
  <c r="G838" i="22"/>
  <c r="G839" i="22"/>
  <c r="U59" i="18"/>
  <c r="N701" i="22"/>
  <c r="O701" i="22"/>
  <c r="L706" i="22"/>
  <c r="N706" i="22"/>
  <c r="O706" i="22"/>
  <c r="L232" i="22"/>
  <c r="N231" i="22"/>
  <c r="N488" i="24"/>
  <c r="M489" i="24"/>
  <c r="L40" i="22"/>
  <c r="J91" i="23"/>
  <c r="N306" i="22"/>
  <c r="K95" i="25"/>
  <c r="O498" i="24"/>
  <c r="W86" i="18"/>
  <c r="V86" i="18"/>
  <c r="O413" i="24"/>
  <c r="R413" i="24"/>
  <c r="G40" i="22"/>
  <c r="G41" i="22"/>
  <c r="G79" i="22"/>
  <c r="G122" i="22"/>
  <c r="G130" i="22"/>
  <c r="M824" i="24"/>
  <c r="N824" i="24"/>
  <c r="O824" i="24"/>
  <c r="L297" i="24"/>
  <c r="L826" i="24"/>
  <c r="L829" i="24"/>
  <c r="L830" i="24"/>
  <c r="I84" i="23"/>
  <c r="N420" i="22"/>
  <c r="M859" i="22"/>
  <c r="G79" i="24"/>
  <c r="N113" i="24"/>
  <c r="O113" i="24"/>
  <c r="L114" i="24"/>
  <c r="I113" i="23"/>
  <c r="N593" i="22"/>
  <c r="I97" i="23"/>
  <c r="M97" i="23"/>
  <c r="O97" i="23"/>
  <c r="P97" i="23"/>
  <c r="N513" i="22"/>
  <c r="M26" i="24"/>
  <c r="N26" i="24"/>
  <c r="I830" i="24"/>
  <c r="I877" i="24"/>
  <c r="I920" i="24"/>
  <c r="E877" i="24"/>
  <c r="E920" i="24"/>
  <c r="E928" i="24"/>
  <c r="G611" i="22"/>
  <c r="G654" i="22"/>
  <c r="G662" i="22"/>
  <c r="N887" i="22"/>
  <c r="O887" i="22"/>
  <c r="N621" i="22"/>
  <c r="M622" i="22"/>
  <c r="N726" i="22"/>
  <c r="O726" i="22"/>
  <c r="M193" i="24"/>
  <c r="M855" i="24"/>
  <c r="M858" i="24"/>
  <c r="M859" i="24"/>
  <c r="W134" i="18"/>
  <c r="V134" i="18"/>
  <c r="G829" i="24"/>
  <c r="G830" i="24"/>
  <c r="M31" i="24"/>
  <c r="N31" i="24"/>
  <c r="O31" i="24"/>
  <c r="M826" i="24"/>
  <c r="M829" i="24"/>
  <c r="T170" i="3"/>
  <c r="R626" i="22"/>
  <c r="M838" i="22"/>
  <c r="M839" i="22"/>
  <c r="L546" i="24"/>
  <c r="L553" i="24"/>
  <c r="N85" i="25"/>
  <c r="E114" i="25"/>
  <c r="M114" i="25"/>
  <c r="O114" i="25"/>
  <c r="P114" i="25"/>
  <c r="L818" i="24"/>
  <c r="N818" i="24"/>
  <c r="O818" i="24"/>
  <c r="M114" i="22"/>
  <c r="N114" i="22"/>
  <c r="K89" i="23"/>
  <c r="O472" i="22"/>
  <c r="I139" i="23"/>
  <c r="K139" i="23"/>
  <c r="O431" i="24"/>
  <c r="K85" i="25"/>
  <c r="F113" i="23"/>
  <c r="K114" i="23"/>
  <c r="O605" i="22"/>
  <c r="L53" i="24"/>
  <c r="L61" i="24"/>
  <c r="M912" i="22"/>
  <c r="L686" i="24"/>
  <c r="T156" i="3"/>
  <c r="S187" i="3"/>
  <c r="S221" i="3"/>
  <c r="U142" i="3"/>
  <c r="T142" i="3"/>
  <c r="U84" i="3"/>
  <c r="T84" i="3"/>
  <c r="F109" i="23"/>
  <c r="N109" i="23"/>
  <c r="F109" i="25"/>
  <c r="N109" i="25"/>
  <c r="E96" i="25"/>
  <c r="M96" i="25"/>
  <c r="E96" i="23"/>
  <c r="M90" i="25"/>
  <c r="O64" i="23"/>
  <c r="P64" i="23"/>
  <c r="N139" i="23"/>
  <c r="G148" i="25"/>
  <c r="F83" i="25"/>
  <c r="N83" i="25"/>
  <c r="O83" i="25"/>
  <c r="P83" i="25"/>
  <c r="F83" i="23"/>
  <c r="N83" i="23"/>
  <c r="O83" i="23"/>
  <c r="F88" i="23"/>
  <c r="N88" i="23"/>
  <c r="E94" i="25"/>
  <c r="M94" i="25"/>
  <c r="E94" i="23"/>
  <c r="M94" i="23"/>
  <c r="E71" i="23"/>
  <c r="M71" i="23"/>
  <c r="E71" i="25"/>
  <c r="M71" i="25"/>
  <c r="N148" i="23"/>
  <c r="R364" i="22"/>
  <c r="R364" i="24"/>
  <c r="N64" i="25"/>
  <c r="N139" i="25"/>
  <c r="N63" i="23"/>
  <c r="D141" i="25"/>
  <c r="D152" i="25"/>
  <c r="R40" i="24"/>
  <c r="M64" i="25"/>
  <c r="N86" i="23"/>
  <c r="R98" i="22"/>
  <c r="R98" i="24"/>
  <c r="E122" i="25"/>
  <c r="M122" i="25"/>
  <c r="O122" i="25"/>
  <c r="P122" i="25"/>
  <c r="E122" i="23"/>
  <c r="M122" i="23"/>
  <c r="O122" i="23"/>
  <c r="P122" i="23"/>
  <c r="F61" i="23"/>
  <c r="E39" i="25"/>
  <c r="E39" i="23"/>
  <c r="M39" i="23"/>
  <c r="O39" i="23"/>
  <c r="P39" i="23"/>
  <c r="G12" i="23"/>
  <c r="G12" i="25"/>
  <c r="E89" i="23"/>
  <c r="M89" i="23"/>
  <c r="O89" i="23"/>
  <c r="P89" i="23"/>
  <c r="E89" i="25"/>
  <c r="M89" i="25"/>
  <c r="O89" i="25"/>
  <c r="P89" i="25"/>
  <c r="G114" i="23"/>
  <c r="G114" i="25"/>
  <c r="G97" i="25"/>
  <c r="G97" i="23"/>
  <c r="F20" i="25"/>
  <c r="N20" i="25"/>
  <c r="F20" i="23"/>
  <c r="N20" i="23"/>
  <c r="O20" i="23"/>
  <c r="R563" i="24"/>
  <c r="G62" i="25"/>
  <c r="G62" i="23"/>
  <c r="E47" i="23"/>
  <c r="E47" i="25"/>
  <c r="G15" i="25"/>
  <c r="G15" i="23"/>
  <c r="E65" i="23"/>
  <c r="E65" i="25"/>
  <c r="M65" i="25"/>
  <c r="O65" i="25"/>
  <c r="P65" i="25"/>
  <c r="R227" i="22"/>
  <c r="R227" i="24"/>
  <c r="E137" i="25"/>
  <c r="M12" i="25"/>
  <c r="E115" i="25"/>
  <c r="M115" i="25"/>
  <c r="O115" i="25"/>
  <c r="P115" i="25"/>
  <c r="E115" i="23"/>
  <c r="M115" i="23"/>
  <c r="O115" i="23"/>
  <c r="P115" i="23"/>
  <c r="E63" i="23"/>
  <c r="M15" i="25"/>
  <c r="O15" i="25"/>
  <c r="P15" i="25"/>
  <c r="E40" i="23"/>
  <c r="M40" i="23"/>
  <c r="E40" i="25"/>
  <c r="M40" i="25"/>
  <c r="R552" i="24"/>
  <c r="E137" i="23"/>
  <c r="M12" i="23"/>
  <c r="O12" i="23"/>
  <c r="P12" i="23"/>
  <c r="M15" i="23"/>
  <c r="O15" i="23"/>
  <c r="P15" i="23"/>
  <c r="E38" i="25"/>
  <c r="M38" i="25"/>
  <c r="F40" i="25"/>
  <c r="N40" i="25"/>
  <c r="F40" i="23"/>
  <c r="N40" i="23"/>
  <c r="I22" i="23"/>
  <c r="V176" i="18"/>
  <c r="W176" i="18"/>
  <c r="O118" i="25"/>
  <c r="M143" i="25"/>
  <c r="W49" i="18"/>
  <c r="V49" i="18"/>
  <c r="O440" i="22"/>
  <c r="K86" i="23"/>
  <c r="F120" i="25"/>
  <c r="F120" i="23"/>
  <c r="I110" i="25"/>
  <c r="N564" i="24"/>
  <c r="N892" i="22"/>
  <c r="O892" i="22"/>
  <c r="M897" i="22"/>
  <c r="L521" i="24"/>
  <c r="N908" i="22"/>
  <c r="O908" i="22"/>
  <c r="L326" i="24"/>
  <c r="N326" i="24"/>
  <c r="L853" i="24"/>
  <c r="L858" i="24"/>
  <c r="N858" i="24"/>
  <c r="O858" i="24"/>
  <c r="L327" i="22"/>
  <c r="N319" i="22"/>
  <c r="F147" i="23"/>
  <c r="K47" i="25"/>
  <c r="O247" i="24"/>
  <c r="S223" i="3"/>
  <c r="J86" i="25"/>
  <c r="M478" i="24"/>
  <c r="N440" i="24"/>
  <c r="O593" i="24"/>
  <c r="K113" i="25"/>
  <c r="I65" i="23"/>
  <c r="N343" i="22"/>
  <c r="J61" i="23"/>
  <c r="M345" i="22"/>
  <c r="O552" i="24"/>
  <c r="K64" i="25"/>
  <c r="O339" i="24"/>
  <c r="L906" i="22"/>
  <c r="N906" i="22"/>
  <c r="O906" i="22"/>
  <c r="I140" i="25"/>
  <c r="K140" i="25"/>
  <c r="N307" i="22"/>
  <c r="I61" i="23"/>
  <c r="E95" i="25"/>
  <c r="E95" i="23"/>
  <c r="V29" i="18"/>
  <c r="W29" i="18"/>
  <c r="J133" i="25"/>
  <c r="N33" i="25"/>
  <c r="F10" i="23"/>
  <c r="F10" i="25"/>
  <c r="O89" i="22"/>
  <c r="K35" i="23"/>
  <c r="O165" i="22"/>
  <c r="N53" i="24"/>
  <c r="R169" i="24"/>
  <c r="O169" i="24"/>
  <c r="O72" i="25"/>
  <c r="P72" i="25"/>
  <c r="V110" i="18"/>
  <c r="W110" i="18"/>
  <c r="N11" i="23"/>
  <c r="O49" i="23"/>
  <c r="M149" i="23"/>
  <c r="E61" i="25"/>
  <c r="E61" i="23"/>
  <c r="O118" i="23"/>
  <c r="M143" i="23"/>
  <c r="N84" i="23"/>
  <c r="E51" i="5"/>
  <c r="K51" i="5"/>
  <c r="N51" i="5"/>
  <c r="R221" i="3"/>
  <c r="T187" i="3"/>
  <c r="F147" i="25"/>
  <c r="N22" i="25"/>
  <c r="N147" i="25"/>
  <c r="N21" i="23"/>
  <c r="L839" i="24"/>
  <c r="N851" i="22"/>
  <c r="O851" i="22"/>
  <c r="O439" i="24"/>
  <c r="O164" i="24"/>
  <c r="N755" i="24"/>
  <c r="O755" i="24"/>
  <c r="M785" i="24"/>
  <c r="M787" i="24"/>
  <c r="M795" i="24"/>
  <c r="N779" i="24"/>
  <c r="O779" i="24"/>
  <c r="L785" i="24"/>
  <c r="K65" i="25"/>
  <c r="O343" i="24"/>
  <c r="X228" i="18"/>
  <c r="H230" i="18"/>
  <c r="Z228" i="18"/>
  <c r="H232" i="18"/>
  <c r="H233" i="18"/>
  <c r="H234" i="18"/>
  <c r="M345" i="24"/>
  <c r="N287" i="24"/>
  <c r="J59" i="25"/>
  <c r="J134" i="25"/>
  <c r="G63" i="23"/>
  <c r="O147" i="24"/>
  <c r="AD226" i="18"/>
  <c r="AA226" i="18"/>
  <c r="AB226" i="18"/>
  <c r="I96" i="23"/>
  <c r="L519" i="22"/>
  <c r="N507" i="22"/>
  <c r="R26" i="22"/>
  <c r="G14" i="23"/>
  <c r="G14" i="25"/>
  <c r="F877" i="22"/>
  <c r="F920" i="22"/>
  <c r="F928" i="22"/>
  <c r="N69" i="23"/>
  <c r="O173" i="22"/>
  <c r="R173" i="22"/>
  <c r="O842" i="22"/>
  <c r="N844" i="22"/>
  <c r="O844" i="22"/>
  <c r="L32" i="24"/>
  <c r="N148" i="25"/>
  <c r="O23" i="25"/>
  <c r="N21" i="25"/>
  <c r="U66" i="3"/>
  <c r="E22" i="5"/>
  <c r="K22" i="5"/>
  <c r="N22" i="5"/>
  <c r="T66" i="3"/>
  <c r="L558" i="22"/>
  <c r="L821" i="22"/>
  <c r="L824" i="22"/>
  <c r="N874" i="22"/>
  <c r="L875" i="22"/>
  <c r="N875" i="22"/>
  <c r="O875" i="22"/>
  <c r="L241" i="22"/>
  <c r="N240" i="22"/>
  <c r="O240" i="22"/>
  <c r="G64" i="23"/>
  <c r="G64" i="25"/>
  <c r="N863" i="24"/>
  <c r="O863" i="24"/>
  <c r="L871" i="24"/>
  <c r="N871" i="24"/>
  <c r="O871" i="24"/>
  <c r="I35" i="25"/>
  <c r="N165" i="24"/>
  <c r="I877" i="22"/>
  <c r="I920" i="22"/>
  <c r="S53" i="18"/>
  <c r="S142" i="18"/>
  <c r="N380" i="22"/>
  <c r="I72" i="23"/>
  <c r="M72" i="23"/>
  <c r="O72" i="23"/>
  <c r="P72" i="23"/>
  <c r="L386" i="22"/>
  <c r="I34" i="23"/>
  <c r="N154" i="22"/>
  <c r="I14" i="25"/>
  <c r="N73" i="24"/>
  <c r="O280" i="24"/>
  <c r="G819" i="22"/>
  <c r="N113" i="25"/>
  <c r="J116" i="25"/>
  <c r="J127" i="25"/>
  <c r="F71" i="25"/>
  <c r="F75" i="25"/>
  <c r="F71" i="23"/>
  <c r="N71" i="23"/>
  <c r="O558" i="24"/>
  <c r="R558" i="24"/>
  <c r="N763" i="22"/>
  <c r="M764" i="22"/>
  <c r="L431" i="22"/>
  <c r="N425" i="22"/>
  <c r="R89" i="22"/>
  <c r="O306" i="22"/>
  <c r="R306" i="22"/>
  <c r="R493" i="24"/>
  <c r="K33" i="25"/>
  <c r="R141" i="24"/>
  <c r="N69" i="25"/>
  <c r="G143" i="23"/>
  <c r="N84" i="25"/>
  <c r="N498" i="22"/>
  <c r="J95" i="23"/>
  <c r="M519" i="22"/>
  <c r="M521" i="22"/>
  <c r="M529" i="22"/>
  <c r="J36" i="23"/>
  <c r="N174" i="22"/>
  <c r="N61" i="22"/>
  <c r="J13" i="23"/>
  <c r="M79" i="22"/>
  <c r="V168" i="18"/>
  <c r="W168" i="18"/>
  <c r="K90" i="25"/>
  <c r="O476" i="24"/>
  <c r="P23" i="23"/>
  <c r="O148" i="23"/>
  <c r="P148" i="23"/>
  <c r="U187" i="3"/>
  <c r="G122" i="24"/>
  <c r="G130" i="24"/>
  <c r="N231" i="24"/>
  <c r="L232" i="24"/>
  <c r="U64" i="18"/>
  <c r="M8" i="25"/>
  <c r="E133" i="25"/>
  <c r="L568" i="22"/>
  <c r="L832" i="22"/>
  <c r="L834" i="22"/>
  <c r="U18" i="18"/>
  <c r="J25" i="25"/>
  <c r="L572" i="22"/>
  <c r="N572" i="22"/>
  <c r="L836" i="22"/>
  <c r="L838" i="22"/>
  <c r="N838" i="22"/>
  <c r="O838" i="22"/>
  <c r="V154" i="18"/>
  <c r="U162" i="18"/>
  <c r="W154" i="18"/>
  <c r="F137" i="23"/>
  <c r="N87" i="23"/>
  <c r="O99" i="24"/>
  <c r="K20" i="25"/>
  <c r="O153" i="22"/>
  <c r="E69" i="23"/>
  <c r="E69" i="25"/>
  <c r="N901" i="24"/>
  <c r="O901" i="24"/>
  <c r="G287" i="22"/>
  <c r="G345" i="22"/>
  <c r="G388" i="22"/>
  <c r="G396" i="22"/>
  <c r="O286" i="22"/>
  <c r="R493" i="22"/>
  <c r="O53" i="22"/>
  <c r="N911" i="24"/>
  <c r="O911" i="24"/>
  <c r="L912" i="24"/>
  <c r="K37" i="23"/>
  <c r="O179" i="22"/>
  <c r="F38" i="25"/>
  <c r="F38" i="23"/>
  <c r="N20" i="24"/>
  <c r="L21" i="24"/>
  <c r="L744" i="22"/>
  <c r="N686" i="22"/>
  <c r="O686" i="22"/>
  <c r="F61" i="25"/>
  <c r="N61" i="25"/>
  <c r="I100" i="25"/>
  <c r="M97" i="25"/>
  <c r="O97" i="25"/>
  <c r="P97" i="25"/>
  <c r="G90" i="25"/>
  <c r="G90" i="23"/>
  <c r="G858" i="22"/>
  <c r="G859" i="22"/>
  <c r="N87" i="25"/>
  <c r="F137" i="25"/>
  <c r="I21" i="25"/>
  <c r="N108" i="24"/>
  <c r="M20" i="25"/>
  <c r="R355" i="24"/>
  <c r="R355" i="22"/>
  <c r="K109" i="23"/>
  <c r="O553" i="22"/>
  <c r="N906" i="24"/>
  <c r="O906" i="24"/>
  <c r="I39" i="25"/>
  <c r="N206" i="24"/>
  <c r="I88" i="23"/>
  <c r="N460" i="22"/>
  <c r="N812" i="22"/>
  <c r="O812" i="22"/>
  <c r="Q223" i="3"/>
  <c r="D39" i="5"/>
  <c r="J39" i="5"/>
  <c r="M39" i="5"/>
  <c r="L297" i="22"/>
  <c r="L826" i="22"/>
  <c r="L829" i="22"/>
  <c r="N829" i="22"/>
  <c r="O829" i="22"/>
  <c r="I133" i="25"/>
  <c r="M58" i="25"/>
  <c r="F95" i="25"/>
  <c r="N95" i="25"/>
  <c r="F95" i="23"/>
  <c r="L327" i="24"/>
  <c r="N319" i="24"/>
  <c r="O326" i="22"/>
  <c r="R326" i="22"/>
  <c r="G918" i="22"/>
  <c r="N896" i="24"/>
  <c r="L897" i="24"/>
  <c r="N897" i="24"/>
  <c r="O897" i="24"/>
  <c r="M8" i="23"/>
  <c r="E133" i="23"/>
  <c r="F59" i="25"/>
  <c r="F59" i="23"/>
  <c r="K133" i="23"/>
  <c r="D141" i="23"/>
  <c r="D152" i="23"/>
  <c r="K46" i="25"/>
  <c r="O241" i="24"/>
  <c r="G143" i="25"/>
  <c r="O32" i="22"/>
  <c r="K10" i="23"/>
  <c r="K111" i="25"/>
  <c r="O573" i="24"/>
  <c r="G829" i="22"/>
  <c r="G830" i="22"/>
  <c r="T32" i="3"/>
  <c r="U32" i="3"/>
  <c r="R52" i="3"/>
  <c r="E14" i="5"/>
  <c r="K14" i="5"/>
  <c r="N14" i="5"/>
  <c r="E10" i="23"/>
  <c r="M10" i="23"/>
  <c r="E10" i="25"/>
  <c r="E36" i="23"/>
  <c r="E36" i="25"/>
  <c r="N883" i="24"/>
  <c r="O883" i="24"/>
  <c r="G22" i="25"/>
  <c r="G22" i="23"/>
  <c r="G87" i="25"/>
  <c r="G87" i="23"/>
  <c r="O40" i="24"/>
  <c r="G115" i="23"/>
  <c r="G115" i="25"/>
  <c r="R306" i="24"/>
  <c r="K97" i="25"/>
  <c r="O513" i="24"/>
  <c r="N90" i="23"/>
  <c r="F139" i="23"/>
  <c r="L812" i="24"/>
  <c r="L888" i="22"/>
  <c r="G819" i="24"/>
  <c r="I88" i="25"/>
  <c r="N460" i="24"/>
  <c r="M14" i="23"/>
  <c r="O452" i="22"/>
  <c r="O37" i="23"/>
  <c r="L287" i="22"/>
  <c r="N280" i="22"/>
  <c r="R302" i="24"/>
  <c r="N11" i="25"/>
  <c r="W182" i="18"/>
  <c r="V182" i="18"/>
  <c r="L911" i="22"/>
  <c r="N911" i="22"/>
  <c r="O911" i="22"/>
  <c r="N113" i="22"/>
  <c r="O113" i="22"/>
  <c r="J50" i="25"/>
  <c r="K84" i="25"/>
  <c r="O420" i="24"/>
  <c r="L89" i="24"/>
  <c r="N89" i="24"/>
  <c r="L885" i="24"/>
  <c r="L887" i="24"/>
  <c r="N887" i="24"/>
  <c r="O887" i="24"/>
  <c r="M374" i="24"/>
  <c r="N369" i="24"/>
  <c r="O369" i="24"/>
  <c r="N686" i="24"/>
  <c r="O686" i="24"/>
  <c r="I34" i="25"/>
  <c r="L212" i="24"/>
  <c r="N154" i="24"/>
  <c r="G858" i="24"/>
  <c r="G859" i="24"/>
  <c r="O49" i="25"/>
  <c r="M149" i="25"/>
  <c r="R31" i="24"/>
  <c r="K58" i="25"/>
  <c r="R274" i="24"/>
  <c r="N85" i="24"/>
  <c r="L818" i="22"/>
  <c r="N818" i="22"/>
  <c r="O818" i="22"/>
  <c r="I11" i="25"/>
  <c r="N41" i="24"/>
  <c r="J70" i="23"/>
  <c r="N365" i="22"/>
  <c r="M386" i="22"/>
  <c r="N90" i="25"/>
  <c r="L193" i="22"/>
  <c r="L853" i="22"/>
  <c r="L858" i="22"/>
  <c r="N858" i="22"/>
  <c r="O858" i="22"/>
  <c r="K71" i="23"/>
  <c r="O374" i="22"/>
  <c r="T31" i="18"/>
  <c r="L90" i="22"/>
  <c r="N85" i="22"/>
  <c r="G553" i="24"/>
  <c r="G611" i="24"/>
  <c r="G654" i="24"/>
  <c r="G662" i="24"/>
  <c r="C18" i="5"/>
  <c r="I18" i="5"/>
  <c r="L18" i="5"/>
  <c r="P136" i="3"/>
  <c r="R159" i="24"/>
  <c r="G72" i="23"/>
  <c r="G72" i="25"/>
  <c r="O153" i="24"/>
  <c r="W174" i="18"/>
  <c r="V174" i="18"/>
  <c r="N838" i="24"/>
  <c r="O838" i="24"/>
  <c r="N883" i="22"/>
  <c r="O883" i="22"/>
  <c r="M918" i="24"/>
  <c r="L744" i="24"/>
  <c r="L787" i="24"/>
  <c r="N839" i="24"/>
  <c r="O839" i="24"/>
  <c r="R452" i="24"/>
  <c r="M120" i="22"/>
  <c r="N546" i="24"/>
  <c r="R546" i="24"/>
  <c r="L859" i="24"/>
  <c r="N859" i="24"/>
  <c r="O859" i="24"/>
  <c r="N912" i="24"/>
  <c r="O912" i="24"/>
  <c r="J22" i="23"/>
  <c r="J25" i="23"/>
  <c r="M877" i="22"/>
  <c r="N113" i="23"/>
  <c r="N173" i="24"/>
  <c r="M174" i="24"/>
  <c r="N218" i="22"/>
  <c r="R218" i="22"/>
  <c r="M223" i="22"/>
  <c r="K121" i="23"/>
  <c r="O640" i="22"/>
  <c r="T71" i="3"/>
  <c r="S86" i="3"/>
  <c r="U71" i="3"/>
  <c r="U221" i="3"/>
  <c r="M32" i="24"/>
  <c r="N32" i="24"/>
  <c r="O420" i="22"/>
  <c r="K84" i="23"/>
  <c r="N297" i="24"/>
  <c r="O297" i="24"/>
  <c r="L298" i="24"/>
  <c r="L345" i="24"/>
  <c r="M519" i="24"/>
  <c r="N519" i="24"/>
  <c r="O519" i="24"/>
  <c r="N489" i="24"/>
  <c r="J94" i="25"/>
  <c r="K97" i="23"/>
  <c r="O513" i="22"/>
  <c r="I22" i="25"/>
  <c r="N114" i="24"/>
  <c r="M830" i="24"/>
  <c r="M877" i="24"/>
  <c r="M920" i="24"/>
  <c r="W59" i="18"/>
  <c r="V59" i="18"/>
  <c r="M194" i="24"/>
  <c r="N193" i="24"/>
  <c r="O193" i="24"/>
  <c r="N622" i="22"/>
  <c r="J119" i="23"/>
  <c r="M652" i="22"/>
  <c r="N652" i="22"/>
  <c r="O652" i="22"/>
  <c r="I932" i="24"/>
  <c r="I928" i="24"/>
  <c r="O593" i="22"/>
  <c r="K113" i="23"/>
  <c r="N829" i="24"/>
  <c r="O829" i="24"/>
  <c r="N40" i="22"/>
  <c r="O40" i="22"/>
  <c r="L41" i="22"/>
  <c r="I45" i="23"/>
  <c r="N232" i="22"/>
  <c r="E63" i="25"/>
  <c r="G63" i="25"/>
  <c r="E88" i="25"/>
  <c r="M88" i="25"/>
  <c r="O88" i="25"/>
  <c r="P88" i="25"/>
  <c r="N519" i="22"/>
  <c r="O519" i="22"/>
  <c r="R459" i="24"/>
  <c r="R459" i="22"/>
  <c r="I75" i="23"/>
  <c r="N785" i="24"/>
  <c r="O785" i="24"/>
  <c r="F13" i="23"/>
  <c r="F138" i="23"/>
  <c r="F13" i="25"/>
  <c r="N13" i="25"/>
  <c r="E147" i="23"/>
  <c r="G147" i="23"/>
  <c r="F140" i="25"/>
  <c r="F91" i="25"/>
  <c r="O64" i="25"/>
  <c r="P64" i="25"/>
  <c r="N140" i="25"/>
  <c r="O40" i="23"/>
  <c r="P40" i="23"/>
  <c r="F140" i="23"/>
  <c r="M137" i="23"/>
  <c r="E110" i="25"/>
  <c r="M110" i="25"/>
  <c r="O110" i="25"/>
  <c r="P110" i="25"/>
  <c r="E110" i="23"/>
  <c r="R592" i="22"/>
  <c r="E119" i="25"/>
  <c r="M119" i="25"/>
  <c r="O119" i="25"/>
  <c r="P119" i="25"/>
  <c r="E119" i="23"/>
  <c r="M119" i="23"/>
  <c r="E140" i="25"/>
  <c r="R621" i="22"/>
  <c r="R621" i="24"/>
  <c r="E139" i="25"/>
  <c r="G139" i="25"/>
  <c r="F91" i="23"/>
  <c r="R407" i="22"/>
  <c r="G83" i="23"/>
  <c r="R407" i="24"/>
  <c r="G83" i="25"/>
  <c r="O71" i="23"/>
  <c r="P71" i="23"/>
  <c r="G137" i="25"/>
  <c r="G137" i="23"/>
  <c r="E44" i="23"/>
  <c r="M44" i="23"/>
  <c r="E44" i="25"/>
  <c r="M44" i="25"/>
  <c r="R218" i="24"/>
  <c r="F66" i="25"/>
  <c r="F77" i="25"/>
  <c r="R286" i="22"/>
  <c r="F46" i="25"/>
  <c r="N46" i="25"/>
  <c r="O46" i="25"/>
  <c r="P46" i="25"/>
  <c r="F46" i="23"/>
  <c r="N46" i="23"/>
  <c r="E139" i="23"/>
  <c r="G139" i="23"/>
  <c r="R153" i="22"/>
  <c r="R153" i="24"/>
  <c r="G40" i="23"/>
  <c r="G40" i="25"/>
  <c r="G20" i="23"/>
  <c r="G20" i="25"/>
  <c r="R186" i="22"/>
  <c r="R186" i="24"/>
  <c r="G39" i="23"/>
  <c r="G39" i="25"/>
  <c r="G122" i="23"/>
  <c r="G122" i="25"/>
  <c r="M47" i="25"/>
  <c r="O47" i="25"/>
  <c r="P47" i="25"/>
  <c r="E147" i="25"/>
  <c r="G147" i="25"/>
  <c r="R546" i="22"/>
  <c r="G47" i="25"/>
  <c r="G47" i="23"/>
  <c r="R36" i="24"/>
  <c r="R36" i="22"/>
  <c r="E38" i="23"/>
  <c r="M140" i="25"/>
  <c r="E109" i="25"/>
  <c r="E140" i="23"/>
  <c r="R552" i="22"/>
  <c r="O40" i="25"/>
  <c r="P40" i="25"/>
  <c r="M47" i="23"/>
  <c r="O47" i="23"/>
  <c r="P47" i="23"/>
  <c r="R40" i="22"/>
  <c r="E11" i="23"/>
  <c r="E11" i="25"/>
  <c r="M11" i="25"/>
  <c r="M39" i="25"/>
  <c r="O39" i="25"/>
  <c r="P39" i="25"/>
  <c r="O90" i="25"/>
  <c r="P90" i="25"/>
  <c r="N91" i="23"/>
  <c r="M137" i="25"/>
  <c r="O12" i="25"/>
  <c r="P12" i="25"/>
  <c r="G89" i="23"/>
  <c r="G89" i="25"/>
  <c r="R14" i="22"/>
  <c r="R14" i="24"/>
  <c r="F8" i="23"/>
  <c r="F8" i="25"/>
  <c r="R280" i="24"/>
  <c r="G65" i="23"/>
  <c r="G65" i="25"/>
  <c r="E9" i="25"/>
  <c r="E9" i="23"/>
  <c r="M9" i="23"/>
  <c r="M133" i="23"/>
  <c r="N297" i="22"/>
  <c r="L298" i="22"/>
  <c r="N764" i="22"/>
  <c r="O764" i="22"/>
  <c r="M785" i="22"/>
  <c r="O33" i="25"/>
  <c r="M95" i="23"/>
  <c r="E100" i="23"/>
  <c r="N61" i="23"/>
  <c r="J66" i="23"/>
  <c r="M65" i="23"/>
  <c r="I140" i="23"/>
  <c r="K140" i="23"/>
  <c r="L529" i="24"/>
  <c r="R419" i="22"/>
  <c r="R419" i="24"/>
  <c r="K22" i="23"/>
  <c r="O114" i="22"/>
  <c r="P223" i="3"/>
  <c r="C39" i="5"/>
  <c r="I39" i="5"/>
  <c r="L39" i="5"/>
  <c r="R85" i="22"/>
  <c r="O85" i="22"/>
  <c r="J71" i="25"/>
  <c r="M386" i="24"/>
  <c r="N386" i="24"/>
  <c r="O386" i="24"/>
  <c r="N374" i="24"/>
  <c r="P37" i="23"/>
  <c r="G877" i="24"/>
  <c r="G920" i="24"/>
  <c r="G928" i="24"/>
  <c r="G36" i="25"/>
  <c r="G36" i="23"/>
  <c r="F66" i="23"/>
  <c r="N59" i="23"/>
  <c r="O572" i="22"/>
  <c r="M133" i="25"/>
  <c r="N36" i="23"/>
  <c r="J136" i="23"/>
  <c r="J41" i="23"/>
  <c r="O154" i="22"/>
  <c r="K34" i="23"/>
  <c r="I932" i="22"/>
  <c r="I928" i="22"/>
  <c r="E88" i="23"/>
  <c r="M88" i="23"/>
  <c r="O88" i="23"/>
  <c r="P88" i="23"/>
  <c r="L830" i="22"/>
  <c r="N830" i="22"/>
  <c r="O830" i="22"/>
  <c r="N824" i="22"/>
  <c r="O824" i="22"/>
  <c r="O148" i="25"/>
  <c r="P148" i="25"/>
  <c r="P23" i="25"/>
  <c r="O26" i="24"/>
  <c r="R26" i="24"/>
  <c r="M96" i="23"/>
  <c r="I100" i="23"/>
  <c r="P118" i="23"/>
  <c r="O143" i="23"/>
  <c r="M95" i="25"/>
  <c r="E100" i="25"/>
  <c r="N478" i="24"/>
  <c r="O478" i="24"/>
  <c r="P118" i="25"/>
  <c r="O143" i="25"/>
  <c r="M36" i="23"/>
  <c r="Q225" i="3"/>
  <c r="D62" i="5"/>
  <c r="J62" i="5"/>
  <c r="M62" i="5"/>
  <c r="L787" i="22"/>
  <c r="N744" i="22"/>
  <c r="O744" i="22"/>
  <c r="W18" i="18"/>
  <c r="V18" i="18"/>
  <c r="F9" i="25"/>
  <c r="F9" i="23"/>
  <c r="G877" i="22"/>
  <c r="G920" i="22"/>
  <c r="G928" i="22"/>
  <c r="K35" i="25"/>
  <c r="O165" i="24"/>
  <c r="L564" i="22"/>
  <c r="N558" i="22"/>
  <c r="J66" i="25"/>
  <c r="N59" i="25"/>
  <c r="P83" i="23"/>
  <c r="M61" i="23"/>
  <c r="L912" i="22"/>
  <c r="N912" i="22"/>
  <c r="O912" i="22"/>
  <c r="K110" i="25"/>
  <c r="O564" i="24"/>
  <c r="F96" i="25"/>
  <c r="N96" i="25"/>
  <c r="O96" i="25"/>
  <c r="P96" i="25"/>
  <c r="F96" i="23"/>
  <c r="N96" i="23"/>
  <c r="F45" i="25"/>
  <c r="F45" i="23"/>
  <c r="R452" i="22"/>
  <c r="O365" i="22"/>
  <c r="K70" i="23"/>
  <c r="O41" i="24"/>
  <c r="K11" i="25"/>
  <c r="O85" i="24"/>
  <c r="R85" i="24"/>
  <c r="K34" i="25"/>
  <c r="O154" i="24"/>
  <c r="N888" i="22"/>
  <c r="O888" i="22"/>
  <c r="L819" i="24"/>
  <c r="N812" i="24"/>
  <c r="O812" i="24"/>
  <c r="O90" i="23"/>
  <c r="P90" i="23"/>
  <c r="N140" i="23"/>
  <c r="O206" i="24"/>
  <c r="K39" i="25"/>
  <c r="O20" i="25"/>
  <c r="L79" i="24"/>
  <c r="N21" i="24"/>
  <c r="I9" i="25"/>
  <c r="V162" i="18"/>
  <c r="W162" i="18"/>
  <c r="J147" i="23"/>
  <c r="N22" i="23"/>
  <c r="N147" i="23"/>
  <c r="O425" i="22"/>
  <c r="R425" i="22"/>
  <c r="R20" i="22"/>
  <c r="S228" i="18"/>
  <c r="AA142" i="18"/>
  <c r="AB142" i="18"/>
  <c r="AD142" i="18"/>
  <c r="O287" i="24"/>
  <c r="K59" i="25"/>
  <c r="T226" i="18"/>
  <c r="T221" i="3"/>
  <c r="E61" i="5"/>
  <c r="K61" i="5"/>
  <c r="N61" i="5"/>
  <c r="E21" i="25"/>
  <c r="M21" i="25"/>
  <c r="E21" i="23"/>
  <c r="G61" i="23"/>
  <c r="G61" i="25"/>
  <c r="U31" i="18"/>
  <c r="V31" i="18"/>
  <c r="O307" i="22"/>
  <c r="K61" i="23"/>
  <c r="O440" i="24"/>
  <c r="K86" i="25"/>
  <c r="N120" i="23"/>
  <c r="L90" i="24"/>
  <c r="O319" i="24"/>
  <c r="R319" i="24"/>
  <c r="O58" i="25"/>
  <c r="O20" i="24"/>
  <c r="R20" i="24"/>
  <c r="G69" i="25"/>
  <c r="G69" i="23"/>
  <c r="I45" i="25"/>
  <c r="N232" i="24"/>
  <c r="L253" i="24"/>
  <c r="N253" i="24"/>
  <c r="O253" i="24"/>
  <c r="N95" i="23"/>
  <c r="J100" i="23"/>
  <c r="J102" i="23"/>
  <c r="I85" i="23"/>
  <c r="L478" i="22"/>
  <c r="N431" i="22"/>
  <c r="N386" i="22"/>
  <c r="O386" i="22"/>
  <c r="R430" i="24"/>
  <c r="R430" i="22"/>
  <c r="F75" i="23"/>
  <c r="W31" i="18"/>
  <c r="O326" i="24"/>
  <c r="R326" i="24"/>
  <c r="N120" i="25"/>
  <c r="M36" i="25"/>
  <c r="O174" i="22"/>
  <c r="K36" i="23"/>
  <c r="I19" i="23"/>
  <c r="L120" i="22"/>
  <c r="N90" i="22"/>
  <c r="N193" i="22"/>
  <c r="L194" i="22"/>
  <c r="J75" i="23"/>
  <c r="N70" i="23"/>
  <c r="O70" i="23"/>
  <c r="P70" i="23"/>
  <c r="J145" i="23"/>
  <c r="I136" i="25"/>
  <c r="M139" i="23"/>
  <c r="O14" i="23"/>
  <c r="G10" i="23"/>
  <c r="G10" i="25"/>
  <c r="I41" i="25"/>
  <c r="T52" i="3"/>
  <c r="E18" i="5"/>
  <c r="K18" i="5"/>
  <c r="N18" i="5"/>
  <c r="R136" i="3"/>
  <c r="U52" i="3"/>
  <c r="I63" i="25"/>
  <c r="N327" i="24"/>
  <c r="K21" i="25"/>
  <c r="O108" i="24"/>
  <c r="L839" i="22"/>
  <c r="N839" i="22"/>
  <c r="O839" i="22"/>
  <c r="N834" i="22"/>
  <c r="O834" i="22"/>
  <c r="W64" i="18"/>
  <c r="V64" i="18"/>
  <c r="R231" i="24"/>
  <c r="M122" i="22"/>
  <c r="M130" i="22"/>
  <c r="K95" i="23"/>
  <c r="O498" i="22"/>
  <c r="F19" i="23"/>
  <c r="F19" i="25"/>
  <c r="O73" i="24"/>
  <c r="K14" i="25"/>
  <c r="M61" i="25"/>
  <c r="O61" i="25"/>
  <c r="P61" i="25"/>
  <c r="N86" i="25"/>
  <c r="J91" i="25"/>
  <c r="P20" i="23"/>
  <c r="N897" i="22"/>
  <c r="O897" i="22"/>
  <c r="M918" i="22"/>
  <c r="I109" i="25"/>
  <c r="L611" i="24"/>
  <c r="N553" i="24"/>
  <c r="O87" i="25"/>
  <c r="N137" i="25"/>
  <c r="O280" i="22"/>
  <c r="R280" i="22"/>
  <c r="E120" i="25"/>
  <c r="E145" i="25"/>
  <c r="E120" i="23"/>
  <c r="E145" i="23"/>
  <c r="K133" i="25"/>
  <c r="L819" i="22"/>
  <c r="I146" i="25"/>
  <c r="F35" i="25"/>
  <c r="N35" i="25"/>
  <c r="F35" i="23"/>
  <c r="N35" i="23"/>
  <c r="E75" i="25"/>
  <c r="M69" i="25"/>
  <c r="O87" i="23"/>
  <c r="P87" i="23"/>
  <c r="N137" i="23"/>
  <c r="L573" i="22"/>
  <c r="N568" i="22"/>
  <c r="J138" i="23"/>
  <c r="J16" i="23"/>
  <c r="I139" i="25"/>
  <c r="K139" i="25"/>
  <c r="M14" i="25"/>
  <c r="O380" i="22"/>
  <c r="K72" i="23"/>
  <c r="R425" i="24"/>
  <c r="R484" i="22"/>
  <c r="R484" i="24"/>
  <c r="I91" i="25"/>
  <c r="I102" i="25"/>
  <c r="I13" i="25"/>
  <c r="N61" i="24"/>
  <c r="O319" i="22"/>
  <c r="R319" i="22"/>
  <c r="O89" i="24"/>
  <c r="R89" i="24"/>
  <c r="I10" i="25"/>
  <c r="R231" i="22"/>
  <c r="P49" i="25"/>
  <c r="O149" i="25"/>
  <c r="P149" i="25"/>
  <c r="I59" i="23"/>
  <c r="I134" i="23"/>
  <c r="N287" i="22"/>
  <c r="K88" i="25"/>
  <c r="O460" i="24"/>
  <c r="L888" i="24"/>
  <c r="R630" i="24"/>
  <c r="R630" i="22"/>
  <c r="K88" i="23"/>
  <c r="O460" i="22"/>
  <c r="N38" i="23"/>
  <c r="E75" i="23"/>
  <c r="M69" i="23"/>
  <c r="K13" i="23"/>
  <c r="O61" i="22"/>
  <c r="G71" i="25"/>
  <c r="G71" i="23"/>
  <c r="N241" i="22"/>
  <c r="I46" i="23"/>
  <c r="L253" i="22"/>
  <c r="K96" i="23"/>
  <c r="O507" i="22"/>
  <c r="Z230" i="18"/>
  <c r="X230" i="18"/>
  <c r="S240" i="18"/>
  <c r="S238" i="18"/>
  <c r="L859" i="22"/>
  <c r="N859" i="22"/>
  <c r="O859" i="22"/>
  <c r="P49" i="23"/>
  <c r="O149" i="23"/>
  <c r="P149" i="23"/>
  <c r="O53" i="24"/>
  <c r="R53" i="24"/>
  <c r="N10" i="23"/>
  <c r="O10" i="23"/>
  <c r="G95" i="25"/>
  <c r="G95" i="23"/>
  <c r="M388" i="22"/>
  <c r="M396" i="22"/>
  <c r="K65" i="23"/>
  <c r="O343" i="22"/>
  <c r="I63" i="23"/>
  <c r="M63" i="23"/>
  <c r="O63" i="23"/>
  <c r="P63" i="23"/>
  <c r="N327" i="22"/>
  <c r="E84" i="23"/>
  <c r="E84" i="25"/>
  <c r="I147" i="23"/>
  <c r="M22" i="23"/>
  <c r="R297" i="24"/>
  <c r="N13" i="23"/>
  <c r="O546" i="24"/>
  <c r="M920" i="22"/>
  <c r="M928" i="22"/>
  <c r="N744" i="24"/>
  <c r="O744" i="24"/>
  <c r="R193" i="24"/>
  <c r="M521" i="24"/>
  <c r="M928" i="24"/>
  <c r="K932" i="24"/>
  <c r="R222" i="24"/>
  <c r="R222" i="22"/>
  <c r="J36" i="25"/>
  <c r="N174" i="24"/>
  <c r="O173" i="24"/>
  <c r="R173" i="24"/>
  <c r="J44" i="23"/>
  <c r="N223" i="22"/>
  <c r="M253" i="22"/>
  <c r="M255" i="22"/>
  <c r="M263" i="22"/>
  <c r="F44" i="23"/>
  <c r="F50" i="23"/>
  <c r="F44" i="25"/>
  <c r="N44" i="25"/>
  <c r="O44" i="25"/>
  <c r="U86" i="3"/>
  <c r="T86" i="3"/>
  <c r="J125" i="23"/>
  <c r="J127" i="23"/>
  <c r="N119" i="23"/>
  <c r="O119" i="23"/>
  <c r="P119" i="23"/>
  <c r="I147" i="25"/>
  <c r="K147" i="25"/>
  <c r="M22" i="25"/>
  <c r="O22" i="25"/>
  <c r="P22" i="25"/>
  <c r="N830" i="24"/>
  <c r="O830" i="24"/>
  <c r="J100" i="25"/>
  <c r="J102" i="25"/>
  <c r="J144" i="25"/>
  <c r="I60" i="25"/>
  <c r="I135" i="25"/>
  <c r="N298" i="24"/>
  <c r="J10" i="25"/>
  <c r="M79" i="24"/>
  <c r="M122" i="24"/>
  <c r="M130" i="24"/>
  <c r="K45" i="23"/>
  <c r="O232" i="22"/>
  <c r="O622" i="22"/>
  <c r="K119" i="23"/>
  <c r="K125" i="23"/>
  <c r="M654" i="22"/>
  <c r="M662" i="22"/>
  <c r="K94" i="25"/>
  <c r="K100" i="25"/>
  <c r="O489" i="24"/>
  <c r="M45" i="23"/>
  <c r="I145" i="23"/>
  <c r="K145" i="23"/>
  <c r="I11" i="23"/>
  <c r="I16" i="23"/>
  <c r="N41" i="22"/>
  <c r="L79" i="22"/>
  <c r="N79" i="22"/>
  <c r="O79" i="22"/>
  <c r="J38" i="25"/>
  <c r="N194" i="24"/>
  <c r="M212" i="24"/>
  <c r="O114" i="24"/>
  <c r="K22" i="25"/>
  <c r="E109" i="23"/>
  <c r="M109" i="23"/>
  <c r="O109" i="23"/>
  <c r="P109" i="23"/>
  <c r="R286" i="24"/>
  <c r="K147" i="23"/>
  <c r="R592" i="24"/>
  <c r="E113" i="25"/>
  <c r="M113" i="25"/>
  <c r="O113" i="25"/>
  <c r="P113" i="25"/>
  <c r="K91" i="25"/>
  <c r="K75" i="23"/>
  <c r="L918" i="22"/>
  <c r="N918" i="22"/>
  <c r="O918" i="22"/>
  <c r="M388" i="24"/>
  <c r="M396" i="24"/>
  <c r="J27" i="23"/>
  <c r="F138" i="25"/>
  <c r="R53" i="22"/>
  <c r="G140" i="25"/>
  <c r="G140" i="23"/>
  <c r="F135" i="25"/>
  <c r="F135" i="23"/>
  <c r="E50" i="25"/>
  <c r="E144" i="25"/>
  <c r="G110" i="23"/>
  <c r="G110" i="25"/>
  <c r="G119" i="23"/>
  <c r="G119" i="25"/>
  <c r="E144" i="23"/>
  <c r="E50" i="23"/>
  <c r="O61" i="23"/>
  <c r="P61" i="23"/>
  <c r="G46" i="25"/>
  <c r="G46" i="23"/>
  <c r="G38" i="25"/>
  <c r="G38" i="23"/>
  <c r="G8" i="25"/>
  <c r="R8" i="24"/>
  <c r="G8" i="23"/>
  <c r="R8" i="22"/>
  <c r="G109" i="23"/>
  <c r="G109" i="25"/>
  <c r="O140" i="25"/>
  <c r="P140" i="25"/>
  <c r="N8" i="23"/>
  <c r="F133" i="23"/>
  <c r="G133" i="23"/>
  <c r="G11" i="25"/>
  <c r="G11" i="23"/>
  <c r="R585" i="22"/>
  <c r="R585" i="24"/>
  <c r="F133" i="25"/>
  <c r="G133" i="25"/>
  <c r="N8" i="25"/>
  <c r="E111" i="25"/>
  <c r="E111" i="23"/>
  <c r="R292" i="24"/>
  <c r="R292" i="22"/>
  <c r="N75" i="23"/>
  <c r="R568" i="24"/>
  <c r="E34" i="23"/>
  <c r="E34" i="25"/>
  <c r="E60" i="23"/>
  <c r="E60" i="25"/>
  <c r="F121" i="25"/>
  <c r="F146" i="25"/>
  <c r="F121" i="23"/>
  <c r="E113" i="23"/>
  <c r="M113" i="23"/>
  <c r="O113" i="23"/>
  <c r="P113" i="23"/>
  <c r="E59" i="25"/>
  <c r="E59" i="23"/>
  <c r="K134" i="23"/>
  <c r="M84" i="23"/>
  <c r="O241" i="22"/>
  <c r="K46" i="23"/>
  <c r="M10" i="25"/>
  <c r="O22" i="23"/>
  <c r="M147" i="23"/>
  <c r="K13" i="25"/>
  <c r="O61" i="24"/>
  <c r="L877" i="22"/>
  <c r="N819" i="22"/>
  <c r="O819" i="22"/>
  <c r="L654" i="24"/>
  <c r="N611" i="24"/>
  <c r="O611" i="24"/>
  <c r="M63" i="25"/>
  <c r="O193" i="22"/>
  <c r="R193" i="22"/>
  <c r="I144" i="23"/>
  <c r="I25" i="23"/>
  <c r="M19" i="23"/>
  <c r="O232" i="24"/>
  <c r="K45" i="25"/>
  <c r="K50" i="25"/>
  <c r="K9" i="25"/>
  <c r="O21" i="24"/>
  <c r="G96" i="25"/>
  <c r="G96" i="23"/>
  <c r="G9" i="23"/>
  <c r="G9" i="25"/>
  <c r="G88" i="25"/>
  <c r="G88" i="23"/>
  <c r="G45" i="25"/>
  <c r="G45" i="23"/>
  <c r="O327" i="22"/>
  <c r="K63" i="23"/>
  <c r="O11" i="25"/>
  <c r="L255" i="24"/>
  <c r="AD228" i="18"/>
  <c r="AA228" i="18"/>
  <c r="AB228" i="18"/>
  <c r="S230" i="18"/>
  <c r="F145" i="23"/>
  <c r="G145" i="23"/>
  <c r="N45" i="23"/>
  <c r="I110" i="23"/>
  <c r="N564" i="22"/>
  <c r="L611" i="22"/>
  <c r="N9" i="23"/>
  <c r="F16" i="23"/>
  <c r="P143" i="25"/>
  <c r="O96" i="23"/>
  <c r="P96" i="23"/>
  <c r="R60" i="22"/>
  <c r="R60" i="24"/>
  <c r="E86" i="23"/>
  <c r="E86" i="25"/>
  <c r="P33" i="25"/>
  <c r="O297" i="22"/>
  <c r="R297" i="22"/>
  <c r="N819" i="24"/>
  <c r="O819" i="24"/>
  <c r="L877" i="24"/>
  <c r="O558" i="22"/>
  <c r="R558" i="22"/>
  <c r="O374" i="24"/>
  <c r="K71" i="25"/>
  <c r="K75" i="25"/>
  <c r="M120" i="23"/>
  <c r="E125" i="23"/>
  <c r="K100" i="23"/>
  <c r="N135" i="23"/>
  <c r="N138" i="23"/>
  <c r="E125" i="25"/>
  <c r="M120" i="25"/>
  <c r="G19" i="23"/>
  <c r="G19" i="25"/>
  <c r="G21" i="25"/>
  <c r="G21" i="23"/>
  <c r="F145" i="25"/>
  <c r="G145" i="25"/>
  <c r="N45" i="25"/>
  <c r="N145" i="25"/>
  <c r="N9" i="25"/>
  <c r="F16" i="25"/>
  <c r="L795" i="22"/>
  <c r="O95" i="25"/>
  <c r="P95" i="25"/>
  <c r="M100" i="25"/>
  <c r="N66" i="23"/>
  <c r="R439" i="22"/>
  <c r="R439" i="24"/>
  <c r="N71" i="25"/>
  <c r="J75" i="25"/>
  <c r="J77" i="25"/>
  <c r="J146" i="25"/>
  <c r="P225" i="3"/>
  <c r="Q231" i="18"/>
  <c r="Q232" i="18"/>
  <c r="C62" i="5"/>
  <c r="G120" i="25"/>
  <c r="G120" i="23"/>
  <c r="I116" i="25"/>
  <c r="I127" i="25"/>
  <c r="M109" i="25"/>
  <c r="I60" i="23"/>
  <c r="I66" i="23"/>
  <c r="I77" i="23"/>
  <c r="N298" i="22"/>
  <c r="O568" i="22"/>
  <c r="R568" i="22"/>
  <c r="O21" i="25"/>
  <c r="M146" i="25"/>
  <c r="E85" i="23"/>
  <c r="E85" i="25"/>
  <c r="F25" i="25"/>
  <c r="N19" i="25"/>
  <c r="E39" i="5"/>
  <c r="K39" i="5"/>
  <c r="N39" i="5"/>
  <c r="T136" i="3"/>
  <c r="R223" i="3"/>
  <c r="T142" i="18"/>
  <c r="U136" i="3"/>
  <c r="P14" i="23"/>
  <c r="O139" i="23"/>
  <c r="P139" i="23"/>
  <c r="O431" i="22"/>
  <c r="K85" i="23"/>
  <c r="K91" i="23"/>
  <c r="N91" i="25"/>
  <c r="G75" i="23"/>
  <c r="L120" i="24"/>
  <c r="N120" i="24"/>
  <c r="O120" i="24"/>
  <c r="I19" i="25"/>
  <c r="N90" i="24"/>
  <c r="M21" i="23"/>
  <c r="E146" i="23"/>
  <c r="E25" i="23"/>
  <c r="F77" i="23"/>
  <c r="O137" i="23"/>
  <c r="P137" i="23"/>
  <c r="O65" i="23"/>
  <c r="M140" i="23"/>
  <c r="M45" i="25"/>
  <c r="I50" i="25"/>
  <c r="I52" i="25"/>
  <c r="I145" i="25"/>
  <c r="K145" i="25"/>
  <c r="O69" i="23"/>
  <c r="M75" i="23"/>
  <c r="L345" i="22"/>
  <c r="G84" i="25"/>
  <c r="G84" i="23"/>
  <c r="O147" i="25"/>
  <c r="P147" i="25"/>
  <c r="K59" i="23"/>
  <c r="O287" i="22"/>
  <c r="O14" i="25"/>
  <c r="M139" i="25"/>
  <c r="N573" i="22"/>
  <c r="I111" i="23"/>
  <c r="N19" i="23"/>
  <c r="F25" i="23"/>
  <c r="L521" i="22"/>
  <c r="N478" i="22"/>
  <c r="O478" i="22"/>
  <c r="G75" i="25"/>
  <c r="P58" i="25"/>
  <c r="E146" i="25"/>
  <c r="E25" i="25"/>
  <c r="P20" i="25"/>
  <c r="R147" i="22"/>
  <c r="R147" i="24"/>
  <c r="J77" i="23"/>
  <c r="I138" i="25"/>
  <c r="O69" i="25"/>
  <c r="M75" i="25"/>
  <c r="P143" i="23"/>
  <c r="O95" i="23"/>
  <c r="P95" i="23"/>
  <c r="M100" i="23"/>
  <c r="N888" i="24"/>
  <c r="O888" i="24"/>
  <c r="L918" i="24"/>
  <c r="N918" i="24"/>
  <c r="O918" i="24"/>
  <c r="O32" i="24"/>
  <c r="K10" i="25"/>
  <c r="N787" i="24"/>
  <c r="O787" i="24"/>
  <c r="L795" i="24"/>
  <c r="N795" i="24"/>
  <c r="O795" i="24"/>
  <c r="N345" i="24"/>
  <c r="O345" i="24"/>
  <c r="L388" i="24"/>
  <c r="O90" i="22"/>
  <c r="K19" i="23"/>
  <c r="K25" i="23"/>
  <c r="I91" i="23"/>
  <c r="I102" i="23"/>
  <c r="AC226" i="18"/>
  <c r="Y226" i="18"/>
  <c r="U226" i="18"/>
  <c r="F34" i="23"/>
  <c r="F34" i="25"/>
  <c r="F134" i="25"/>
  <c r="J141" i="23"/>
  <c r="P87" i="25"/>
  <c r="O137" i="25"/>
  <c r="P137" i="25"/>
  <c r="E13" i="25"/>
  <c r="M13" i="25"/>
  <c r="E13" i="23"/>
  <c r="M787" i="22"/>
  <c r="M795" i="22"/>
  <c r="N785" i="22"/>
  <c r="O785" i="22"/>
  <c r="M84" i="25"/>
  <c r="I146" i="23"/>
  <c r="K146" i="23"/>
  <c r="M46" i="23"/>
  <c r="I50" i="23"/>
  <c r="O553" i="24"/>
  <c r="K109" i="25"/>
  <c r="K116" i="25"/>
  <c r="K127" i="25"/>
  <c r="K63" i="25"/>
  <c r="O327" i="24"/>
  <c r="N194" i="22"/>
  <c r="I38" i="23"/>
  <c r="L212" i="22"/>
  <c r="N120" i="22"/>
  <c r="O120" i="22"/>
  <c r="P10" i="23"/>
  <c r="I134" i="25"/>
  <c r="I16" i="25"/>
  <c r="M9" i="25"/>
  <c r="N66" i="25"/>
  <c r="O36" i="23"/>
  <c r="P36" i="23"/>
  <c r="M145" i="23"/>
  <c r="J150" i="25"/>
  <c r="M60" i="25"/>
  <c r="O60" i="25"/>
  <c r="P60" i="25"/>
  <c r="M529" i="24"/>
  <c r="N529" i="24"/>
  <c r="O529" i="24"/>
  <c r="N521" i="24"/>
  <c r="O521" i="24"/>
  <c r="N79" i="24"/>
  <c r="O79" i="24"/>
  <c r="F50" i="25"/>
  <c r="I66" i="25"/>
  <c r="I77" i="25"/>
  <c r="I27" i="23"/>
  <c r="M147" i="25"/>
  <c r="F111" i="25"/>
  <c r="F111" i="23"/>
  <c r="K36" i="25"/>
  <c r="O174" i="24"/>
  <c r="G44" i="25"/>
  <c r="G50" i="25"/>
  <c r="G44" i="23"/>
  <c r="G50" i="23"/>
  <c r="K44" i="23"/>
  <c r="K50" i="23"/>
  <c r="O223" i="22"/>
  <c r="N253" i="22"/>
  <c r="O253" i="22"/>
  <c r="N36" i="25"/>
  <c r="J136" i="25"/>
  <c r="K136" i="25"/>
  <c r="J144" i="23"/>
  <c r="J150" i="23"/>
  <c r="J152" i="23"/>
  <c r="J50" i="23"/>
  <c r="J52" i="23"/>
  <c r="N44" i="23"/>
  <c r="O44" i="23"/>
  <c r="P44" i="23"/>
  <c r="R572" i="22"/>
  <c r="R572" i="24"/>
  <c r="M255" i="24"/>
  <c r="M263" i="24"/>
  <c r="N212" i="24"/>
  <c r="O212" i="24"/>
  <c r="K11" i="23"/>
  <c r="K16" i="23"/>
  <c r="K27" i="23"/>
  <c r="O41" i="22"/>
  <c r="O298" i="24"/>
  <c r="K60" i="25"/>
  <c r="K66" i="25"/>
  <c r="K77" i="25"/>
  <c r="J16" i="25"/>
  <c r="J27" i="25"/>
  <c r="J135" i="25"/>
  <c r="N10" i="25"/>
  <c r="N135" i="25"/>
  <c r="L122" i="22"/>
  <c r="N122" i="22"/>
  <c r="O122" i="22"/>
  <c r="O194" i="24"/>
  <c r="K38" i="25"/>
  <c r="K102" i="25"/>
  <c r="J138" i="25"/>
  <c r="K138" i="25"/>
  <c r="N38" i="25"/>
  <c r="J41" i="25"/>
  <c r="J52" i="25"/>
  <c r="M11" i="23"/>
  <c r="O11" i="23"/>
  <c r="P11" i="23"/>
  <c r="K146" i="25"/>
  <c r="K102" i="23"/>
  <c r="E91" i="25"/>
  <c r="E102" i="25"/>
  <c r="E66" i="23"/>
  <c r="E77" i="23"/>
  <c r="N77" i="23"/>
  <c r="M59" i="23"/>
  <c r="O59" i="23"/>
  <c r="E35" i="25"/>
  <c r="M35" i="25"/>
  <c r="O35" i="25"/>
  <c r="P35" i="25"/>
  <c r="E35" i="23"/>
  <c r="M35" i="23"/>
  <c r="O35" i="23"/>
  <c r="P35" i="23"/>
  <c r="R164" i="24"/>
  <c r="R164" i="22"/>
  <c r="G146" i="25"/>
  <c r="F27" i="25"/>
  <c r="O8" i="23"/>
  <c r="N133" i="23"/>
  <c r="M34" i="23"/>
  <c r="G113" i="23"/>
  <c r="G113" i="25"/>
  <c r="G121" i="25"/>
  <c r="G125" i="25"/>
  <c r="G121" i="23"/>
  <c r="G125" i="23"/>
  <c r="G111" i="25"/>
  <c r="G111" i="23"/>
  <c r="M85" i="23"/>
  <c r="O85" i="23"/>
  <c r="P85" i="23"/>
  <c r="G59" i="25"/>
  <c r="G59" i="23"/>
  <c r="N121" i="23"/>
  <c r="F146" i="23"/>
  <c r="G146" i="23"/>
  <c r="F125" i="23"/>
  <c r="E116" i="23"/>
  <c r="E127" i="23"/>
  <c r="M59" i="25"/>
  <c r="O59" i="25"/>
  <c r="P59" i="25"/>
  <c r="E66" i="25"/>
  <c r="E77" i="25"/>
  <c r="M34" i="25"/>
  <c r="E134" i="25"/>
  <c r="G134" i="25"/>
  <c r="G25" i="23"/>
  <c r="E134" i="23"/>
  <c r="N121" i="25"/>
  <c r="F125" i="25"/>
  <c r="G60" i="23"/>
  <c r="G60" i="25"/>
  <c r="M111" i="25"/>
  <c r="E116" i="25"/>
  <c r="E127" i="25"/>
  <c r="O8" i="25"/>
  <c r="N133" i="25"/>
  <c r="F41" i="23"/>
  <c r="F52" i="23"/>
  <c r="N34" i="23"/>
  <c r="N25" i="25"/>
  <c r="Q234" i="18"/>
  <c r="O120" i="25"/>
  <c r="M125" i="25"/>
  <c r="G86" i="23"/>
  <c r="G86" i="25"/>
  <c r="F27" i="23"/>
  <c r="F94" i="23"/>
  <c r="F94" i="25"/>
  <c r="O19" i="23"/>
  <c r="M25" i="23"/>
  <c r="M144" i="23"/>
  <c r="N877" i="22"/>
  <c r="O877" i="22"/>
  <c r="L920" i="22"/>
  <c r="O84" i="23"/>
  <c r="O46" i="23"/>
  <c r="P46" i="23"/>
  <c r="M50" i="23"/>
  <c r="O45" i="25"/>
  <c r="O50" i="25"/>
  <c r="P50" i="25"/>
  <c r="M50" i="25"/>
  <c r="M145" i="25"/>
  <c r="G25" i="25"/>
  <c r="M86" i="23"/>
  <c r="E136" i="23"/>
  <c r="O9" i="23"/>
  <c r="N16" i="23"/>
  <c r="R488" i="24"/>
  <c r="R488" i="22"/>
  <c r="K932" i="22"/>
  <c r="O147" i="23"/>
  <c r="P147" i="23"/>
  <c r="P22" i="23"/>
  <c r="E91" i="23"/>
  <c r="E102" i="23"/>
  <c r="O9" i="25"/>
  <c r="M16" i="25"/>
  <c r="N787" i="22"/>
  <c r="O787" i="22"/>
  <c r="O120" i="23"/>
  <c r="M125" i="23"/>
  <c r="P44" i="25"/>
  <c r="F134" i="23"/>
  <c r="I150" i="23"/>
  <c r="L388" i="22"/>
  <c r="N345" i="22"/>
  <c r="O345" i="22"/>
  <c r="L255" i="22"/>
  <c r="N212" i="22"/>
  <c r="O212" i="22"/>
  <c r="G34" i="25"/>
  <c r="G34" i="23"/>
  <c r="O109" i="25"/>
  <c r="O71" i="25"/>
  <c r="P71" i="25"/>
  <c r="N75" i="25"/>
  <c r="N77" i="25"/>
  <c r="N795" i="22"/>
  <c r="O795" i="22"/>
  <c r="N50" i="25"/>
  <c r="L654" i="22"/>
  <c r="N611" i="22"/>
  <c r="O611" i="22"/>
  <c r="N145" i="23"/>
  <c r="O45" i="23"/>
  <c r="K16" i="25"/>
  <c r="M138" i="25"/>
  <c r="O13" i="25"/>
  <c r="I138" i="23"/>
  <c r="K138" i="23"/>
  <c r="M38" i="23"/>
  <c r="I41" i="23"/>
  <c r="I52" i="23"/>
  <c r="M13" i="23"/>
  <c r="E138" i="23"/>
  <c r="G138" i="23"/>
  <c r="E16" i="23"/>
  <c r="E27" i="23"/>
  <c r="P14" i="25"/>
  <c r="O139" i="25"/>
  <c r="P139" i="25"/>
  <c r="E150" i="25"/>
  <c r="N654" i="24"/>
  <c r="O654" i="24"/>
  <c r="L662" i="24"/>
  <c r="N662" i="24"/>
  <c r="L122" i="24"/>
  <c r="K134" i="25"/>
  <c r="I141" i="25"/>
  <c r="Y142" i="18"/>
  <c r="U142" i="18"/>
  <c r="M85" i="25"/>
  <c r="O85" i="25"/>
  <c r="P85" i="25"/>
  <c r="K110" i="23"/>
  <c r="O564" i="22"/>
  <c r="L263" i="24"/>
  <c r="N263" i="24"/>
  <c r="O194" i="22"/>
  <c r="K38" i="23"/>
  <c r="K41" i="23"/>
  <c r="E138" i="25"/>
  <c r="G138" i="25"/>
  <c r="E16" i="25"/>
  <c r="E27" i="25"/>
  <c r="F41" i="25"/>
  <c r="N34" i="25"/>
  <c r="N134" i="25"/>
  <c r="N388" i="24"/>
  <c r="O388" i="24"/>
  <c r="L396" i="24"/>
  <c r="N396" i="24"/>
  <c r="L529" i="22"/>
  <c r="N529" i="22"/>
  <c r="N521" i="22"/>
  <c r="O521" i="22"/>
  <c r="E150" i="23"/>
  <c r="P69" i="23"/>
  <c r="O75" i="23"/>
  <c r="P75" i="23"/>
  <c r="P65" i="23"/>
  <c r="O140" i="23"/>
  <c r="P140" i="23"/>
  <c r="M146" i="23"/>
  <c r="O21" i="23"/>
  <c r="T228" i="18"/>
  <c r="E62" i="5"/>
  <c r="K62" i="5"/>
  <c r="N62" i="5"/>
  <c r="T223" i="3"/>
  <c r="R225" i="3"/>
  <c r="U223" i="3"/>
  <c r="G85" i="25"/>
  <c r="G85" i="23"/>
  <c r="M110" i="23"/>
  <c r="I116" i="23"/>
  <c r="I127" i="23"/>
  <c r="AD230" i="18"/>
  <c r="U240" i="18"/>
  <c r="AA230" i="18"/>
  <c r="AB230" i="18"/>
  <c r="O235" i="18"/>
  <c r="P11" i="25"/>
  <c r="G13" i="25"/>
  <c r="G16" i="25"/>
  <c r="G13" i="23"/>
  <c r="G16" i="23"/>
  <c r="M111" i="23"/>
  <c r="I136" i="23"/>
  <c r="K136" i="23"/>
  <c r="O90" i="24"/>
  <c r="K19" i="25"/>
  <c r="K25" i="25"/>
  <c r="K60" i="23"/>
  <c r="K66" i="23"/>
  <c r="K77" i="23"/>
  <c r="O298" i="22"/>
  <c r="L920" i="24"/>
  <c r="N877" i="24"/>
  <c r="O877" i="24"/>
  <c r="O84" i="25"/>
  <c r="V226" i="18"/>
  <c r="W226" i="18"/>
  <c r="P69" i="25"/>
  <c r="N25" i="23"/>
  <c r="K111" i="23"/>
  <c r="O573" i="22"/>
  <c r="I25" i="25"/>
  <c r="I27" i="25"/>
  <c r="I144" i="25"/>
  <c r="M19" i="25"/>
  <c r="P21" i="25"/>
  <c r="M60" i="23"/>
  <c r="I135" i="23"/>
  <c r="F63" i="5"/>
  <c r="I62" i="5"/>
  <c r="L62" i="5"/>
  <c r="M86" i="25"/>
  <c r="E136" i="25"/>
  <c r="O63" i="25"/>
  <c r="P63" i="25"/>
  <c r="N255" i="24"/>
  <c r="O255" i="24"/>
  <c r="O10" i="25"/>
  <c r="P10" i="25"/>
  <c r="F52" i="25"/>
  <c r="K41" i="25"/>
  <c r="K52" i="25"/>
  <c r="L130" i="22"/>
  <c r="N130" i="22"/>
  <c r="K52" i="23"/>
  <c r="K144" i="23"/>
  <c r="K150" i="23"/>
  <c r="N16" i="25"/>
  <c r="N27" i="25"/>
  <c r="N111" i="23"/>
  <c r="O111" i="23"/>
  <c r="P111" i="23"/>
  <c r="F116" i="23"/>
  <c r="F127" i="23"/>
  <c r="F136" i="23"/>
  <c r="F141" i="23"/>
  <c r="O36" i="25"/>
  <c r="P36" i="25"/>
  <c r="N111" i="25"/>
  <c r="N116" i="25"/>
  <c r="F116" i="25"/>
  <c r="F127" i="25"/>
  <c r="F136" i="25"/>
  <c r="F141" i="25"/>
  <c r="N50" i="23"/>
  <c r="O38" i="25"/>
  <c r="P38" i="25"/>
  <c r="N138" i="25"/>
  <c r="J141" i="25"/>
  <c r="J152" i="25"/>
  <c r="K135" i="25"/>
  <c r="K141" i="25"/>
  <c r="K116" i="23"/>
  <c r="K127" i="23"/>
  <c r="E135" i="25"/>
  <c r="G135" i="25"/>
  <c r="E41" i="25"/>
  <c r="E52" i="25"/>
  <c r="M41" i="25"/>
  <c r="M52" i="25"/>
  <c r="G91" i="23"/>
  <c r="M134" i="23"/>
  <c r="M134" i="25"/>
  <c r="E135" i="23"/>
  <c r="G135" i="23"/>
  <c r="E41" i="23"/>
  <c r="E52" i="23"/>
  <c r="M66" i="23"/>
  <c r="M77" i="23"/>
  <c r="O75" i="25"/>
  <c r="P75" i="25"/>
  <c r="M135" i="25"/>
  <c r="G27" i="23"/>
  <c r="G91" i="25"/>
  <c r="G116" i="23"/>
  <c r="G127" i="23"/>
  <c r="G116" i="25"/>
  <c r="G127" i="25"/>
  <c r="M116" i="25"/>
  <c r="M127" i="25"/>
  <c r="G35" i="25"/>
  <c r="G41" i="25"/>
  <c r="G52" i="25"/>
  <c r="G35" i="23"/>
  <c r="G41" i="23"/>
  <c r="G52" i="23"/>
  <c r="G66" i="25"/>
  <c r="G77" i="25"/>
  <c r="M66" i="25"/>
  <c r="M77" i="25"/>
  <c r="O50" i="23"/>
  <c r="P50" i="23"/>
  <c r="G134" i="23"/>
  <c r="G27" i="25"/>
  <c r="P8" i="25"/>
  <c r="O133" i="25"/>
  <c r="P133" i="25"/>
  <c r="O133" i="23"/>
  <c r="P133" i="23"/>
  <c r="P8" i="23"/>
  <c r="G66" i="23"/>
  <c r="G77" i="23"/>
  <c r="M150" i="23"/>
  <c r="O121" i="23"/>
  <c r="P121" i="23"/>
  <c r="N146" i="23"/>
  <c r="N125" i="23"/>
  <c r="O121" i="25"/>
  <c r="P121" i="25"/>
  <c r="N125" i="25"/>
  <c r="N146" i="25"/>
  <c r="P84" i="25"/>
  <c r="M25" i="25"/>
  <c r="M27" i="25"/>
  <c r="M144" i="25"/>
  <c r="M150" i="25"/>
  <c r="O19" i="25"/>
  <c r="T240" i="18"/>
  <c r="T230" i="18"/>
  <c r="P109" i="25"/>
  <c r="P19" i="23"/>
  <c r="O25" i="23"/>
  <c r="P25" i="23"/>
  <c r="K144" i="25"/>
  <c r="K150" i="25"/>
  <c r="I150" i="25"/>
  <c r="I152" i="25"/>
  <c r="O529" i="22"/>
  <c r="N122" i="24"/>
  <c r="O122" i="24"/>
  <c r="L130" i="24"/>
  <c r="N130" i="24"/>
  <c r="L396" i="22"/>
  <c r="N396" i="22"/>
  <c r="N388" i="22"/>
  <c r="O388" i="22"/>
  <c r="O86" i="23"/>
  <c r="O91" i="23"/>
  <c r="M136" i="23"/>
  <c r="O66" i="25"/>
  <c r="P13" i="25"/>
  <c r="P45" i="23"/>
  <c r="O145" i="23"/>
  <c r="P145" i="23"/>
  <c r="P120" i="25"/>
  <c r="O135" i="25"/>
  <c r="P135" i="25"/>
  <c r="O86" i="25"/>
  <c r="M136" i="25"/>
  <c r="O60" i="23"/>
  <c r="M135" i="23"/>
  <c r="AC228" i="18"/>
  <c r="Y228" i="18"/>
  <c r="U228" i="18"/>
  <c r="O263" i="24"/>
  <c r="K27" i="25"/>
  <c r="M91" i="23"/>
  <c r="M102" i="23"/>
  <c r="G94" i="23"/>
  <c r="G100" i="23"/>
  <c r="G94" i="25"/>
  <c r="G100" i="25"/>
  <c r="O130" i="22"/>
  <c r="O110" i="23"/>
  <c r="M116" i="23"/>
  <c r="M127" i="23"/>
  <c r="L928" i="24"/>
  <c r="N928" i="24"/>
  <c r="O928" i="24"/>
  <c r="N920" i="24"/>
  <c r="J932" i="24"/>
  <c r="O13" i="23"/>
  <c r="O16" i="23"/>
  <c r="M138" i="23"/>
  <c r="M16" i="23"/>
  <c r="M27" i="23"/>
  <c r="K135" i="23"/>
  <c r="K141" i="23"/>
  <c r="I141" i="23"/>
  <c r="I152" i="23"/>
  <c r="P21" i="23"/>
  <c r="N41" i="25"/>
  <c r="N52" i="25"/>
  <c r="O34" i="25"/>
  <c r="O134" i="25"/>
  <c r="N255" i="22"/>
  <c r="O255" i="22"/>
  <c r="L263" i="22"/>
  <c r="N263" i="22"/>
  <c r="P120" i="23"/>
  <c r="P84" i="23"/>
  <c r="F100" i="25"/>
  <c r="F102" i="25"/>
  <c r="N94" i="25"/>
  <c r="F144" i="25"/>
  <c r="M91" i="25"/>
  <c r="M102" i="25"/>
  <c r="W142" i="18"/>
  <c r="V142" i="18"/>
  <c r="L662" i="22"/>
  <c r="N662" i="22"/>
  <c r="N654" i="22"/>
  <c r="O654" i="22"/>
  <c r="N27" i="23"/>
  <c r="O662" i="24"/>
  <c r="O38" i="23"/>
  <c r="P38" i="23"/>
  <c r="M41" i="23"/>
  <c r="M52" i="23"/>
  <c r="P9" i="25"/>
  <c r="O16" i="25"/>
  <c r="P9" i="23"/>
  <c r="F100" i="23"/>
  <c r="F102" i="23"/>
  <c r="N94" i="23"/>
  <c r="F144" i="23"/>
  <c r="N41" i="23"/>
  <c r="O34" i="23"/>
  <c r="O134" i="23"/>
  <c r="U238" i="18"/>
  <c r="V240" i="18"/>
  <c r="O396" i="24"/>
  <c r="P59" i="23"/>
  <c r="N134" i="23"/>
  <c r="P45" i="25"/>
  <c r="O145" i="25"/>
  <c r="P145" i="25"/>
  <c r="J932" i="22"/>
  <c r="N920" i="22"/>
  <c r="L928" i="22"/>
  <c r="N928" i="22"/>
  <c r="O928" i="22"/>
  <c r="N52" i="23"/>
  <c r="K152" i="23"/>
  <c r="N127" i="25"/>
  <c r="O138" i="25"/>
  <c r="P138" i="25"/>
  <c r="N136" i="25"/>
  <c r="N141" i="25"/>
  <c r="G136" i="23"/>
  <c r="G141" i="23"/>
  <c r="O111" i="25"/>
  <c r="O136" i="25"/>
  <c r="P136" i="25"/>
  <c r="N116" i="23"/>
  <c r="N127" i="23"/>
  <c r="N136" i="23"/>
  <c r="N141" i="23"/>
  <c r="G136" i="25"/>
  <c r="G141" i="25"/>
  <c r="K152" i="25"/>
  <c r="E141" i="25"/>
  <c r="E152" i="25"/>
  <c r="E141" i="23"/>
  <c r="E152" i="23"/>
  <c r="G102" i="23"/>
  <c r="O146" i="25"/>
  <c r="P146" i="25"/>
  <c r="M141" i="25"/>
  <c r="M152" i="25"/>
  <c r="G102" i="25"/>
  <c r="O146" i="23"/>
  <c r="P146" i="23"/>
  <c r="O125" i="25"/>
  <c r="P125" i="25"/>
  <c r="M141" i="23"/>
  <c r="M152" i="23"/>
  <c r="R662" i="24"/>
  <c r="S662" i="24"/>
  <c r="R662" i="22"/>
  <c r="S662" i="22"/>
  <c r="R396" i="22"/>
  <c r="S396" i="22"/>
  <c r="R396" i="24"/>
  <c r="S396" i="24"/>
  <c r="O125" i="23"/>
  <c r="P125" i="23"/>
  <c r="P134" i="25"/>
  <c r="O920" i="22"/>
  <c r="L932" i="22"/>
  <c r="P16" i="25"/>
  <c r="P110" i="23"/>
  <c r="O116" i="23"/>
  <c r="P86" i="23"/>
  <c r="O136" i="23"/>
  <c r="P136" i="23"/>
  <c r="V242" i="18"/>
  <c r="W240" i="18"/>
  <c r="O662" i="22"/>
  <c r="O138" i="23"/>
  <c r="P138" i="23"/>
  <c r="P13" i="23"/>
  <c r="P60" i="23"/>
  <c r="O135" i="23"/>
  <c r="P135" i="23"/>
  <c r="O396" i="22"/>
  <c r="P34" i="23"/>
  <c r="O41" i="23"/>
  <c r="O263" i="22"/>
  <c r="W228" i="18"/>
  <c r="V228" i="18"/>
  <c r="R231" i="18"/>
  <c r="AC230" i="18"/>
  <c r="Y230" i="18"/>
  <c r="T231" i="18"/>
  <c r="Y232" i="18"/>
  <c r="Z232" i="18"/>
  <c r="U230" i="18"/>
  <c r="F150" i="25"/>
  <c r="F152" i="25"/>
  <c r="G144" i="25"/>
  <c r="G150" i="25"/>
  <c r="P16" i="23"/>
  <c r="O27" i="23"/>
  <c r="P27" i="23"/>
  <c r="L932" i="24"/>
  <c r="O920" i="24"/>
  <c r="P86" i="25"/>
  <c r="T242" i="18"/>
  <c r="T238" i="18"/>
  <c r="V238" i="18"/>
  <c r="O66" i="23"/>
  <c r="F150" i="23"/>
  <c r="F152" i="23"/>
  <c r="G144" i="23"/>
  <c r="G150" i="23"/>
  <c r="P134" i="23"/>
  <c r="N100" i="25"/>
  <c r="N102" i="25"/>
  <c r="O94" i="25"/>
  <c r="O144" i="25"/>
  <c r="N144" i="25"/>
  <c r="N150" i="25"/>
  <c r="O77" i="25"/>
  <c r="P77" i="25"/>
  <c r="P66" i="25"/>
  <c r="O130" i="24"/>
  <c r="P34" i="25"/>
  <c r="O41" i="25"/>
  <c r="N100" i="23"/>
  <c r="N102" i="23"/>
  <c r="O94" i="23"/>
  <c r="N144" i="23"/>
  <c r="N150" i="23"/>
  <c r="P91" i="23"/>
  <c r="P19" i="25"/>
  <c r="O25" i="25"/>
  <c r="P25" i="25"/>
  <c r="O91" i="25"/>
  <c r="N152" i="25"/>
  <c r="G152" i="25"/>
  <c r="N152" i="23"/>
  <c r="P111" i="25"/>
  <c r="O116" i="25"/>
  <c r="P116" i="25"/>
  <c r="G152" i="23"/>
  <c r="R263" i="22"/>
  <c r="S263" i="22"/>
  <c r="R263" i="24"/>
  <c r="S263" i="24"/>
  <c r="O141" i="25"/>
  <c r="P141" i="25"/>
  <c r="P144" i="25"/>
  <c r="O150" i="25"/>
  <c r="P150" i="25"/>
  <c r="P41" i="25"/>
  <c r="O52" i="25"/>
  <c r="P52" i="25"/>
  <c r="O141" i="23"/>
  <c r="P41" i="23"/>
  <c r="O52" i="23"/>
  <c r="P52" i="23"/>
  <c r="P238" i="18"/>
  <c r="P239" i="18"/>
  <c r="W232" i="18"/>
  <c r="V230" i="18"/>
  <c r="W230" i="18"/>
  <c r="S231" i="18"/>
  <c r="S232" i="18"/>
  <c r="U232" i="18"/>
  <c r="R232" i="18"/>
  <c r="R233" i="18"/>
  <c r="O27" i="25"/>
  <c r="P27" i="25"/>
  <c r="O127" i="23"/>
  <c r="P127" i="23"/>
  <c r="P116" i="23"/>
  <c r="P91" i="25"/>
  <c r="P94" i="23"/>
  <c r="O100" i="23"/>
  <c r="O144" i="23"/>
  <c r="O100" i="25"/>
  <c r="P100" i="25"/>
  <c r="P94" i="25"/>
  <c r="R529" i="22"/>
  <c r="S529" i="22"/>
  <c r="R529" i="24"/>
  <c r="S529" i="24"/>
  <c r="P66" i="23"/>
  <c r="O77" i="23"/>
  <c r="P77" i="23"/>
  <c r="R130" i="24"/>
  <c r="S130" i="24"/>
  <c r="R130" i="22"/>
  <c r="S130" i="22"/>
  <c r="O127" i="25"/>
  <c r="P127" i="25"/>
  <c r="O102" i="25"/>
  <c r="P102" i="25"/>
  <c r="P100" i="23"/>
  <c r="O102" i="23"/>
  <c r="P102" i="23"/>
  <c r="P144" i="23"/>
  <c r="O150" i="23"/>
  <c r="P150" i="23"/>
  <c r="O152" i="25"/>
  <c r="P152" i="25"/>
  <c r="P141" i="23"/>
  <c r="O152" i="23"/>
  <c r="P15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venkataram p</author>
  </authors>
  <commentList>
    <comment ref="M128" authorId="0" shapeId="0" xr:uid="{00000000-0006-0000-0A00-000001000000}">
      <text>
        <r>
          <rPr>
            <sz val="9"/>
            <color indexed="81"/>
            <rFont val="Tahoma"/>
            <family val="2"/>
          </rPr>
          <t>Interest FY22+growth wrt FY21+others FY22+wheeling charges FY22 as per D2
Ref. Annual Acc+D2</t>
        </r>
      </text>
    </comment>
    <comment ref="L261" authorId="0" shapeId="0" xr:uid="{00000000-0006-0000-0A00-000002000000}">
      <text>
        <r>
          <rPr>
            <sz val="9"/>
            <color indexed="81"/>
            <rFont val="Tahoma"/>
            <family val="2"/>
          </rPr>
          <t>Interest FY22+growth wrt FY21+others FY22+wheeling charges FY22 as per D2
Ref. D2</t>
        </r>
      </text>
    </comment>
    <comment ref="M261" authorId="0" shapeId="0" xr:uid="{00000000-0006-0000-0A00-000003000000}">
      <text>
        <r>
          <rPr>
            <sz val="9"/>
            <color indexed="81"/>
            <rFont val="Tahoma"/>
            <family val="2"/>
          </rPr>
          <t>Interest FY22+growth wrt FY21+others FY22+wheeling charges FY22 as per D2
Ref. D2</t>
        </r>
      </text>
    </comment>
    <comment ref="L394" authorId="0" shapeId="0" xr:uid="{00000000-0006-0000-0A00-000004000000}">
      <text>
        <r>
          <rPr>
            <sz val="9"/>
            <color indexed="81"/>
            <rFont val="Tahoma"/>
            <family val="2"/>
          </rPr>
          <t>Interest FY22+growth wrt FY21+others FY22+wheeling charges FY22 as per D2
Ref. D2</t>
        </r>
      </text>
    </comment>
    <comment ref="M394" authorId="0" shapeId="0" xr:uid="{00000000-0006-0000-0A00-000005000000}">
      <text>
        <r>
          <rPr>
            <sz val="9"/>
            <color indexed="81"/>
            <rFont val="Tahoma"/>
            <family val="2"/>
          </rPr>
          <t>Interest FY22+growth wrt FY21+others FY22+wheeling charges FY22 as per D2
Ref. D2</t>
        </r>
      </text>
    </comment>
    <comment ref="L527" authorId="0" shapeId="0" xr:uid="{00000000-0006-0000-0A00-000006000000}">
      <text>
        <r>
          <rPr>
            <sz val="9"/>
            <color indexed="81"/>
            <rFont val="Tahoma"/>
            <family val="2"/>
          </rPr>
          <t>Interest FY22+growth wrt FY21+others FY22+wheeling charges FY22 as per D2
Ref. D2</t>
        </r>
      </text>
    </comment>
    <comment ref="M527" authorId="0" shapeId="0" xr:uid="{00000000-0006-0000-0A00-000007000000}">
      <text>
        <r>
          <rPr>
            <sz val="9"/>
            <color indexed="81"/>
            <rFont val="Tahoma"/>
            <family val="2"/>
          </rPr>
          <t>Interest FY22+growth wrt FY21+others FY22+wheeling charges FY22 as per D2
Ref. D2</t>
        </r>
      </text>
    </comment>
    <comment ref="L660" authorId="0" shapeId="0" xr:uid="{00000000-0006-0000-0A00-000008000000}">
      <text>
        <r>
          <rPr>
            <sz val="9"/>
            <color indexed="81"/>
            <rFont val="Tahoma"/>
            <family val="2"/>
          </rPr>
          <t>Interest FY22+growth wrt FY21+others FY22 as per D2
Ref. D2</t>
        </r>
      </text>
    </comment>
    <comment ref="M660" authorId="0" shapeId="0" xr:uid="{00000000-0006-0000-0A00-000009000000}">
      <text>
        <r>
          <rPr>
            <sz val="9"/>
            <color indexed="81"/>
            <rFont val="Tahoma"/>
            <family val="2"/>
          </rPr>
          <t>Interest FY22+growth wrt FY21+others FY22 as per D2
Ref. D2</t>
        </r>
      </text>
    </comment>
    <comment ref="L793" authorId="0" shapeId="0" xr:uid="{00000000-0006-0000-0A00-00000A000000}">
      <text>
        <r>
          <rPr>
            <sz val="9"/>
            <color indexed="81"/>
            <rFont val="Tahoma"/>
            <family val="2"/>
          </rPr>
          <t>Interest FY22+growth wrt FY21+others FY22+wheeling charges FY22 as per D2
Ref. D2</t>
        </r>
      </text>
    </comment>
    <comment ref="M793" authorId="0" shapeId="0" xr:uid="{00000000-0006-0000-0A00-00000B000000}">
      <text>
        <r>
          <rPr>
            <sz val="9"/>
            <color indexed="81"/>
            <rFont val="Tahoma"/>
            <family val="2"/>
          </rPr>
          <t>Interest FY22+growth wrt FY21+others FY22+wheeling charges FY22 as per D2
Ref. D2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venkataram p</author>
  </authors>
  <commentList>
    <comment ref="M128" authorId="0" shapeId="0" xr:uid="{00000000-0006-0000-0C00-000001000000}">
      <text>
        <r>
          <rPr>
            <sz val="9"/>
            <color indexed="81"/>
            <rFont val="Tahoma"/>
            <family val="2"/>
          </rPr>
          <t>Interest FY22+growth wrt FY21+others FY22+wheeling charges FY22 as per D2
Ref. Annual Acc+D2</t>
        </r>
      </text>
    </comment>
    <comment ref="L261" authorId="0" shapeId="0" xr:uid="{00000000-0006-0000-0C00-000002000000}">
      <text>
        <r>
          <rPr>
            <sz val="9"/>
            <color indexed="81"/>
            <rFont val="Tahoma"/>
            <family val="2"/>
          </rPr>
          <t>Interest FY22+growth wrt FY21+others FY22+wheeling charges FY22 as per D2
Ref. D2</t>
        </r>
      </text>
    </comment>
    <comment ref="M261" authorId="0" shapeId="0" xr:uid="{00000000-0006-0000-0C00-000003000000}">
      <text>
        <r>
          <rPr>
            <sz val="9"/>
            <color indexed="81"/>
            <rFont val="Tahoma"/>
            <family val="2"/>
          </rPr>
          <t>Interest FY22+growth wrt FY21+others FY22+wheeling charges FY22 as per D2
Ref. D2</t>
        </r>
      </text>
    </comment>
    <comment ref="L394" authorId="0" shapeId="0" xr:uid="{00000000-0006-0000-0C00-000004000000}">
      <text>
        <r>
          <rPr>
            <sz val="9"/>
            <color indexed="81"/>
            <rFont val="Tahoma"/>
            <family val="2"/>
          </rPr>
          <t>Interest FY22+growth wrt FY21+others FY22+wheeling charges FY22 as per D2
Ref. D2</t>
        </r>
      </text>
    </comment>
    <comment ref="M394" authorId="0" shapeId="0" xr:uid="{00000000-0006-0000-0C00-000005000000}">
      <text>
        <r>
          <rPr>
            <sz val="9"/>
            <color indexed="81"/>
            <rFont val="Tahoma"/>
            <family val="2"/>
          </rPr>
          <t>Interest FY22+growth wrt FY21+others FY22+wheeling charges FY22 as per D2
Ref. D2</t>
        </r>
      </text>
    </comment>
    <comment ref="L527" authorId="0" shapeId="0" xr:uid="{00000000-0006-0000-0C00-000006000000}">
      <text>
        <r>
          <rPr>
            <sz val="9"/>
            <color indexed="81"/>
            <rFont val="Tahoma"/>
            <family val="2"/>
          </rPr>
          <t>Interest FY22+growth wrt FY21+others FY22+wheeling charges FY22 as per D2
Ref. D2</t>
        </r>
      </text>
    </comment>
    <comment ref="M527" authorId="0" shapeId="0" xr:uid="{00000000-0006-0000-0C00-000007000000}">
      <text>
        <r>
          <rPr>
            <sz val="9"/>
            <color indexed="81"/>
            <rFont val="Tahoma"/>
            <family val="2"/>
          </rPr>
          <t>Interest FY22+growth wrt FY21+others FY22+wheeling charges FY22 as per D2
Ref. D2</t>
        </r>
      </text>
    </comment>
    <comment ref="L660" authorId="0" shapeId="0" xr:uid="{00000000-0006-0000-0C00-000008000000}">
      <text>
        <r>
          <rPr>
            <sz val="9"/>
            <color indexed="81"/>
            <rFont val="Tahoma"/>
            <family val="2"/>
          </rPr>
          <t>Interest FY22+growth wrt FY21+others FY22 as per D2
Ref. D2</t>
        </r>
      </text>
    </comment>
    <comment ref="M660" authorId="0" shapeId="0" xr:uid="{00000000-0006-0000-0C00-000009000000}">
      <text>
        <r>
          <rPr>
            <sz val="9"/>
            <color indexed="81"/>
            <rFont val="Tahoma"/>
            <family val="2"/>
          </rPr>
          <t>Interest FY22+growth wrt FY21+others FY22 as per D2
Ref. D2</t>
        </r>
      </text>
    </comment>
    <comment ref="L793" authorId="0" shapeId="0" xr:uid="{00000000-0006-0000-0C00-00000A000000}">
      <text>
        <r>
          <rPr>
            <sz val="9"/>
            <color indexed="81"/>
            <rFont val="Tahoma"/>
            <family val="2"/>
          </rPr>
          <t>Interest FY22+growth wrt FY21+others FY22+wheeling charges FY22 as per D2
Ref. D2</t>
        </r>
      </text>
    </comment>
    <comment ref="M793" authorId="0" shapeId="0" xr:uid="{00000000-0006-0000-0C00-00000B000000}">
      <text>
        <r>
          <rPr>
            <sz val="9"/>
            <color indexed="81"/>
            <rFont val="Tahoma"/>
            <family val="2"/>
          </rPr>
          <t>Interest FY22+growth wrt FY21+others FY22+wheeling charges FY22 as per D2
Ref. D2</t>
        </r>
      </text>
    </comment>
  </commentList>
</comments>
</file>

<file path=xl/sharedStrings.xml><?xml version="1.0" encoding="utf-8"?>
<sst xmlns="http://schemas.openxmlformats.org/spreadsheetml/2006/main" count="10683" uniqueCount="759">
  <si>
    <t>Sl. No.</t>
  </si>
  <si>
    <t>Tariff Category</t>
  </si>
  <si>
    <t>Type of installation</t>
  </si>
  <si>
    <t>Particulars</t>
  </si>
  <si>
    <t>Energy Charges</t>
  </si>
  <si>
    <t>LT 7</t>
  </si>
  <si>
    <t>Temporary Power Supply</t>
  </si>
  <si>
    <t>HT 1</t>
  </si>
  <si>
    <t>LT-4(b)</t>
  </si>
  <si>
    <t>LT-5(a)</t>
  </si>
  <si>
    <t>HP</t>
  </si>
  <si>
    <t>LT-5(b)</t>
  </si>
  <si>
    <t>LT-6</t>
  </si>
  <si>
    <t>Water Supply</t>
  </si>
  <si>
    <t>kW</t>
  </si>
  <si>
    <t>LT-7</t>
  </si>
  <si>
    <t>HT-1</t>
  </si>
  <si>
    <t>NAME OF THE ELECTRICITY SUPPLY COMPANY :-</t>
  </si>
  <si>
    <t>BESCOM</t>
  </si>
  <si>
    <t>Form D-21(a)</t>
  </si>
  <si>
    <t>Sl No</t>
  </si>
  <si>
    <t xml:space="preserve">Tariff </t>
  </si>
  <si>
    <t>Category Description</t>
  </si>
  <si>
    <t>(KW/KVA</t>
  </si>
  <si>
    <t xml:space="preserve">No. of </t>
  </si>
  <si>
    <t>Sanctioned load</t>
  </si>
  <si>
    <t>Consumption</t>
  </si>
  <si>
    <t xml:space="preserve">Fixed </t>
  </si>
  <si>
    <t>Energy</t>
  </si>
  <si>
    <t>Fixed Charges</t>
  </si>
  <si>
    <t>Billed Amount</t>
  </si>
  <si>
    <t>Category</t>
  </si>
  <si>
    <t>/HP)</t>
  </si>
  <si>
    <t>Consumers</t>
  </si>
  <si>
    <t>(KW/KVA/HP)</t>
  </si>
  <si>
    <t>(in Mus)</t>
  </si>
  <si>
    <t>Charges</t>
  </si>
  <si>
    <t>in crores</t>
  </si>
  <si>
    <t>LT-1</t>
  </si>
  <si>
    <t>KW</t>
  </si>
  <si>
    <t>Sub Total of LT-1</t>
  </si>
  <si>
    <t>LT-2(a)(i)</t>
  </si>
  <si>
    <t>&lt;=1KW</t>
  </si>
  <si>
    <t>First kW</t>
  </si>
  <si>
    <t>&gt;1KW</t>
  </si>
  <si>
    <t>&lt;=30 kWh</t>
  </si>
  <si>
    <t>30&lt;x&lt;=100kWh</t>
  </si>
  <si>
    <t>100&lt;x&lt;=200</t>
  </si>
  <si>
    <t>Next 100</t>
  </si>
  <si>
    <t>Total</t>
  </si>
  <si>
    <t>LT-2(a)(ii)</t>
  </si>
  <si>
    <t>Domestic / AEH -</t>
  </si>
  <si>
    <t>LT-2(a)(iii)</t>
  </si>
  <si>
    <t xml:space="preserve">Applicable to Areas </t>
  </si>
  <si>
    <t xml:space="preserve">coming under </t>
  </si>
  <si>
    <t>Village Panchayats</t>
  </si>
  <si>
    <t>Sub Total of LT-2a</t>
  </si>
  <si>
    <t>LT-2(b)(i)</t>
  </si>
  <si>
    <t>Pvt. Educational Institutions -</t>
  </si>
  <si>
    <t>&lt;=2kW</t>
  </si>
  <si>
    <t xml:space="preserve">Applicable to areas under </t>
  </si>
  <si>
    <t>&gt;2kW</t>
  </si>
  <si>
    <t>Minimum</t>
  </si>
  <si>
    <t>ULBs including City Corps</t>
  </si>
  <si>
    <t>LT-2(b)(ii)</t>
  </si>
  <si>
    <t xml:space="preserve">Pvt. Educational Institutions - </t>
  </si>
  <si>
    <t>coming under VPs</t>
  </si>
  <si>
    <t>Sub Total of LT-2b</t>
  </si>
  <si>
    <t>Sub Total of LT-2</t>
  </si>
  <si>
    <t>LT-3(i)</t>
  </si>
  <si>
    <t>Commercial - Applicable to</t>
  </si>
  <si>
    <t>&lt;=50</t>
  </si>
  <si>
    <t>First 50</t>
  </si>
  <si>
    <t>&gt;50</t>
  </si>
  <si>
    <t>&lt;=1kW</t>
  </si>
  <si>
    <t xml:space="preserve">Areas under all ULB's </t>
  </si>
  <si>
    <t>LT-3(ii)</t>
  </si>
  <si>
    <t xml:space="preserve">Commercial - Applicable to </t>
  </si>
  <si>
    <t xml:space="preserve">areas under </t>
  </si>
  <si>
    <t>Sub Total of LT-3</t>
  </si>
  <si>
    <t>LT-4(a)(i)</t>
  </si>
  <si>
    <t>IP Sets - &lt;=10Hp, No meters</t>
  </si>
  <si>
    <t>Per HP</t>
  </si>
  <si>
    <t>LT-4(a)(ii)</t>
  </si>
  <si>
    <t>Sub Total of LT-4(a)</t>
  </si>
  <si>
    <t>IP Sets - Above 10 HP</t>
  </si>
  <si>
    <t>Sub Total of LT-4(b)</t>
  </si>
  <si>
    <t>LT-4 (c)</t>
  </si>
  <si>
    <t>IP Sets - Pvt Horticultural Nurseries</t>
  </si>
  <si>
    <t>Sub Total of LT-4(c)</t>
  </si>
  <si>
    <t>Sub Total of LT-4</t>
  </si>
  <si>
    <t xml:space="preserve">Heating &amp; Motive Power - Applicable </t>
  </si>
  <si>
    <t>&lt;=5HP</t>
  </si>
  <si>
    <t>to Bangalore Metropolitan Area</t>
  </si>
  <si>
    <t>5&lt;x&lt;40</t>
  </si>
  <si>
    <t>40&lt;=x&lt;67</t>
  </si>
  <si>
    <t>&gt;=67</t>
  </si>
  <si>
    <t>&lt;=500kWh</t>
  </si>
  <si>
    <t>First 500</t>
  </si>
  <si>
    <t>500&lt;x&lt;=1000</t>
  </si>
  <si>
    <t>Next 500</t>
  </si>
  <si>
    <t>&gt;=1000</t>
  </si>
  <si>
    <t>&gt;1000</t>
  </si>
  <si>
    <t>Heating &amp; Motive Power - Applicable</t>
  </si>
  <si>
    <t>to all other areas not covered under</t>
  </si>
  <si>
    <t>Sub Total of LT-5</t>
  </si>
  <si>
    <t>Public Lighting</t>
  </si>
  <si>
    <t>Sub Total of LT-6</t>
  </si>
  <si>
    <t>Temporary Supply</t>
  </si>
  <si>
    <t>&lt;67HP</t>
  </si>
  <si>
    <t>Per KW/Week</t>
  </si>
  <si>
    <t>&lt;67</t>
  </si>
  <si>
    <t>Sub Total of LT-7</t>
  </si>
  <si>
    <t>LT - TOTAL</t>
  </si>
  <si>
    <t>Water Supply, drainage</t>
  </si>
  <si>
    <t>KVA</t>
  </si>
  <si>
    <t>Per KVA</t>
  </si>
  <si>
    <t xml:space="preserve">sewerage water treatment </t>
  </si>
  <si>
    <t>plant</t>
  </si>
  <si>
    <t>Sub Total of HT-1</t>
  </si>
  <si>
    <t>HT-2(a)(i)</t>
  </si>
  <si>
    <t>Industrial - BMA</t>
  </si>
  <si>
    <t>&lt;=100,000</t>
  </si>
  <si>
    <t>&gt;100,000</t>
  </si>
  <si>
    <t>HT-2(a)(ii)</t>
  </si>
  <si>
    <t>Industrial - other than under</t>
  </si>
  <si>
    <t>BMA</t>
  </si>
  <si>
    <t>Including Railway Traction &amp;</t>
  </si>
  <si>
    <t>Effluent Treatement Plant</t>
  </si>
  <si>
    <t>Sub Total of HT-2(a)</t>
  </si>
  <si>
    <t>HT-2(b)(i)</t>
  </si>
  <si>
    <t>&lt;=200,000</t>
  </si>
  <si>
    <t>&gt;200,000</t>
  </si>
  <si>
    <t>HT-2(b)(ii)</t>
  </si>
  <si>
    <t xml:space="preserve">Commercial - other than under </t>
  </si>
  <si>
    <t>Sub Total of HT-2(b)</t>
  </si>
  <si>
    <t>Sub Total of HT-2</t>
  </si>
  <si>
    <t>HT-3(a)(i)</t>
  </si>
  <si>
    <t>Lift Irrigation Govt. Dept</t>
  </si>
  <si>
    <t>Per HP/Annum</t>
  </si>
  <si>
    <t>HT-3(a)(ii)</t>
  </si>
  <si>
    <t>Pvt. LI schemes / LI Societies</t>
  </si>
  <si>
    <t>Sub Total of HT-3(a)</t>
  </si>
  <si>
    <t>HT - 3b</t>
  </si>
  <si>
    <t xml:space="preserve">Irrigation &amp; agricultural farms, govt </t>
  </si>
  <si>
    <t xml:space="preserve">&amp; pvt horticultural farms, coffee, tea, </t>
  </si>
  <si>
    <t>coconut &amp; arecanut plantation</t>
  </si>
  <si>
    <t>Sub Total of HT-3(b)</t>
  </si>
  <si>
    <t>Sub Total of HT-3</t>
  </si>
  <si>
    <t>Sub Total of HT-4</t>
  </si>
  <si>
    <t>HT - TOTAL</t>
  </si>
  <si>
    <t>TOTAL</t>
  </si>
  <si>
    <t>Form D-21(b)</t>
  </si>
  <si>
    <t xml:space="preserve">      Revenue as per Existing Tariff Rates </t>
  </si>
  <si>
    <t xml:space="preserve">         Revenue as per Revised Tariff Rates </t>
  </si>
  <si>
    <t xml:space="preserve">                   Difference in Revenue </t>
  </si>
  <si>
    <t xml:space="preserve">              Percentage Difference</t>
  </si>
  <si>
    <t>Total of LT-1</t>
  </si>
  <si>
    <t>Total of LT-2a</t>
  </si>
  <si>
    <t>Total of LT-2b</t>
  </si>
  <si>
    <t>Total of LT-2</t>
  </si>
  <si>
    <t>Total of LT-3</t>
  </si>
  <si>
    <t>Total of LT-4(a)</t>
  </si>
  <si>
    <t>Total of LT-4(b)</t>
  </si>
  <si>
    <t>Total of LT-4(c)</t>
  </si>
  <si>
    <t>Total of LT-4</t>
  </si>
  <si>
    <t>Total of LT-5</t>
  </si>
  <si>
    <t>Total of LT-6</t>
  </si>
  <si>
    <t>Total of LT-7</t>
  </si>
  <si>
    <t>Total of HT-1</t>
  </si>
  <si>
    <t>Total of HT-2(a)</t>
  </si>
  <si>
    <t>Total of HT-2(b)</t>
  </si>
  <si>
    <t>Total of HT-2</t>
  </si>
  <si>
    <t>Total of HT-3(a)</t>
  </si>
  <si>
    <t>Total of HT-3(b)</t>
  </si>
  <si>
    <t>Total of HT-3</t>
  </si>
  <si>
    <t>Total of HT-4</t>
  </si>
  <si>
    <t>LT Total</t>
  </si>
  <si>
    <t>LT-3(iii)</t>
  </si>
  <si>
    <t>HT-3(a)(iii)</t>
  </si>
  <si>
    <t>Urban/Express feeders</t>
  </si>
  <si>
    <t>other than those covered</t>
  </si>
  <si>
    <t>under HT-3(a)(ii)</t>
  </si>
  <si>
    <t>load upto and inclusive of 10 HP</t>
  </si>
  <si>
    <t xml:space="preserve">Coffee &amp; Tea plantations of sanctioned </t>
  </si>
  <si>
    <t>New Tariff</t>
  </si>
  <si>
    <t>Rs</t>
  </si>
  <si>
    <t>LT 1</t>
  </si>
  <si>
    <t>Bhagya Jyoti /Kutir Jyothi</t>
  </si>
  <si>
    <t>Minimum charges per installation</t>
  </si>
  <si>
    <t>Fixed charges/month</t>
  </si>
  <si>
    <t>First KW or part thereof per month of sanctioned load</t>
  </si>
  <si>
    <t>For additional KW or part thereof per month of sanctioned load</t>
  </si>
  <si>
    <t>Energy Charges (Rs/units) for units consumed in a month</t>
  </si>
  <si>
    <t>For the first 30 units</t>
  </si>
  <si>
    <t>For the next 70 units</t>
  </si>
  <si>
    <t>For the next 100 units</t>
  </si>
  <si>
    <t>For addln. KW or part thereof per month of sanctioned load</t>
  </si>
  <si>
    <t>Energy Charges (Rs./u) for units consumed in a month</t>
  </si>
  <si>
    <t>PLUS</t>
  </si>
  <si>
    <t>Energy Charges (Rs./u)</t>
  </si>
  <si>
    <t xml:space="preserve">LT 3 Commercial Lighting, Heating and motive power, Private Hospitals, Clinics, IT Enabled Services, IT based Medical Transcription centers, X-ray Units, Shops, Hotels, etc. as in the existing tariff            </t>
  </si>
  <si>
    <t>Rs Per kW of sanctioned load</t>
  </si>
  <si>
    <t>For the first 50 Units</t>
  </si>
  <si>
    <t>For the balance units</t>
  </si>
  <si>
    <t>LT 4(a)</t>
  </si>
  <si>
    <t>Agriculture</t>
  </si>
  <si>
    <t>IP sets ( 10 HP &amp; below)    Agriculture IP sets, including sprinklers, Agricultural IP set (10 HP &amp; below), IP Sets used in Nurseries of forest  and horticulture depts., Grass, Plantation other than Coffee, Tea, and private horticulture, nurseries, catego</t>
  </si>
  <si>
    <t>LT-4a(i)  Applicable to Agriculture Pump sets upto &amp; inclusive of 10 HP fed from RURAL FEEDERS- Till the meters are fixed:</t>
  </si>
  <si>
    <t>Free as per Gok Order</t>
  </si>
  <si>
    <t>Fixed Charges Rs / HP</t>
  </si>
  <si>
    <t>LT-4a(i)  Applicable to Agriculture Pump sets upto &amp; inclusive of 10 HP fed from RURAL FEEDERS- Where the meters are fixed:</t>
  </si>
  <si>
    <t xml:space="preserve">Note: Applicable to LT-4(a)(i) Metered &amp; Unmetered :- GoK has to pay subsidy in advance to this category.In case of non  release of the  subsidy  in advance at the beginning of each quarter, ESCOMs shall  recover from the consumers fixed charges as above </t>
  </si>
  <si>
    <t>LT-4a(ii)  Applicable to Agriculture Pump sets upto &amp; inclusive of 10 HP fed from URBAN  FEEDERS.</t>
  </si>
  <si>
    <t>Energy Charges Rs / Unit</t>
  </si>
  <si>
    <t>LT 4(b)</t>
  </si>
  <si>
    <t xml:space="preserve">  Applicable to IP Sets above 10 HP</t>
  </si>
  <si>
    <t>LT-4c(i)</t>
  </si>
  <si>
    <t xml:space="preserve">  Applicable to Private Horticultural Nurseries, Coffee &amp; Tea Plantations irrespecitive of sanctioned load</t>
  </si>
  <si>
    <t>LT-4c(ii)</t>
  </si>
  <si>
    <t xml:space="preserve">LT 5 Industrial, Non-industrial, Heating &amp; Motive Power incl. Lighting. </t>
  </si>
  <si>
    <t>Industrial installations</t>
  </si>
  <si>
    <t>Fixed Charges per HP/month</t>
  </si>
  <si>
    <t>Sd Load of 5 HP &amp; below</t>
  </si>
  <si>
    <t xml:space="preserve">Load &gt;5, &lt;40 HP/month </t>
  </si>
  <si>
    <t xml:space="preserve">Load &gt;40, &lt;67 HP/month </t>
  </si>
  <si>
    <t xml:space="preserve">Load =&gt;67 HP/month </t>
  </si>
  <si>
    <t>Cons. &lt; =500 Units/month.</t>
  </si>
  <si>
    <t>Cons. &gt; 500, &lt;=1000 Units/month.</t>
  </si>
  <si>
    <t>Cons. &gt; 1000 Units/month.</t>
  </si>
  <si>
    <t>Demand based (optional)</t>
  </si>
  <si>
    <t xml:space="preserve">Load =&gt;40, &lt;67 HP/month </t>
  </si>
  <si>
    <t>Energy Charges (Rs./u) as above</t>
  </si>
  <si>
    <t>Cons. &lt;= 500 Units/month.</t>
  </si>
  <si>
    <t>TOD Tariff  (Optional)-applicable to LT-5(a) &amp;(b)</t>
  </si>
  <si>
    <t>Time of Day Increase(+) / reduction (-) in energy charges  over the normal tariff applicable</t>
  </si>
  <si>
    <t>22.00 Hrs to 06.00 Hrs - (-) 80 paise per unit</t>
  </si>
  <si>
    <t>06.00 Hrs to 18.00 Hrs - 0</t>
  </si>
  <si>
    <t>18.00 Hrs to 22.00 Hrs - (+) 80 paise/unit</t>
  </si>
  <si>
    <t>LT 6</t>
  </si>
  <si>
    <t>Water Supply, Sewerage &amp; Pumping of village Panchayat, Mandal Panchayat, Town Panchayat &amp; Municipalities, Towns, Corporations, State &amp; Central Govt.APMC, Water supply installations including Residential layouts, Charitable organizations.</t>
  </si>
  <si>
    <t>Fixed Charges / HP / month of santioned load</t>
  </si>
  <si>
    <t>Energy Charges (Rs./unit)</t>
  </si>
  <si>
    <t>Street lights, public lighting , City Municipalities, Corporations, State &amp; Central Govt, APMC, Traffic Signal Sub-ways.</t>
  </si>
  <si>
    <t>Fixed Charges / KW / month of santioned load</t>
  </si>
  <si>
    <t>Less than 67 HP</t>
  </si>
  <si>
    <t>Energy Charges/ unit</t>
  </si>
  <si>
    <t>Subject to Weekly Minimum Charge per kW of sanctioned load is</t>
  </si>
  <si>
    <t>If sanctioned load is 67 HP &amp; above</t>
  </si>
  <si>
    <t>HT SUPPLY  - 11 KV &amp; ABOVE</t>
  </si>
  <si>
    <t>Public Water Supply and Sewerage Pumping installations</t>
  </si>
  <si>
    <t>Monthly Demand Charges (Rs./kVA)</t>
  </si>
  <si>
    <t>Energy Charge (Rs./u)</t>
  </si>
  <si>
    <t>TOD Tariff  (Optional)</t>
  </si>
  <si>
    <t>22.00 Hrs to 06.00 Hrs: (-) 60 paise per unit</t>
  </si>
  <si>
    <t>06.00 Hrs to 18.00 Hrs: 0</t>
  </si>
  <si>
    <t>18.00 Hrs to 22.00 Hrs: (+) 60 paise</t>
  </si>
  <si>
    <t>HT Industrial</t>
  </si>
  <si>
    <t xml:space="preserve">HT 2(a) Industrial and Non industrial &amp; Non commercial Purposes </t>
  </si>
  <si>
    <t>For the first 1 lakh units/month</t>
  </si>
  <si>
    <t>For the balance units/month</t>
  </si>
  <si>
    <t>HT Commercial</t>
  </si>
  <si>
    <t>HT-2(b)(i):  Applicable to Bangalore Metropolitan Area</t>
  </si>
  <si>
    <t>Monthly Demand Charges (per kVA)</t>
  </si>
  <si>
    <t>Energy Charge (Rs / unit)</t>
  </si>
  <si>
    <t>For first 2 Lakh Units / month</t>
  </si>
  <si>
    <t>For the balance units in the month</t>
  </si>
  <si>
    <t xml:space="preserve">HT 3(a)  Lift Irrigation Schemes/Societies          </t>
  </si>
  <si>
    <r>
      <t xml:space="preserve">HT-3(a)(i): </t>
    </r>
    <r>
      <rPr>
        <b/>
        <sz val="10"/>
        <rFont val="Arial"/>
        <family val="2"/>
      </rPr>
      <t xml:space="preserve"> </t>
    </r>
    <r>
      <rPr>
        <sz val="10"/>
        <rFont val="Arial"/>
        <family val="2"/>
      </rPr>
      <t>Applicable to Lift Irrigation Schemes under Govt departments / Govt owned Corporations</t>
    </r>
  </si>
  <si>
    <t>HT-3(a)(ii):  Applicable to Private Lift Irrigation Schemes and Lift Irrigation Societies</t>
  </si>
  <si>
    <t>Fixed Charges Rs / HP/month of sd load</t>
  </si>
  <si>
    <t>HT-3(a)(iii):  Applicable to Private Lift Irrigation Schemes and Lift Irrigation Societies</t>
  </si>
  <si>
    <t>HT 3(b)</t>
  </si>
  <si>
    <t>Irrigation &amp; Agricultural farms, Govt. Horticulture Farms, Private Horticulture Nurseries, Coffee, Tea, Coconut &amp; Arecanut Plantations.</t>
  </si>
  <si>
    <t>HT-4(a):  Applicable to Bangalore Metropolitan areas and 5 Municipal Corporations</t>
  </si>
  <si>
    <t>Note</t>
  </si>
  <si>
    <t>The Licensee shall include all relevant information on categories, sub categories and slabs</t>
  </si>
  <si>
    <t>Transmission Licensee shall provide information Distribution Company wise</t>
  </si>
  <si>
    <t>Existing</t>
  </si>
  <si>
    <t>Proposed</t>
  </si>
  <si>
    <t xml:space="preserve">Existing Tariff and Proposed Tariff </t>
  </si>
  <si>
    <t xml:space="preserve">LT 2(a): Domestic Lighting / Combined Lighting, All Electric Homes (AEH) Non-com Light-Heating &amp; motive power Govt.  hospital                                   &amp; Hostel for aged &amp; destitute and handicapped           </t>
  </si>
  <si>
    <t>For the consumption in excess of 200 unit</t>
  </si>
  <si>
    <t>LT-2(a)(ii): Applicable to areas under Village Panchayats</t>
  </si>
  <si>
    <r>
      <t>LT-2(a)(i):Applicable to areas coming under Bruhat Bangalore Mahanagara Palike (BBMP), Municipal Corporation and all areas coming under Urban Local Bodies.</t>
    </r>
    <r>
      <rPr>
        <sz val="13"/>
        <rFont val="Century Gothic"/>
        <family val="2"/>
      </rPr>
      <t xml:space="preserve">                                                          </t>
    </r>
  </si>
  <si>
    <r>
      <t xml:space="preserve"> </t>
    </r>
    <r>
      <rPr>
        <b/>
        <sz val="10"/>
        <rFont val="Arial"/>
        <family val="2"/>
      </rPr>
      <t xml:space="preserve">LT-2(b)(i) </t>
    </r>
    <r>
      <rPr>
        <sz val="10"/>
        <rFont val="Arial"/>
        <family val="2"/>
      </rPr>
      <t xml:space="preserve">: Applicable to areas coming under Bruhat Bangalore Mahanagara Palike (BBMP), Municipal Corporation and all areas coming under Urban Local Bodies.                 </t>
    </r>
  </si>
  <si>
    <r>
      <rPr>
        <b/>
        <sz val="10"/>
        <rFont val="Arial"/>
        <family val="2"/>
      </rPr>
      <t>LT-2(b)(ii)</t>
    </r>
    <r>
      <rPr>
        <sz val="10"/>
        <rFont val="Arial"/>
        <family val="2"/>
      </rPr>
      <t xml:space="preserve">: Applicable in areas under village panchayat </t>
    </r>
  </si>
  <si>
    <t>Rs.35 Per KW subject to a minimum of Rs.65 / installation / PM</t>
  </si>
  <si>
    <t>For the first 200 units</t>
  </si>
  <si>
    <t>For consumption in excess of 200 units</t>
  </si>
  <si>
    <t>Rs.25 Per KW subject to a minimum of Rs.50 PM</t>
  </si>
  <si>
    <t xml:space="preserve">LT-3(ii):  Applicable in areas under village panchayat </t>
  </si>
  <si>
    <r>
      <t>LT-3(i):</t>
    </r>
    <r>
      <rPr>
        <sz val="13"/>
        <rFont val="Arial"/>
        <family val="2"/>
      </rPr>
      <t xml:space="preserve"> </t>
    </r>
    <r>
      <rPr>
        <sz val="10"/>
        <rFont val="Arial"/>
        <family val="2"/>
      </rPr>
      <t xml:space="preserve">Applicable to areas coming under Bruhat Bangalore Mahanagara Palike (BBMP), Municipal Corporation and all areas coming under Urban Local Bodies.                 </t>
    </r>
  </si>
  <si>
    <t>LT-5(b)  Applicable to all areas other than those covered under LT-5(a)</t>
  </si>
  <si>
    <t>LT-5(a)  Applicable to Bruhat Bangalore Mahanagara Palike and Municipal Corporation</t>
  </si>
  <si>
    <t>Cons. &gt; 500 Units/month.</t>
  </si>
  <si>
    <t>(-) 1.25</t>
  </si>
  <si>
    <t>(+) 1.00</t>
  </si>
  <si>
    <t>HT-2(a)(i):  Applicable to Areas under Bruhat Bangalore Mahanagara Palike(BBMP) and Municipal Corporation</t>
  </si>
  <si>
    <t xml:space="preserve">HT-2(a)(ii):  Applicable to areas other than those covered under HT2a(i) </t>
  </si>
  <si>
    <t xml:space="preserve">18.00 Hrs to 22.00 Hrs - (+) </t>
  </si>
  <si>
    <t xml:space="preserve">22.00 Hrs to 06.00 Hrs - (-) </t>
  </si>
  <si>
    <t xml:space="preserve">22.00 Hrs to 06.00 Hrs - (-)  </t>
  </si>
  <si>
    <t xml:space="preserve"> HT-2(b)(i):   Applicable to Areas under Bruhat Bangalore Mahanagara Palike(BBMP) and Municipal Corporation</t>
  </si>
  <si>
    <t xml:space="preserve">HT-2(b)(ii):  Applicable to areas other than those covered under HT2b(i) </t>
  </si>
  <si>
    <t>Miscellaneous Revenue</t>
  </si>
  <si>
    <t>&gt;200</t>
  </si>
  <si>
    <t>First 200</t>
  </si>
  <si>
    <t>&gt;200 units</t>
  </si>
  <si>
    <t>&lt;=200 kWH</t>
  </si>
  <si>
    <t>&gt; 500</t>
  </si>
  <si>
    <t>&gt;=500</t>
  </si>
  <si>
    <t>HT-4</t>
  </si>
  <si>
    <t>HT-5</t>
  </si>
  <si>
    <t>Res. Apartments - Colonies</t>
  </si>
  <si>
    <r>
      <t xml:space="preserve">504 paise per unit subject to a monthly minimum of Rs.30 per installation per month.                                                     Note: </t>
    </r>
    <r>
      <rPr>
        <b/>
        <sz val="10"/>
        <rFont val="Century Gothic"/>
        <family val="2"/>
      </rPr>
      <t>GoK has to pay subsidy in advance to provide free power supply to these categories. In case of non release of the subsidy in advance, CDT of Rs. 5.04 per unit subject to monthly minimum of Rs. 30/- per installation per month shall be demanded and collected from these Consumers.</t>
    </r>
  </si>
  <si>
    <t xml:space="preserve">HT 4              </t>
  </si>
  <si>
    <t xml:space="preserve"> Residential apartments and colonies availing power Supply independently and Govt Hospitals                              </t>
  </si>
  <si>
    <t xml:space="preserve">HT 5             </t>
  </si>
  <si>
    <t xml:space="preserve">Temporary Supply </t>
  </si>
  <si>
    <t>Bangalore Metropolitan Railwy Corporation Ltd., (BMRCL)</t>
  </si>
  <si>
    <t>HT-4(a):  Applicable to all areas</t>
  </si>
  <si>
    <t>Fixed Charges of Rs.210/-  per HP per month in additon to the energy charges as above</t>
  </si>
  <si>
    <t xml:space="preserve">Fixed Charges of Rs.210/-  per HP per month in additon to the energy charges as above </t>
  </si>
  <si>
    <t xml:space="preserve">LT 2(b) Private Professional educational institutions including aided &amp; unaided, Nursing Homes and Private Hospitals with lighting or combined lighting &amp; heating and motive power                                                      </t>
  </si>
  <si>
    <t xml:space="preserve">HT 2(b) Commercial installation, Hotels, .Banks, IT enabled Services, Petrol / diesel storages plants etc. </t>
  </si>
  <si>
    <t>HT 2(c)  Hospitals, Nursing Home, .and Educational Institutions</t>
  </si>
  <si>
    <t xml:space="preserve"> HT-2(c)(i):   Applicable to Government Hospitals and ESI and Universities, Educational Institutions belonging to Government, aided institutions</t>
  </si>
  <si>
    <t xml:space="preserve">HT-2(c)(ii):  Applicable Hospitals and Educational institutions other than those covered under HT2c(i) </t>
  </si>
  <si>
    <t>TOD Tariff  applicable to HT 2(a), HT2(b) and HT2© category</t>
  </si>
  <si>
    <t xml:space="preserve">Energy charge of 150 paise per unit subject to an annual minimum of Rs.1000/- HP of sanctioned load </t>
  </si>
  <si>
    <t>HT-2(c)(i)</t>
  </si>
  <si>
    <t>HT-2(c)(ii)</t>
  </si>
  <si>
    <t>Sub Total of HT-2(c)</t>
  </si>
  <si>
    <t>FY-16</t>
  </si>
  <si>
    <t>For Railway Traction and Effluent Treatment Plants other than B'glore metro areas - Demand Charges of Rs.180 per KVA PLUS Energy charges Rs.5.40 per unit for all the units consumed.</t>
  </si>
  <si>
    <t>For Railway Traction and Effluent Treatment Plants- Demand Charges of Rs.180 per KVA PLUS Energy charges Rs.5.40 per unit for all units consumed.</t>
  </si>
  <si>
    <t xml:space="preserve">Energy charge of 350 paise per unit subject to an annual minimum of Rs.1000/- HP of sanctioned load </t>
  </si>
  <si>
    <r>
      <t xml:space="preserve">616 paise per unit subject to a monthly minimum of Rs.30 per installation per month.                                                     Note: </t>
    </r>
    <r>
      <rPr>
        <b/>
        <sz val="10"/>
        <rFont val="Century Gothic"/>
        <family val="2"/>
      </rPr>
      <t>GoK has to pay subsidy in advance to provide free power supply to these categories. In case of non release of the subsidy in advance, CDT of Rs. 6.16 per unit subject to monthly minimum of Rs. 30/- per installation per month shall be demanded and collected from these Consumers.</t>
    </r>
  </si>
  <si>
    <r>
      <t xml:space="preserve">For Railway Traction and Effluent Treatment Plants- Demand Charges of Rs.180 per KVA PLUS Energy charges </t>
    </r>
    <r>
      <rPr>
        <sz val="10"/>
        <color indexed="10"/>
        <rFont val="Arial"/>
        <family val="2"/>
      </rPr>
      <t>Rs.6.20</t>
    </r>
    <r>
      <rPr>
        <sz val="10"/>
        <rFont val="Arial"/>
        <family val="2"/>
      </rPr>
      <t xml:space="preserve"> per unit for all units consumed.</t>
    </r>
  </si>
  <si>
    <r>
      <t xml:space="preserve">For Railway Traction and Effluent Treatment Plants other than B'glore metro areas - Demand Charges of Rs.180 per KVA PLUS Energy charges </t>
    </r>
    <r>
      <rPr>
        <sz val="10"/>
        <color indexed="10"/>
        <rFont val="Arial"/>
        <family val="2"/>
      </rPr>
      <t>Rs.6.20</t>
    </r>
    <r>
      <rPr>
        <sz val="10"/>
        <rFont val="Arial"/>
        <family val="2"/>
      </rPr>
      <t xml:space="preserve"> per unit for all the units consumed.</t>
    </r>
  </si>
  <si>
    <r>
      <t xml:space="preserve">Energy charge of </t>
    </r>
    <r>
      <rPr>
        <sz val="10"/>
        <color indexed="10"/>
        <rFont val="Arial"/>
        <family val="2"/>
      </rPr>
      <t>230</t>
    </r>
    <r>
      <rPr>
        <sz val="10"/>
        <rFont val="Arial"/>
        <family val="2"/>
      </rPr>
      <t xml:space="preserve"> paise per unit subject to an annual minimum of Rs.1000/- HP of sanctioned load </t>
    </r>
  </si>
  <si>
    <r>
      <t xml:space="preserve">Energy charge of </t>
    </r>
    <r>
      <rPr>
        <sz val="10"/>
        <color indexed="10"/>
        <rFont val="Arial"/>
        <family val="2"/>
      </rPr>
      <t>430</t>
    </r>
    <r>
      <rPr>
        <sz val="10"/>
        <rFont val="Arial"/>
        <family val="2"/>
      </rPr>
      <t xml:space="preserve"> paise per unit subject to an annual minimum of Rs.1000/- HP of sanctioned load </t>
    </r>
  </si>
  <si>
    <t>Grand Total</t>
  </si>
  <si>
    <t>Government Hospitals and Educational Institiutions</t>
  </si>
  <si>
    <t>Misc Charges +Interest on belated payments</t>
  </si>
  <si>
    <t>Existing Tariff</t>
  </si>
  <si>
    <t xml:space="preserve">Increase </t>
  </si>
  <si>
    <t>Revenue at Existing Tariff</t>
  </si>
  <si>
    <t>Diff (Increase in Tariff)</t>
  </si>
  <si>
    <t xml:space="preserve">% of Tariff Increase </t>
  </si>
  <si>
    <t xml:space="preserve"> Cross Subsidy in %</t>
  </si>
  <si>
    <t>At Existing Tariff</t>
  </si>
  <si>
    <t>At Revised Tariff</t>
  </si>
  <si>
    <t>Diff</t>
  </si>
  <si>
    <t>Consumer Category</t>
  </si>
  <si>
    <t>Sales in MU</t>
  </si>
  <si>
    <t xml:space="preserve">Revenue in Crs </t>
  </si>
  <si>
    <t>Others</t>
  </si>
  <si>
    <t>Misc</t>
  </si>
  <si>
    <t>Sub Total of HT-4 &amp; 5</t>
  </si>
  <si>
    <t>Cross Subsidy in with ref. to ACS %</t>
  </si>
  <si>
    <t>Voltage Wise COS</t>
  </si>
  <si>
    <t xml:space="preserve">LT </t>
  </si>
  <si>
    <t>HT</t>
  </si>
  <si>
    <t>EHT</t>
  </si>
  <si>
    <t>Cross Subsidy in with ref. toVoltage wise COS % (EHT)</t>
  </si>
  <si>
    <t>Cross Subsidy in with ref. to ACS % (LT/HT)</t>
  </si>
  <si>
    <t xml:space="preserve">BBMP , Municipal Corporations and other ULB's </t>
  </si>
  <si>
    <t>to BBMP and Other Municipal Corporations</t>
  </si>
  <si>
    <t>LT-7(b)</t>
  </si>
  <si>
    <t>LT-7(a)</t>
  </si>
  <si>
    <t>Temporary Supply availed on permanent connection basis</t>
  </si>
  <si>
    <t>Per KW / Month</t>
  </si>
  <si>
    <t xml:space="preserve">Domestic - Lighting and AEH - </t>
  </si>
  <si>
    <t>Applicable to BBMP , Municipal Corporations and Other Urban Local Bodies</t>
  </si>
  <si>
    <t>IP Sets - &lt;=10HP</t>
  </si>
  <si>
    <t xml:space="preserve">BBMP, Municipal Corporations  and other ULBs </t>
  </si>
  <si>
    <t xml:space="preserve"> IP Sets</t>
  </si>
  <si>
    <t xml:space="preserve">BJ/KJ </t>
  </si>
  <si>
    <t>Next 100 units</t>
  </si>
  <si>
    <t>Next 100 Units</t>
  </si>
  <si>
    <t>Industrial - BBMP &amp; Municipal Corporations</t>
  </si>
  <si>
    <t>Industrial - other than covered under                 HT 2 (a) (i )</t>
  </si>
  <si>
    <t>BBMP &amp; Municipal Corporations</t>
  </si>
  <si>
    <t xml:space="preserve">Commercial - area under </t>
  </si>
  <si>
    <t xml:space="preserve">Commercial - other than covered under </t>
  </si>
  <si>
    <t>Hospitals and Educational Institiutions, Hostels of Educational Institutions not covered                                    under HT2-c(i)</t>
  </si>
  <si>
    <t>BJ/KJ &lt; 40 Units</t>
  </si>
  <si>
    <t>BJ/KJ &gt; 40 Units</t>
  </si>
  <si>
    <t>BJ/KJ&lt; 40 Units</t>
  </si>
  <si>
    <t>OK</t>
  </si>
  <si>
    <t>Existing Rev</t>
  </si>
  <si>
    <t>Diff in FC &amp; EC</t>
  </si>
  <si>
    <t xml:space="preserve">Per unit increase in tariff </t>
  </si>
  <si>
    <t>LT-6 (a)</t>
  </si>
  <si>
    <t>LT-6  (b)</t>
  </si>
  <si>
    <t>LT-6 (c )</t>
  </si>
  <si>
    <t>Electric Vehicle Charging stations</t>
  </si>
  <si>
    <t>Per KW/ KvA</t>
  </si>
  <si>
    <t>LT-6 (b)</t>
  </si>
  <si>
    <t>KW / KvA</t>
  </si>
  <si>
    <t>LT</t>
  </si>
  <si>
    <t>KvA</t>
  </si>
  <si>
    <t xml:space="preserve">KW </t>
  </si>
  <si>
    <t xml:space="preserve"> KvA</t>
  </si>
  <si>
    <t>Electric Vehicle Charging Stations</t>
  </si>
  <si>
    <t>Commercial - BBMP and municipal Corporations area.</t>
  </si>
  <si>
    <t>HT-2(b) (i) area.</t>
  </si>
  <si>
    <t xml:space="preserve">Mid Year No. of </t>
  </si>
  <si>
    <t xml:space="preserve">Diff inRevenue in Crs </t>
  </si>
  <si>
    <t>Above 200 units</t>
  </si>
  <si>
    <t>FY 19 (Actuals)</t>
  </si>
  <si>
    <t>FY20</t>
  </si>
  <si>
    <t>FY21</t>
  </si>
  <si>
    <t>Misc. Charges +Interest on belated payments+wheeling charges and CSS</t>
  </si>
  <si>
    <t>Misc.</t>
  </si>
  <si>
    <t>AV Cost for FY21</t>
  </si>
  <si>
    <t xml:space="preserve"> </t>
  </si>
  <si>
    <t>AV Cost of supply at     FY-21 Rate</t>
  </si>
  <si>
    <t>67&lt;=x&lt;100</t>
  </si>
  <si>
    <t>Approved ARR5</t>
  </si>
  <si>
    <t>Gap approved</t>
  </si>
  <si>
    <t>Proposed Revenue</t>
  </si>
  <si>
    <t>&lt;=50 kWh</t>
  </si>
  <si>
    <t>50&lt;x&lt;=100kWh</t>
  </si>
  <si>
    <t>First 50 units</t>
  </si>
  <si>
    <t>Next 50 units</t>
  </si>
  <si>
    <t>Above 200</t>
  </si>
  <si>
    <t xml:space="preserve">LED/ Induction </t>
  </si>
  <si>
    <t>LT-4(a)</t>
  </si>
  <si>
    <t>Every additional KW upto and inclusive of 50kW</t>
  </si>
  <si>
    <t>Next 50units</t>
  </si>
  <si>
    <t>Per KW upto and inclusive of 50kW</t>
  </si>
  <si>
    <t>LT-4 (c )</t>
  </si>
  <si>
    <t>Per HP upto 67HP</t>
  </si>
  <si>
    <t>above 67HP</t>
  </si>
  <si>
    <t>PL</t>
  </si>
  <si>
    <t>LED/IL</t>
  </si>
  <si>
    <t>Per Kw/KvA upto 50</t>
  </si>
  <si>
    <t>above 50</t>
  </si>
  <si>
    <t>additional</t>
  </si>
  <si>
    <t>Discounted Energy Rate Scheme</t>
  </si>
  <si>
    <t xml:space="preserve">            </t>
  </si>
  <si>
    <t>Every additional KW  above 50kW</t>
  </si>
  <si>
    <t>Every additional KW above 50kW</t>
  </si>
  <si>
    <t>Above 100 HP</t>
  </si>
  <si>
    <t>FY22</t>
  </si>
  <si>
    <t>FY23</t>
  </si>
  <si>
    <t>For every additional KW/ month above 50 KW</t>
  </si>
  <si>
    <t>HT- Per KvA</t>
  </si>
  <si>
    <t>Every additional KW upto and inclusive of 50 kW</t>
  </si>
  <si>
    <t>For sanctioned load upto and inclusive of 50 KW (per KW / month)</t>
  </si>
  <si>
    <t>For sanctioned load of above 50 KW    (per KW/ month)</t>
  </si>
  <si>
    <t>EC subject to minimum of Rs.60PM/Installation</t>
  </si>
  <si>
    <t>Up to and inclusive of 50kW</t>
  </si>
  <si>
    <t>For sanctioned load  above 50 KW    (per KW/ month)</t>
  </si>
  <si>
    <t>RA</t>
  </si>
  <si>
    <t>Advertisement/ Hoardings Supply availed on permanent connection basis</t>
  </si>
  <si>
    <t>Increase</t>
  </si>
  <si>
    <t>Consumption in MU</t>
  </si>
  <si>
    <t>Slab wise consumption</t>
  </si>
  <si>
    <t>Existing Fixed charges</t>
  </si>
  <si>
    <t>Revised  Fixed charges</t>
  </si>
  <si>
    <t>AV Realisation</t>
  </si>
  <si>
    <t>Revenue at Proposed Tariff Rates for FY24</t>
  </si>
  <si>
    <t>Revenue at Existing Tariff Rates for FY24      KERC</t>
  </si>
  <si>
    <t>Sanctioned</t>
  </si>
  <si>
    <t>Load</t>
  </si>
  <si>
    <t>Mid Year</t>
  </si>
  <si>
    <t>sanctioned</t>
  </si>
  <si>
    <t>load</t>
  </si>
  <si>
    <t>Sl.</t>
  </si>
  <si>
    <t>No.</t>
  </si>
  <si>
    <t>Tariff</t>
  </si>
  <si>
    <t>Sales</t>
  </si>
  <si>
    <t>MU</t>
  </si>
  <si>
    <t>FC Rate</t>
  </si>
  <si>
    <t>Rs./Unit</t>
  </si>
  <si>
    <t>Rs.</t>
  </si>
  <si>
    <t>EC Rate</t>
  </si>
  <si>
    <t>Rs.in Cr</t>
  </si>
  <si>
    <t>&gt; 40 Units</t>
  </si>
  <si>
    <t>=&lt; 40 Units</t>
  </si>
  <si>
    <t>LT-1 Total</t>
  </si>
  <si>
    <t>LT-2a(i)</t>
  </si>
  <si>
    <t>Sub-total:</t>
  </si>
  <si>
    <t>Slabs</t>
  </si>
  <si>
    <t>Total Billed</t>
  </si>
  <si>
    <t>Avg./unit</t>
  </si>
  <si>
    <t>LT-2a Total</t>
  </si>
  <si>
    <t>LT-2b(i)</t>
  </si>
  <si>
    <t>Upto 50 KW</t>
  </si>
  <si>
    <t>First 200 units</t>
  </si>
  <si>
    <t>FY24 Revised estimate</t>
  </si>
  <si>
    <t>FY24 as approved in TO-2022</t>
  </si>
  <si>
    <t>FY24 as per  Revised filing</t>
  </si>
  <si>
    <t>FY24 Revised as per KERC</t>
  </si>
  <si>
    <t>No. of Instalations</t>
  </si>
  <si>
    <t>Sales-MU</t>
  </si>
  <si>
    <t>% Growth -Instls.</t>
  </si>
  <si>
    <t>% Growth-sales</t>
  </si>
  <si>
    <t>Diff INSTL (KERC-BES)</t>
  </si>
  <si>
    <t>Diff Sales (KERC-BES)</t>
  </si>
  <si>
    <t>Mid Year Instl.</t>
  </si>
  <si>
    <t>LT-1 (a)</t>
  </si>
  <si>
    <t>LT-2a</t>
  </si>
  <si>
    <t>LT-2b</t>
  </si>
  <si>
    <t>LT-3</t>
  </si>
  <si>
    <t>LT-4 (a)</t>
  </si>
  <si>
    <t>LT-4 (b)</t>
  </si>
  <si>
    <t>LT-5</t>
  </si>
  <si>
    <t>LT-6a</t>
  </si>
  <si>
    <t>LT-6b</t>
  </si>
  <si>
    <t>LT 6C</t>
  </si>
  <si>
    <t>HT-2a</t>
  </si>
  <si>
    <t>HT-2b</t>
  </si>
  <si>
    <t>HT-2c</t>
  </si>
  <si>
    <t>HT-3 (a) &amp; (b)</t>
  </si>
  <si>
    <t>HT-Total</t>
  </si>
  <si>
    <t>Total HT + LT</t>
  </si>
  <si>
    <t>METERED</t>
  </si>
  <si>
    <t>UN-METERED</t>
  </si>
  <si>
    <t>Addl. Sales</t>
  </si>
  <si>
    <t>G. Total including addl.sales</t>
  </si>
  <si>
    <t>MESCOM</t>
  </si>
  <si>
    <t>LT-6c</t>
  </si>
  <si>
    <t>G.Total</t>
  </si>
  <si>
    <t>Aux/KPCL</t>
  </si>
  <si>
    <t xml:space="preserve">Total excludes wheling, &amp; SEZ; KPCL sales2.88 MU </t>
  </si>
  <si>
    <t xml:space="preserve">Total excludes wheling, SEZ(67.95 MU @ IF  &amp; KPCL (6.81MU)sales </t>
  </si>
  <si>
    <t>Total excludes wheling, SEZ &amp; KPCL sales</t>
  </si>
  <si>
    <t>wheeled-MU</t>
  </si>
  <si>
    <t>Additional Sales</t>
  </si>
  <si>
    <t>Grand total</t>
  </si>
  <si>
    <t>CESC</t>
  </si>
  <si>
    <t>AUX</t>
  </si>
  <si>
    <t>HESCOM</t>
  </si>
  <si>
    <t>.</t>
  </si>
  <si>
    <t>G. Total</t>
  </si>
  <si>
    <t>addl. Sales</t>
  </si>
  <si>
    <t>GESCOM</t>
  </si>
  <si>
    <t>Addl. Sale</t>
  </si>
  <si>
    <t>All ESCOMs</t>
  </si>
  <si>
    <t>LT-2</t>
  </si>
  <si>
    <t>HT-2 (a)</t>
  </si>
  <si>
    <t>HT-2 (b)</t>
  </si>
  <si>
    <t>ADDl. Sales</t>
  </si>
  <si>
    <t>Aux.</t>
  </si>
  <si>
    <t>HRECS EXCL. AEQUS</t>
  </si>
  <si>
    <t>MSEZ</t>
  </si>
  <si>
    <t>AEQUS</t>
  </si>
  <si>
    <t>G. TOTAL</t>
  </si>
  <si>
    <t>LT-2b Total</t>
  </si>
  <si>
    <t>LT-2b(ii)</t>
  </si>
  <si>
    <t>LT-2a(ii)</t>
  </si>
  <si>
    <t>Minimum FC</t>
  </si>
  <si>
    <t>LT-3 Total</t>
  </si>
  <si>
    <t>Above 50 units</t>
  </si>
  <si>
    <t>LT-4a</t>
  </si>
  <si>
    <t>Upto 10 HP</t>
  </si>
  <si>
    <t>All units</t>
  </si>
  <si>
    <t>LT-4b</t>
  </si>
  <si>
    <t>Above 10 HP</t>
  </si>
  <si>
    <t>LT-4c</t>
  </si>
  <si>
    <t>Horticulture Nurseries</t>
  </si>
  <si>
    <t>LT-4 Total</t>
  </si>
  <si>
    <t>LT-5 Total</t>
  </si>
  <si>
    <t>5 HP &amp; below</t>
  </si>
  <si>
    <t>Above 5 HP &amp; below 40 HP</t>
  </si>
  <si>
    <t>40 HP &amp; above but below 67 HP</t>
  </si>
  <si>
    <t>67 HP &amp; above but below 100 HP</t>
  </si>
  <si>
    <t>100 HP &amp; above</t>
  </si>
  <si>
    <t>First 500 units</t>
  </si>
  <si>
    <t>Next 500 units</t>
  </si>
  <si>
    <t>Above 1000 units</t>
  </si>
  <si>
    <t>Above 500 units</t>
  </si>
  <si>
    <t>LT-6 Total</t>
  </si>
  <si>
    <t>Upto 67 HP</t>
  </si>
  <si>
    <t>For additional KW above 67 HP</t>
  </si>
  <si>
    <t>All loads</t>
  </si>
  <si>
    <t>LT:  Upto 50 KW</t>
  </si>
  <si>
    <t>LT:  For additional KW above 50 KW</t>
  </si>
  <si>
    <t>HT: kVA</t>
  </si>
  <si>
    <t>LT-7a</t>
  </si>
  <si>
    <t>LT-7b</t>
  </si>
  <si>
    <t>Below 67 HP</t>
  </si>
  <si>
    <t>LT-7 Total</t>
  </si>
  <si>
    <t>LT: Total</t>
  </si>
  <si>
    <t>All loads kVA</t>
  </si>
  <si>
    <t>Above 1 lakh units</t>
  </si>
  <si>
    <t>First 1 lakh units</t>
  </si>
  <si>
    <t>HT-2a Total</t>
  </si>
  <si>
    <t>HT-2a(i)</t>
  </si>
  <si>
    <t>HT-2a(ii)</t>
  </si>
  <si>
    <t>HT-2b Total</t>
  </si>
  <si>
    <t>HT-2b(i)</t>
  </si>
  <si>
    <t>HT-2b(ii)</t>
  </si>
  <si>
    <t>First 2 lakh units</t>
  </si>
  <si>
    <t>Above 2 lakh units</t>
  </si>
  <si>
    <t>HT-2c Total</t>
  </si>
  <si>
    <t>HT-2c(i)</t>
  </si>
  <si>
    <t>HT-2c(ii)</t>
  </si>
  <si>
    <t>HT-3 Total</t>
  </si>
  <si>
    <t>All loads HP</t>
  </si>
  <si>
    <t>HT: Total</t>
  </si>
  <si>
    <t>LT+HT: Total</t>
  </si>
  <si>
    <t>GRAND TOTAL</t>
  </si>
  <si>
    <t>Revenue at existing tariff: FY24</t>
  </si>
  <si>
    <t>D-21a</t>
  </si>
  <si>
    <t>FC</t>
  </si>
  <si>
    <t>EC</t>
  </si>
  <si>
    <t>HT-3a(i)</t>
  </si>
  <si>
    <t>HT-3a(ii)</t>
  </si>
  <si>
    <t>HT-3a(iii)</t>
  </si>
  <si>
    <t>HT-3b</t>
  </si>
  <si>
    <t>HUKKERI</t>
  </si>
  <si>
    <t>S</t>
  </si>
  <si>
    <t>Hukkeri</t>
  </si>
  <si>
    <t>BJ/KJ</t>
  </si>
  <si>
    <t>BMRCL</t>
  </si>
  <si>
    <t>Railway Traction</t>
  </si>
  <si>
    <t>Effluent Treatement Plants</t>
  </si>
  <si>
    <t>HT-5(a)</t>
  </si>
  <si>
    <t>Revenue at existing tariff structure</t>
  </si>
  <si>
    <t>Revenue after merging Rural &amp; Urban</t>
  </si>
  <si>
    <t>Increase in Revenue due to merger</t>
  </si>
  <si>
    <t>Impact of merging Urban and Rural categories (with reference to 2023 tariff schedule)</t>
  </si>
  <si>
    <t>Per unit</t>
  </si>
  <si>
    <t>Impact</t>
  </si>
  <si>
    <t>(Ps/unit)</t>
  </si>
  <si>
    <t>Tariff equating with BBMP</t>
  </si>
  <si>
    <t>Impact of Equating BBMP tariff to other ESCOMs  (with reference to 2023 tariff schedule)</t>
  </si>
  <si>
    <t>HT-3</t>
  </si>
  <si>
    <t>All Units</t>
  </si>
  <si>
    <t>HT-6</t>
  </si>
  <si>
    <t>Existing Tariff for FY-23 and Proposed Tariff for FY-24.</t>
  </si>
  <si>
    <t> Existing Tariff</t>
  </si>
  <si>
    <t> Proposed Tariff</t>
  </si>
  <si>
    <t>Slab</t>
  </si>
  <si>
    <t xml:space="preserve">Domestic / AEH - </t>
  </si>
  <si>
    <t>Every addn KW upto 50 KW</t>
  </si>
  <si>
    <t>Every addn KW above 50 KW</t>
  </si>
  <si>
    <t>101 - 200 units</t>
  </si>
  <si>
    <t xml:space="preserve"> Areas </t>
  </si>
  <si>
    <t>Pvt. Edu Inst</t>
  </si>
  <si>
    <t>Per KW</t>
  </si>
  <si>
    <t>0 -200 units</t>
  </si>
  <si>
    <t xml:space="preserve">Commercial - </t>
  </si>
  <si>
    <t>areas under VPs</t>
  </si>
  <si>
    <t>IP Sets - &lt;=10Hp</t>
  </si>
  <si>
    <t>IP Sets Above 10 HP</t>
  </si>
  <si>
    <t>Heating &amp; Motive power</t>
  </si>
  <si>
    <t>0  to 500 units</t>
  </si>
  <si>
    <t>501 - 1000 units</t>
  </si>
  <si>
    <t>LT-6(a)</t>
  </si>
  <si>
    <t>Per HP upto 67 HP</t>
  </si>
  <si>
    <t>Every additional HP above 67 HP</t>
  </si>
  <si>
    <t>LT-6(b)</t>
  </si>
  <si>
    <t>LT-6(c)</t>
  </si>
  <si>
    <t>E vehicle charging</t>
  </si>
  <si>
    <t>Per KW upto 50 KW</t>
  </si>
  <si>
    <t>Every addl. KW above 200 KW</t>
  </si>
  <si>
    <t>For HT Instalaltions (per KVA)</t>
  </si>
  <si>
    <t>Water Sup, drainage</t>
  </si>
  <si>
    <t>HT-2(a)</t>
  </si>
  <si>
    <t>HT-2(b)</t>
  </si>
  <si>
    <t>Govt Hospitals,</t>
  </si>
  <si>
    <t xml:space="preserve"> Govt Educational Institutes</t>
  </si>
  <si>
    <t>Pvt. Hospitals</t>
  </si>
  <si>
    <t xml:space="preserve"> Pvt.  Educational Institutes</t>
  </si>
  <si>
    <t>Lift Irrig Govt. Dept</t>
  </si>
  <si>
    <t xml:space="preserve">Irrig &amp; agri farms, govt </t>
  </si>
  <si>
    <t xml:space="preserve">Res. Apartments </t>
  </si>
  <si>
    <t>BBMP, Municipal Corporations,</t>
  </si>
  <si>
    <t xml:space="preserve"> and all Urban Areas</t>
  </si>
  <si>
    <t>0 -50 units</t>
  </si>
  <si>
    <t>51 -100units</t>
  </si>
  <si>
    <t xml:space="preserve"> Areas coming under</t>
  </si>
  <si>
    <t>Commercial, BBMP, Municipal</t>
  </si>
  <si>
    <t>Corporations and all Urban areas</t>
  </si>
  <si>
    <t>IP Sets - Horticulture</t>
  </si>
  <si>
    <t>Industrial</t>
  </si>
  <si>
    <t>Above 5 HP to below 40 HP</t>
  </si>
  <si>
    <t>Above 40 HP to below 67HP</t>
  </si>
  <si>
    <t>Above 67 HP  &amp; below 100 HP</t>
  </si>
  <si>
    <t>All areas other than those</t>
  </si>
  <si>
    <t>covered under LT-5a</t>
  </si>
  <si>
    <t>Per KW/ subject to weekly min.</t>
  </si>
  <si>
    <t>Temporary Supply &lt; 67 HP</t>
  </si>
  <si>
    <t>Temp.-Permanent connection &lt; 67HP</t>
  </si>
  <si>
    <t>0 -100000 units</t>
  </si>
  <si>
    <t>Above 100000 units</t>
  </si>
  <si>
    <t>Industrial, All areas other than</t>
  </si>
  <si>
    <t>those covered under HT-2a(i)</t>
  </si>
  <si>
    <t>Coomercial, All areas other than</t>
  </si>
  <si>
    <t>0 -200000 units</t>
  </si>
  <si>
    <t>Above 200000 units</t>
  </si>
  <si>
    <t>Pvt. LI schemes, Express Feeders</t>
  </si>
  <si>
    <t>Pvt. LI schemes</t>
  </si>
  <si>
    <t>Per HP/Annual Minimum</t>
  </si>
  <si>
    <t>Bangalore International Exhibition</t>
  </si>
  <si>
    <t>F.C Rs.</t>
  </si>
  <si>
    <t>E.C                 (Ps./kWh)</t>
  </si>
  <si>
    <t>0 -100 units</t>
  </si>
  <si>
    <t>0 - All Units</t>
  </si>
  <si>
    <t>LT-2(a)</t>
  </si>
  <si>
    <t>LT-2(b)</t>
  </si>
  <si>
    <t>Hospitals &amp; Pvt. Edu. Instituins</t>
  </si>
  <si>
    <t>Commercial,</t>
  </si>
  <si>
    <t>Below 100 HP</t>
  </si>
  <si>
    <t>Per KW/per month</t>
  </si>
  <si>
    <t>THIS CATEGORY SHIFTED TO LT-3</t>
  </si>
  <si>
    <t>Lift Irrigation</t>
  </si>
  <si>
    <t>Per HP/per month</t>
  </si>
  <si>
    <t>HT-5(a) TO BE INDICATED UNDER HT-5</t>
  </si>
  <si>
    <t>THIS CATEGORY TO BE NUMBERED AS HT-6</t>
  </si>
  <si>
    <t>NEW TARIFF</t>
  </si>
  <si>
    <t>DEMAND BASED TARIFF</t>
  </si>
  <si>
    <t>&gt;=40 HP &lt;67 HP</t>
  </si>
  <si>
    <t>&gt;5 HP &lt;40 HP</t>
  </si>
  <si>
    <t>&gt;=67 HP &lt;100 HP</t>
  </si>
  <si>
    <t>&gt;= 100 HP</t>
  </si>
  <si>
    <t>Proposed Tariff</t>
  </si>
  <si>
    <t>0-50 units</t>
  </si>
  <si>
    <t>0-100 units</t>
  </si>
  <si>
    <t>Above 100 units</t>
  </si>
  <si>
    <t>For all units</t>
  </si>
  <si>
    <t>Balance Units</t>
  </si>
  <si>
    <t>All unis</t>
  </si>
  <si>
    <t>Less than 40 HP</t>
  </si>
  <si>
    <t>Above 40 HP  upto 100 HP</t>
  </si>
  <si>
    <t>HT-2©</t>
  </si>
  <si>
    <t>Retail Supply Tariff for FY23 approved by KERC in Tariff Order 2022 Dated:        for BESCOM</t>
  </si>
  <si>
    <t>LT-3(a)</t>
  </si>
  <si>
    <t>LT-3(b)</t>
  </si>
  <si>
    <t>Every addl. KW above 50 KW</t>
  </si>
  <si>
    <t>Hoardings @ adversitment board on Permanent connection basis</t>
  </si>
  <si>
    <t>All unit</t>
  </si>
  <si>
    <t>Per HP / Kw</t>
  </si>
  <si>
    <t>APPROVED BY COMMISSION</t>
  </si>
  <si>
    <t>Existing ToD</t>
  </si>
  <si>
    <t>Increase(+)/reduction(-) in energy charges  over the normal tariff applicable</t>
  </si>
  <si>
    <t>06.00Hrs to 10.00Hrs</t>
  </si>
  <si>
    <t>10.00Hrs to18.00Hrs</t>
  </si>
  <si>
    <t>18.00Hrs to 22.00Hrs</t>
  </si>
  <si>
    <t>From July to November (Monsoon Period)     0</t>
  </si>
  <si>
    <t>From December to June        (+) 100 paise per unit</t>
  </si>
  <si>
    <t>22.00Hrs to 06.00Hrs</t>
  </si>
  <si>
    <t>From July to November (Monsoon Period)    0</t>
  </si>
  <si>
    <t>From December to June        (-) 100 paise per unit</t>
  </si>
  <si>
    <t>Approved by the Commission</t>
  </si>
  <si>
    <t>From December to June (+) 100 paise per unit</t>
  </si>
  <si>
    <t>From December to June (-) 100 paise per unit</t>
  </si>
  <si>
    <t>Time of the Day</t>
  </si>
  <si>
    <t>Retail Supply Tariff for FY24 approved by KERC in Tariff Order 2023 Dated: 12.05.2023 for BESCOM</t>
  </si>
  <si>
    <t>Commercial, All areas other than</t>
  </si>
  <si>
    <t>Govt Educational Institutes</t>
  </si>
  <si>
    <t>Pvt.  Educational Institutes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</si>
</sst>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1" formatCode="_(* #,##0_);_(* \(#,##0\);_(* &quot;-&quot;_);_(@_)"/>
    <numFmt numFmtId="44" formatCode="_(&quot;$&quot;* #,##0.00_);_(&quot;$&quot;* \(#,##0.00\);_(&quot;$&quot;* &quot;-&quot;??_);_(@_)"/>
    <numFmt numFmtId="43" formatCode="_(* #,##0.00_);_(* \(#,##0.00\);_(* &quot;-&quot;??_);_(@_)"/>
    <numFmt numFmtId="164" formatCode="_ * #,##0.00_ ;_ * \-#,##0.00_ ;_ * &quot;-&quot;??_ ;_ @_ "/>
    <numFmt numFmtId="165" formatCode="&quot;Rs.&quot;\ #,##0;&quot;Rs.&quot;\ \-#,##0"/>
    <numFmt numFmtId="166" formatCode="0.000"/>
    <numFmt numFmtId="167" formatCode="0.0"/>
    <numFmt numFmtId="168" formatCode="0_)"/>
    <numFmt numFmtId="169" formatCode="0.00_)"/>
    <numFmt numFmtId="170" formatCode="0.0000_)"/>
    <numFmt numFmtId="171" formatCode="0.0000"/>
    <numFmt numFmtId="172" formatCode="_([$€-2]* #,##0.00_);_([$€-2]* \(#,##0.00\);_([$€-2]* &quot;-&quot;??_)"/>
    <numFmt numFmtId="173" formatCode="_ * #,##0.00_ ;_ * \-#,##0.00_ ;_ * &quot;-&quot;_ ;_ @_ "/>
    <numFmt numFmtId="174" formatCode="_ * #,##0_ ;_ * \-#,##0_ ;_ * &quot;-&quot;??_ ;_ @_ "/>
  </numFmts>
  <fonts count="110" x14ac:knownFonts="1">
    <font>
      <sz val="10"/>
      <name val="Arial"/>
    </font>
    <font>
      <sz val="11"/>
      <color indexed="8"/>
      <name val="Calibri"/>
      <family val="2"/>
    </font>
    <font>
      <sz val="11"/>
      <color indexed="8"/>
      <name val="Calibri"/>
      <family val="2"/>
    </font>
    <font>
      <sz val="10"/>
      <name val="Arial"/>
      <family val="2"/>
    </font>
    <font>
      <b/>
      <sz val="11"/>
      <name val="Arial"/>
      <family val="2"/>
    </font>
    <font>
      <b/>
      <sz val="10"/>
      <name val="Arial"/>
      <family val="2"/>
    </font>
    <font>
      <sz val="12"/>
      <name val="Arial"/>
      <family val="2"/>
    </font>
    <font>
      <sz val="12"/>
      <color indexed="8"/>
      <name val="Arial"/>
      <family val="2"/>
    </font>
    <font>
      <sz val="12"/>
      <color indexed="8"/>
      <name val="Tahoma"/>
      <family val="2"/>
    </font>
    <font>
      <b/>
      <sz val="12"/>
      <color indexed="12"/>
      <name val="Arial"/>
      <family val="2"/>
    </font>
    <font>
      <b/>
      <sz val="12"/>
      <color indexed="9"/>
      <name val="Arial"/>
      <family val="2"/>
    </font>
    <font>
      <sz val="12"/>
      <color indexed="9"/>
      <name val="Arial"/>
      <family val="2"/>
    </font>
    <font>
      <b/>
      <sz val="12"/>
      <color indexed="12"/>
      <name val="Tahoma"/>
      <family val="2"/>
    </font>
    <font>
      <b/>
      <sz val="14"/>
      <color indexed="12"/>
      <name val="Century Gothic"/>
      <family val="2"/>
    </font>
    <font>
      <b/>
      <sz val="12"/>
      <color indexed="8"/>
      <name val="Arial"/>
      <family val="2"/>
    </font>
    <font>
      <b/>
      <sz val="14"/>
      <color indexed="9"/>
      <name val="Garamond"/>
      <family val="1"/>
    </font>
    <font>
      <b/>
      <sz val="14"/>
      <color indexed="9"/>
      <name val="Palatino Linotype"/>
      <family val="1"/>
    </font>
    <font>
      <b/>
      <sz val="12"/>
      <color indexed="12"/>
      <name val="Arial"/>
      <family val="2"/>
    </font>
    <font>
      <sz val="10"/>
      <color indexed="10"/>
      <name val="Arial"/>
      <family val="2"/>
    </font>
    <font>
      <b/>
      <sz val="12"/>
      <name val="Arial"/>
      <family val="2"/>
    </font>
    <font>
      <sz val="10"/>
      <color indexed="8"/>
      <name val="Arial"/>
      <family val="2"/>
    </font>
    <font>
      <u/>
      <sz val="10"/>
      <color indexed="12"/>
      <name val="Arial"/>
      <family val="2"/>
    </font>
    <font>
      <sz val="11"/>
      <name val="Times New Roman"/>
      <family val="1"/>
    </font>
    <font>
      <b/>
      <sz val="9"/>
      <name val="Arial"/>
      <family val="2"/>
    </font>
    <font>
      <b/>
      <sz val="16"/>
      <name val="Arial"/>
      <family val="2"/>
    </font>
    <font>
      <b/>
      <sz val="10"/>
      <name val="Century Gothic"/>
      <family val="2"/>
    </font>
    <font>
      <sz val="13"/>
      <name val="Century Gothic"/>
      <family val="2"/>
    </font>
    <font>
      <sz val="10"/>
      <name val="Arial"/>
      <family val="2"/>
    </font>
    <font>
      <sz val="13"/>
      <name val="Arial"/>
      <family val="2"/>
    </font>
    <font>
      <sz val="14"/>
      <name val="Garamond"/>
      <family val="1"/>
    </font>
    <font>
      <sz val="14"/>
      <name val="Palatino Linotype"/>
      <family val="1"/>
    </font>
    <font>
      <b/>
      <sz val="14"/>
      <name val="Garamond"/>
      <family val="1"/>
    </font>
    <font>
      <sz val="12"/>
      <name val="Tahoma"/>
      <family val="2"/>
    </font>
    <font>
      <b/>
      <sz val="14"/>
      <name val="Tahoma"/>
      <family val="2"/>
    </font>
    <font>
      <b/>
      <sz val="12"/>
      <name val="Tahoma"/>
      <family val="2"/>
    </font>
    <font>
      <i/>
      <sz val="12"/>
      <name val="Arial"/>
      <family val="2"/>
    </font>
    <font>
      <b/>
      <sz val="10"/>
      <name val="Garamond"/>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4"/>
      <name val="Arial"/>
      <family val="2"/>
    </font>
    <font>
      <sz val="10"/>
      <name val="Tahoma"/>
      <family val="2"/>
    </font>
    <font>
      <b/>
      <sz val="10"/>
      <name val="Tahoma"/>
      <family val="2"/>
    </font>
    <font>
      <i/>
      <sz val="10"/>
      <name val="Arial"/>
      <family val="2"/>
    </font>
    <font>
      <sz val="9"/>
      <name val="Arial"/>
      <family val="2"/>
    </font>
    <font>
      <b/>
      <sz val="8"/>
      <name val="Arial"/>
      <family val="2"/>
    </font>
    <font>
      <b/>
      <sz val="14"/>
      <color indexed="9"/>
      <name val="Palatino Linotype"/>
      <family val="1"/>
    </font>
    <font>
      <sz val="10"/>
      <color indexed="10"/>
      <name val="Arial"/>
      <family val="2"/>
    </font>
    <font>
      <sz val="12"/>
      <color indexed="10"/>
      <name val="Arial"/>
      <family val="2"/>
    </font>
    <font>
      <b/>
      <sz val="12"/>
      <color indexed="10"/>
      <name val="Arial"/>
      <family val="2"/>
    </font>
    <font>
      <b/>
      <sz val="10"/>
      <name val="Cambria"/>
      <family val="1"/>
    </font>
    <font>
      <b/>
      <sz val="10"/>
      <color indexed="9"/>
      <name val="Arial"/>
      <family val="2"/>
    </font>
    <font>
      <b/>
      <sz val="12"/>
      <name val="Cambria"/>
      <family val="1"/>
    </font>
    <font>
      <sz val="10"/>
      <color indexed="9"/>
      <name val="Arial"/>
      <family val="2"/>
    </font>
    <font>
      <b/>
      <sz val="10"/>
      <color indexed="9"/>
      <name val="Palatino Linotype"/>
      <family val="1"/>
    </font>
    <font>
      <sz val="10"/>
      <name val="Cambria"/>
      <family val="1"/>
    </font>
    <font>
      <sz val="10"/>
      <color indexed="17"/>
      <name val="Arial"/>
      <family val="2"/>
    </font>
    <font>
      <sz val="10"/>
      <color indexed="10"/>
      <name val="Arial"/>
      <family val="2"/>
    </font>
    <font>
      <sz val="8"/>
      <name val="Arial"/>
      <family val="2"/>
    </font>
    <font>
      <b/>
      <sz val="10"/>
      <name val="Palatino Linotype"/>
      <family val="1"/>
    </font>
    <font>
      <b/>
      <sz val="12"/>
      <name val="Palatino Linotype"/>
      <family val="1"/>
    </font>
    <font>
      <b/>
      <sz val="14"/>
      <name val="Palatino Linotype"/>
      <family val="1"/>
    </font>
    <font>
      <sz val="14"/>
      <name val="Arial"/>
      <family val="2"/>
    </font>
    <font>
      <b/>
      <sz val="12"/>
      <name val="Garamond"/>
      <family val="1"/>
    </font>
    <font>
      <b/>
      <sz val="12"/>
      <color indexed="9"/>
      <name val="Palatino Linotype"/>
      <family val="1"/>
    </font>
    <font>
      <b/>
      <sz val="16"/>
      <name val="Garamond"/>
      <family val="1"/>
    </font>
    <font>
      <sz val="10"/>
      <name val="Times New Roman"/>
      <family val="1"/>
    </font>
    <font>
      <sz val="12"/>
      <name val="Times New Roman"/>
      <family val="1"/>
    </font>
    <font>
      <b/>
      <sz val="12"/>
      <name val="Times New Roman"/>
      <family val="1"/>
    </font>
    <font>
      <b/>
      <sz val="10"/>
      <name val="Times New Roman"/>
      <family val="1"/>
    </font>
    <font>
      <sz val="9"/>
      <color indexed="81"/>
      <name val="Tahoma"/>
      <family val="2"/>
    </font>
    <font>
      <b/>
      <u val="singleAccounting"/>
      <sz val="14"/>
      <name val="Times New Roman"/>
      <family val="1"/>
    </font>
    <font>
      <b/>
      <sz val="14"/>
      <name val="Times New Roman"/>
      <family val="1"/>
    </font>
    <font>
      <b/>
      <u/>
      <sz val="12"/>
      <name val="Times New Roman"/>
      <family val="1"/>
    </font>
    <font>
      <b/>
      <sz val="11"/>
      <color indexed="8"/>
      <name val="Calibri"/>
      <family val="2"/>
    </font>
    <font>
      <sz val="11"/>
      <color indexed="10"/>
      <name val="Calibri"/>
      <family val="2"/>
    </font>
    <font>
      <sz val="10"/>
      <color indexed="10"/>
      <name val="Arial"/>
      <family val="2"/>
    </font>
    <font>
      <sz val="12"/>
      <color indexed="10"/>
      <name val="Arial"/>
      <family val="2"/>
    </font>
    <font>
      <b/>
      <sz val="12"/>
      <color indexed="10"/>
      <name val="Arial"/>
      <family val="2"/>
    </font>
    <font>
      <b/>
      <sz val="12"/>
      <color indexed="10"/>
      <name val="Times New Roman"/>
      <family val="1"/>
    </font>
    <font>
      <sz val="12"/>
      <color indexed="10"/>
      <name val="Times New Roman"/>
      <family val="1"/>
    </font>
    <font>
      <b/>
      <sz val="13"/>
      <color indexed="9"/>
      <name val="Times New Roman"/>
      <family val="1"/>
    </font>
    <font>
      <b/>
      <sz val="14"/>
      <color indexed="9"/>
      <name val="Times New Roman"/>
      <family val="1"/>
    </font>
    <font>
      <b/>
      <sz val="10"/>
      <color indexed="10"/>
      <name val="Times New Roman"/>
      <family val="1"/>
    </font>
    <font>
      <sz val="11"/>
      <color theme="1"/>
      <name val="Calibri"/>
      <family val="2"/>
      <scheme val="minor"/>
    </font>
    <font>
      <sz val="8"/>
      <name val="Times New Roman"/>
      <family val="1"/>
    </font>
    <font>
      <b/>
      <sz val="11"/>
      <name val="Times New Roman"/>
      <family val="1"/>
    </font>
    <font>
      <b/>
      <u/>
      <sz val="16"/>
      <name val="Times New Roman"/>
      <family val="1"/>
    </font>
    <font>
      <b/>
      <sz val="26"/>
      <name val="Times New Roman"/>
      <family val="1"/>
    </font>
    <font>
      <b/>
      <sz val="18"/>
      <name val="Times New Roman"/>
      <family val="1"/>
    </font>
    <font>
      <b/>
      <sz val="11"/>
      <color theme="1"/>
      <name val="Century Gothic"/>
      <family val="2"/>
    </font>
    <font>
      <b/>
      <sz val="11"/>
      <name val="Century Gothic"/>
      <family val="2"/>
    </font>
    <font>
      <sz val="11"/>
      <color theme="1"/>
      <name val="Century Gothic"/>
      <family val="2"/>
    </font>
    <font>
      <b/>
      <sz val="16"/>
      <color theme="1"/>
      <name val="Century Gothic"/>
      <family val="2"/>
    </font>
    <font>
      <b/>
      <sz val="16"/>
      <name val="Century Gothic"/>
      <family val="2"/>
    </font>
    <font>
      <sz val="11"/>
      <name val="Century Gothic"/>
      <family val="2"/>
    </font>
  </fonts>
  <fills count="7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7"/>
        <bgColor indexed="9"/>
      </patternFill>
    </fill>
    <fill>
      <patternFill patternType="solid">
        <fgColor indexed="27"/>
        <bgColor indexed="64"/>
      </patternFill>
    </fill>
    <fill>
      <patternFill patternType="solid">
        <fgColor indexed="15"/>
        <bgColor indexed="9"/>
      </patternFill>
    </fill>
    <fill>
      <patternFill patternType="solid">
        <fgColor indexed="15"/>
        <bgColor indexed="64"/>
      </patternFill>
    </fill>
    <fill>
      <patternFill patternType="solid">
        <fgColor indexed="15"/>
        <bgColor indexed="40"/>
      </patternFill>
    </fill>
    <fill>
      <patternFill patternType="solid">
        <fgColor indexed="11"/>
        <bgColor indexed="11"/>
      </patternFill>
    </fill>
    <fill>
      <patternFill patternType="solid">
        <fgColor indexed="42"/>
        <bgColor indexed="8"/>
      </patternFill>
    </fill>
    <fill>
      <patternFill patternType="solid">
        <fgColor indexed="17"/>
      </patternFill>
    </fill>
    <fill>
      <patternFill patternType="solid">
        <fgColor indexed="8"/>
        <bgColor indexed="64"/>
      </patternFill>
    </fill>
    <fill>
      <patternFill patternType="solid">
        <fgColor indexed="9"/>
        <bgColor indexed="8"/>
      </patternFill>
    </fill>
    <fill>
      <patternFill patternType="solid">
        <fgColor indexed="26"/>
        <bgColor indexed="9"/>
      </patternFill>
    </fill>
    <fill>
      <patternFill patternType="solid">
        <fgColor indexed="27"/>
        <bgColor indexed="40"/>
      </patternFill>
    </fill>
    <fill>
      <patternFill patternType="solid">
        <fgColor indexed="9"/>
        <bgColor indexed="64"/>
      </patternFill>
    </fill>
    <fill>
      <patternFill patternType="solid">
        <fgColor indexed="11"/>
        <bgColor indexed="9"/>
      </patternFill>
    </fill>
    <fill>
      <patternFill patternType="solid">
        <fgColor indexed="42"/>
        <bgColor indexed="9"/>
      </patternFill>
    </fill>
    <fill>
      <patternFill patternType="solid">
        <fgColor indexed="13"/>
        <bgColor indexed="64"/>
      </patternFill>
    </fill>
    <fill>
      <patternFill patternType="solid">
        <fgColor indexed="26"/>
        <bgColor indexed="40"/>
      </patternFill>
    </fill>
    <fill>
      <patternFill patternType="solid">
        <fgColor indexed="9"/>
      </patternFill>
    </fill>
    <fill>
      <patternFill patternType="solid">
        <fgColor indexed="8"/>
      </patternFill>
    </fill>
    <fill>
      <patternFill patternType="solid">
        <fgColor indexed="52"/>
        <bgColor indexed="64"/>
      </patternFill>
    </fill>
    <fill>
      <patternFill patternType="solid">
        <fgColor indexed="13"/>
        <bgColor indexed="9"/>
      </patternFill>
    </fill>
    <fill>
      <patternFill patternType="solid">
        <fgColor indexed="9"/>
        <bgColor indexed="9"/>
      </patternFill>
    </fill>
    <fill>
      <patternFill patternType="solid">
        <fgColor indexed="9"/>
        <bgColor indexed="22"/>
      </patternFill>
    </fill>
    <fill>
      <patternFill patternType="solid">
        <fgColor indexed="13"/>
      </patternFill>
    </fill>
    <fill>
      <patternFill patternType="solid">
        <fgColor indexed="29"/>
        <bgColor indexed="9"/>
      </patternFill>
    </fill>
    <fill>
      <patternFill patternType="solid">
        <fgColor indexed="11"/>
        <bgColor indexed="64"/>
      </patternFill>
    </fill>
    <fill>
      <patternFill patternType="solid">
        <fgColor indexed="31"/>
        <bgColor indexed="64"/>
      </patternFill>
    </fill>
    <fill>
      <patternFill patternType="solid">
        <fgColor indexed="51"/>
        <bgColor indexed="64"/>
      </patternFill>
    </fill>
    <fill>
      <patternFill patternType="solid">
        <fgColor indexed="51"/>
        <bgColor indexed="11"/>
      </patternFill>
    </fill>
    <fill>
      <patternFill patternType="solid">
        <fgColor indexed="46"/>
        <bgColor indexed="9"/>
      </patternFill>
    </fill>
    <fill>
      <patternFill patternType="solid">
        <fgColor indexed="27"/>
        <bgColor indexed="26"/>
      </patternFill>
    </fill>
    <fill>
      <patternFill patternType="solid">
        <fgColor indexed="31"/>
        <bgColor indexed="9"/>
      </patternFill>
    </fill>
    <fill>
      <patternFill patternType="solid">
        <fgColor indexed="44"/>
        <bgColor indexed="64"/>
      </patternFill>
    </fill>
    <fill>
      <patternFill patternType="solid">
        <fgColor indexed="53"/>
        <bgColor indexed="64"/>
      </patternFill>
    </fill>
    <fill>
      <patternFill patternType="solid">
        <fgColor indexed="13"/>
        <bgColor indexed="40"/>
      </patternFill>
    </fill>
    <fill>
      <patternFill patternType="solid">
        <fgColor indexed="13"/>
        <bgColor indexed="11"/>
      </patternFill>
    </fill>
    <fill>
      <patternFill patternType="solid">
        <fgColor indexed="13"/>
        <bgColor indexed="26"/>
      </patternFill>
    </fill>
    <fill>
      <patternFill patternType="solid">
        <fgColor indexed="13"/>
        <bgColor indexed="8"/>
      </patternFill>
    </fill>
    <fill>
      <patternFill patternType="solid">
        <fgColor indexed="42"/>
        <bgColor indexed="40"/>
      </patternFill>
    </fill>
    <fill>
      <patternFill patternType="solid">
        <fgColor indexed="42"/>
        <bgColor indexed="11"/>
      </patternFill>
    </fill>
    <fill>
      <patternFill patternType="solid">
        <fgColor indexed="42"/>
        <bgColor indexed="26"/>
      </patternFill>
    </fill>
    <fill>
      <patternFill patternType="solid">
        <fgColor indexed="42"/>
        <bgColor indexed="64"/>
      </patternFill>
    </fill>
    <fill>
      <patternFill patternType="solid">
        <fgColor indexed="9"/>
        <bgColor indexed="40"/>
      </patternFill>
    </fill>
    <fill>
      <patternFill patternType="solid">
        <fgColor indexed="46"/>
        <bgColor indexed="64"/>
      </patternFill>
    </fill>
    <fill>
      <patternFill patternType="solid">
        <fgColor indexed="9"/>
        <bgColor indexed="26"/>
      </patternFill>
    </fill>
    <fill>
      <patternFill patternType="solid">
        <fgColor indexed="22"/>
        <bgColor indexed="64"/>
      </patternFill>
    </fill>
    <fill>
      <patternFill patternType="solid">
        <fgColor indexed="45"/>
        <bgColor indexed="64"/>
      </patternFill>
    </fill>
    <fill>
      <patternFill patternType="solid">
        <fgColor indexed="29"/>
        <bgColor indexed="64"/>
      </patternFill>
    </fill>
    <fill>
      <patternFill patternType="solid">
        <fgColor indexed="19"/>
        <bgColor indexed="64"/>
      </patternFill>
    </fill>
    <fill>
      <patternFill patternType="solid">
        <fgColor indexed="9"/>
        <bgColor indexed="11"/>
      </patternFill>
    </fill>
    <fill>
      <patternFill patternType="solid">
        <fgColor theme="8" tint="0.79998168889431442"/>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4.9989318521683403E-2"/>
        <bgColor indexed="64"/>
      </patternFill>
    </fill>
  </fills>
  <borders count="1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5"/>
      </left>
      <right/>
      <top style="medium">
        <color indexed="8"/>
      </top>
      <bottom/>
      <diagonal/>
    </border>
    <border>
      <left style="thin">
        <color indexed="15"/>
      </left>
      <right style="medium">
        <color indexed="8"/>
      </right>
      <top style="medium">
        <color indexed="8"/>
      </top>
      <bottom/>
      <diagonal/>
    </border>
    <border>
      <left style="medium">
        <color indexed="8"/>
      </left>
      <right/>
      <top style="thin">
        <color indexed="15"/>
      </top>
      <bottom/>
      <diagonal/>
    </border>
    <border>
      <left style="thin">
        <color indexed="15"/>
      </left>
      <right/>
      <top style="thin">
        <color indexed="15"/>
      </top>
      <bottom/>
      <diagonal/>
    </border>
    <border>
      <left style="thin">
        <color indexed="15"/>
      </left>
      <right style="medium">
        <color indexed="8"/>
      </right>
      <top style="thin">
        <color indexed="15"/>
      </top>
      <bottom/>
      <diagonal/>
    </border>
    <border>
      <left style="thin">
        <color indexed="22"/>
      </left>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thin">
        <color indexed="11"/>
      </top>
      <bottom/>
      <diagonal/>
    </border>
    <border>
      <left style="thin">
        <color indexed="22"/>
      </left>
      <right/>
      <top style="thin">
        <color indexed="11"/>
      </top>
      <bottom/>
      <diagonal/>
    </border>
    <border>
      <left style="thin">
        <color indexed="8"/>
      </left>
      <right/>
      <top style="thin">
        <color indexed="11"/>
      </top>
      <bottom/>
      <diagonal/>
    </border>
    <border>
      <left style="thin">
        <color indexed="8"/>
      </left>
      <right style="medium">
        <color indexed="8"/>
      </right>
      <top style="thin">
        <color indexed="11"/>
      </top>
      <bottom/>
      <diagonal/>
    </border>
    <border>
      <left style="medium">
        <color indexed="8"/>
      </left>
      <right/>
      <top style="thin">
        <color indexed="8"/>
      </top>
      <bottom/>
      <diagonal/>
    </border>
    <border>
      <left style="thin">
        <color indexed="22"/>
      </left>
      <right/>
      <top style="thin">
        <color indexed="8"/>
      </top>
      <bottom/>
      <diagonal/>
    </border>
    <border>
      <left style="thin">
        <color indexed="8"/>
      </left>
      <right/>
      <top style="thin">
        <color indexed="8"/>
      </top>
      <bottom/>
      <diagonal/>
    </border>
    <border>
      <left style="thin">
        <color indexed="8"/>
      </left>
      <right style="medium">
        <color indexed="8"/>
      </right>
      <top style="thin">
        <color indexed="8"/>
      </top>
      <bottom/>
      <diagonal/>
    </border>
    <border>
      <left style="medium">
        <color indexed="8"/>
      </left>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22"/>
      </left>
      <right style="thin">
        <color indexed="22"/>
      </right>
      <top style="medium">
        <color indexed="8"/>
      </top>
      <bottom style="thin">
        <color indexed="22"/>
      </bottom>
      <diagonal/>
    </border>
    <border>
      <left style="thin">
        <color indexed="22"/>
      </left>
      <right style="medium">
        <color indexed="8"/>
      </right>
      <top style="medium">
        <color indexed="8"/>
      </top>
      <bottom style="thin">
        <color indexed="22"/>
      </bottom>
      <diagonal/>
    </border>
    <border>
      <left/>
      <right/>
      <top style="thin">
        <color indexed="8"/>
      </top>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22"/>
      </left>
      <right/>
      <top/>
      <bottom/>
      <diagonal/>
    </border>
    <border>
      <left style="thin">
        <color indexed="27"/>
      </left>
      <right/>
      <top style="medium">
        <color indexed="8"/>
      </top>
      <bottom/>
      <diagonal/>
    </border>
    <border>
      <left style="thin">
        <color indexed="27"/>
      </left>
      <right/>
      <top style="thin">
        <color indexed="27"/>
      </top>
      <bottom/>
      <diagonal/>
    </border>
    <border>
      <left style="thin">
        <color indexed="22"/>
      </left>
      <right/>
      <top style="thin">
        <color indexed="22"/>
      </top>
      <bottom/>
      <diagonal/>
    </border>
    <border>
      <left style="medium">
        <color indexed="8"/>
      </left>
      <right/>
      <top style="thin">
        <color indexed="27"/>
      </top>
      <bottom/>
      <diagonal/>
    </border>
    <border>
      <left style="medium">
        <color indexed="12"/>
      </left>
      <right/>
      <top style="medium">
        <color indexed="12"/>
      </top>
      <bottom/>
      <diagonal/>
    </border>
    <border>
      <left style="medium">
        <color indexed="12"/>
      </left>
      <right/>
      <top style="thin">
        <color indexed="27"/>
      </top>
      <bottom/>
      <diagonal/>
    </border>
    <border>
      <left style="thin">
        <color indexed="27"/>
      </left>
      <right/>
      <top style="medium">
        <color indexed="12"/>
      </top>
      <bottom/>
      <diagonal/>
    </border>
    <border>
      <left style="medium">
        <color indexed="8"/>
      </left>
      <right/>
      <top style="thin">
        <color indexed="22"/>
      </top>
      <bottom/>
      <diagonal/>
    </border>
    <border>
      <left style="thin">
        <color indexed="22"/>
      </left>
      <right style="medium">
        <color indexed="8"/>
      </right>
      <top style="thin">
        <color indexed="22"/>
      </top>
      <bottom style="thin">
        <color indexed="22"/>
      </bottom>
      <diagonal/>
    </border>
    <border>
      <left style="thin">
        <color indexed="22"/>
      </left>
      <right style="thin">
        <color indexed="22"/>
      </right>
      <top style="thin">
        <color indexed="22"/>
      </top>
      <bottom style="medium">
        <color indexed="8"/>
      </bottom>
      <diagonal/>
    </border>
    <border>
      <left style="thin">
        <color indexed="22"/>
      </left>
      <right style="medium">
        <color indexed="8"/>
      </right>
      <top style="thin">
        <color indexed="22"/>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right/>
      <top style="thin">
        <color indexed="27"/>
      </top>
      <bottom/>
      <diagonal/>
    </border>
    <border>
      <left style="medium">
        <color indexed="8"/>
      </left>
      <right style="thin">
        <color indexed="22"/>
      </right>
      <top style="medium">
        <color indexed="8"/>
      </top>
      <bottom style="thin">
        <color indexed="22"/>
      </bottom>
      <diagonal/>
    </border>
    <border>
      <left style="medium">
        <color indexed="8"/>
      </left>
      <right style="thin">
        <color indexed="22"/>
      </right>
      <top style="thin">
        <color indexed="22"/>
      </top>
      <bottom style="thin">
        <color indexed="22"/>
      </bottom>
      <diagonal/>
    </border>
    <border>
      <left style="medium">
        <color indexed="8"/>
      </left>
      <right style="thin">
        <color indexed="22"/>
      </right>
      <top style="thin">
        <color indexed="22"/>
      </top>
      <bottom style="medium">
        <color indexed="8"/>
      </bottom>
      <diagonal/>
    </border>
    <border>
      <left style="thin">
        <color indexed="22"/>
      </left>
      <right/>
      <top style="medium">
        <color indexed="64"/>
      </top>
      <bottom style="medium">
        <color indexed="64"/>
      </bottom>
      <diagonal/>
    </border>
    <border>
      <left style="thin">
        <color indexed="27"/>
      </left>
      <right/>
      <top/>
      <bottom/>
      <diagonal/>
    </border>
    <border>
      <left style="thin">
        <color indexed="22"/>
      </left>
      <right style="thin">
        <color indexed="22"/>
      </right>
      <top style="thin">
        <color indexed="22"/>
      </top>
      <bottom/>
      <diagonal/>
    </border>
    <border>
      <left style="thin">
        <color indexed="22"/>
      </left>
      <right style="medium">
        <color indexed="8"/>
      </right>
      <top style="thin">
        <color indexed="22"/>
      </top>
      <bottom/>
      <diagonal/>
    </border>
    <border>
      <left style="thin">
        <color indexed="22"/>
      </left>
      <right style="thin">
        <color indexed="22"/>
      </right>
      <top style="medium">
        <color indexed="64"/>
      </top>
      <bottom style="medium">
        <color indexed="64"/>
      </bottom>
      <diagonal/>
    </border>
    <border>
      <left style="thin">
        <color indexed="22"/>
      </left>
      <right style="medium">
        <color indexed="64"/>
      </right>
      <top style="medium">
        <color indexed="64"/>
      </top>
      <bottom style="medium">
        <color indexed="64"/>
      </bottom>
      <diagonal/>
    </border>
    <border>
      <left style="thin">
        <color indexed="22"/>
      </left>
      <right style="thin">
        <color indexed="22"/>
      </right>
      <top/>
      <bottom style="thin">
        <color indexed="22"/>
      </bottom>
      <diagonal/>
    </border>
    <border>
      <left style="medium">
        <color indexed="8"/>
      </left>
      <right style="thin">
        <color indexed="22"/>
      </right>
      <top style="thin">
        <color indexed="22"/>
      </top>
      <bottom/>
      <diagonal/>
    </border>
    <border>
      <left style="medium">
        <color indexed="64"/>
      </left>
      <right style="thin">
        <color indexed="22"/>
      </right>
      <top style="medium">
        <color indexed="64"/>
      </top>
      <bottom style="medium">
        <color indexed="64"/>
      </bottom>
      <diagonal/>
    </border>
    <border>
      <left style="thin">
        <color indexed="22"/>
      </left>
      <right/>
      <top style="thin">
        <color indexed="64"/>
      </top>
      <bottom style="thin">
        <color indexed="64"/>
      </bottom>
      <diagonal/>
    </border>
    <border>
      <left style="thin">
        <color indexed="22"/>
      </left>
      <right/>
      <top style="thin">
        <color indexed="64"/>
      </top>
      <bottom/>
      <diagonal/>
    </border>
    <border>
      <left style="medium">
        <color indexed="8"/>
      </left>
      <right style="thin">
        <color indexed="22"/>
      </right>
      <top/>
      <bottom style="thin">
        <color indexed="22"/>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right/>
      <top style="thin">
        <color indexed="22"/>
      </top>
      <bottom/>
      <diagonal/>
    </border>
    <border>
      <left style="thin">
        <color indexed="64"/>
      </left>
      <right style="thin">
        <color indexed="64"/>
      </right>
      <top style="thin">
        <color indexed="22"/>
      </top>
      <bottom style="thin">
        <color indexed="64"/>
      </bottom>
      <diagonal/>
    </border>
    <border>
      <left style="medium">
        <color indexed="64"/>
      </left>
      <right style="medium">
        <color indexed="64"/>
      </right>
      <top style="thin">
        <color indexed="22"/>
      </top>
      <bottom style="medium">
        <color indexed="64"/>
      </bottom>
      <diagonal/>
    </border>
    <border>
      <left style="thin">
        <color indexed="22"/>
      </left>
      <right/>
      <top style="medium">
        <color indexed="64"/>
      </top>
      <bottom/>
      <diagonal/>
    </border>
    <border>
      <left style="thin">
        <color indexed="22"/>
      </left>
      <right style="medium">
        <color indexed="8"/>
      </right>
      <top/>
      <bottom/>
      <diagonal/>
    </border>
    <border>
      <left style="medium">
        <color indexed="64"/>
      </left>
      <right/>
      <top style="medium">
        <color indexed="64"/>
      </top>
      <bottom/>
      <diagonal/>
    </border>
    <border>
      <left style="medium">
        <color indexed="64"/>
      </left>
      <right/>
      <top style="thin">
        <color indexed="11"/>
      </top>
      <bottom style="medium">
        <color indexed="64"/>
      </bottom>
      <diagonal/>
    </border>
    <border>
      <left style="thin">
        <color indexed="22"/>
      </left>
      <right/>
      <top style="thin">
        <color indexed="11"/>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11"/>
      </top>
      <bottom style="medium">
        <color indexed="64"/>
      </bottom>
      <diagonal/>
    </border>
    <border>
      <left/>
      <right/>
      <top style="thin">
        <color indexed="11"/>
      </top>
      <bottom style="medium">
        <color indexed="64"/>
      </bottom>
      <diagonal/>
    </border>
    <border>
      <left/>
      <right/>
      <top style="thin">
        <color indexed="11"/>
      </top>
      <bottom/>
      <diagonal/>
    </border>
    <border>
      <left style="medium">
        <color indexed="64"/>
      </left>
      <right style="medium">
        <color indexed="64"/>
      </right>
      <top/>
      <bottom/>
      <diagonal/>
    </border>
    <border>
      <left style="thin">
        <color indexed="27"/>
      </left>
      <right/>
      <top style="medium">
        <color indexed="64"/>
      </top>
      <bottom/>
      <diagonal/>
    </border>
    <border>
      <left style="thin">
        <color indexed="27"/>
      </left>
      <right/>
      <top style="thin">
        <color indexed="27"/>
      </top>
      <bottom style="medium">
        <color indexed="64"/>
      </bottom>
      <diagonal/>
    </border>
    <border>
      <left style="thin">
        <color indexed="27"/>
      </left>
      <right/>
      <top/>
      <bottom style="medium">
        <color indexed="64"/>
      </bottom>
      <diagonal/>
    </border>
    <border>
      <left/>
      <right/>
      <top style="thin">
        <color indexed="27"/>
      </top>
      <bottom style="medium">
        <color indexed="64"/>
      </bottom>
      <diagonal/>
    </border>
    <border>
      <left/>
      <right/>
      <top/>
      <bottom style="medium">
        <color indexed="64"/>
      </bottom>
      <diagonal/>
    </border>
    <border>
      <left style="medium">
        <color indexed="64"/>
      </left>
      <right/>
      <top style="thin">
        <color indexed="27"/>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medium">
        <color indexed="8"/>
      </top>
      <bottom/>
      <diagonal/>
    </border>
    <border>
      <left/>
      <right style="medium">
        <color indexed="64"/>
      </right>
      <top style="medium">
        <color indexed="64"/>
      </top>
      <bottom/>
      <diagonal/>
    </border>
    <border>
      <left/>
      <right style="medium">
        <color indexed="64"/>
      </right>
      <top style="thin">
        <color indexed="11"/>
      </top>
      <bottom style="medium">
        <color indexed="64"/>
      </bottom>
      <diagonal/>
    </border>
    <border>
      <left style="medium">
        <color indexed="64"/>
      </left>
      <right/>
      <top/>
      <bottom style="medium">
        <color indexed="64"/>
      </bottom>
      <diagonal/>
    </border>
    <border>
      <left style="thin">
        <color indexed="22"/>
      </left>
      <right/>
      <top/>
      <bottom style="medium">
        <color indexed="64"/>
      </bottom>
      <diagonal/>
    </border>
    <border>
      <left/>
      <right style="thin">
        <color indexed="22"/>
      </right>
      <top style="medium">
        <color indexed="8"/>
      </top>
      <bottom style="thin">
        <color indexed="22"/>
      </bottom>
      <diagonal/>
    </border>
    <border>
      <left style="thin">
        <color indexed="64"/>
      </left>
      <right/>
      <top style="medium">
        <color indexed="64"/>
      </top>
      <bottom style="thin">
        <color indexed="64"/>
      </bottom>
      <diagonal/>
    </border>
    <border>
      <left style="thin">
        <color indexed="22"/>
      </left>
      <right/>
      <top style="medium">
        <color indexed="8"/>
      </top>
      <bottom style="thin">
        <color indexed="22"/>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thin">
        <color indexed="22"/>
      </left>
      <right/>
      <top style="thin">
        <color indexed="22"/>
      </top>
      <bottom style="medium">
        <color indexed="8"/>
      </bottom>
      <diagonal/>
    </border>
    <border>
      <left style="thin">
        <color indexed="22"/>
      </left>
      <right/>
      <top/>
      <bottom style="thin">
        <color indexed="22"/>
      </bottom>
      <diagonal/>
    </border>
    <border>
      <left style="thin">
        <color indexed="22"/>
      </left>
      <right style="thin">
        <color indexed="22"/>
      </right>
      <top/>
      <bottom/>
      <diagonal/>
    </border>
    <border>
      <left/>
      <right/>
      <top style="thin">
        <color indexed="22"/>
      </top>
      <bottom style="thin">
        <color indexed="22"/>
      </bottom>
      <diagonal/>
    </border>
    <border>
      <left/>
      <right style="thin">
        <color indexed="22"/>
      </right>
      <top/>
      <bottom style="thin">
        <color indexed="22"/>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s>
  <cellStyleXfs count="2074">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39" fillId="20" borderId="1"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0" fontId="40" fillId="21" borderId="2" applyNumberFormat="0" applyAlignment="0" applyProtection="0"/>
    <xf numFmtId="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 fillId="0" borderId="0" applyFont="0" applyFill="0" applyBorder="0" applyAlignment="0" applyProtection="0"/>
    <xf numFmtId="43" fontId="27" fillId="0" borderId="0" applyFont="0" applyFill="0" applyBorder="0" applyAlignment="0" applyProtection="0"/>
    <xf numFmtId="165"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3" fillId="0" borderId="3"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4" fillId="0" borderId="4"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0" borderId="0" applyNumberFormat="0" applyFill="0" applyBorder="0" applyAlignment="0" applyProtection="0">
      <alignment vertical="top"/>
      <protection locked="0"/>
    </xf>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7" fillId="0" borderId="6" applyNumberFormat="0" applyFill="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alignment horizontal="right" vertical="center"/>
    </xf>
    <xf numFmtId="0" fontId="3" fillId="0" borderId="0">
      <alignment vertical="top"/>
    </xf>
    <xf numFmtId="0" fontId="3"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alignment vertical="top"/>
    </xf>
    <xf numFmtId="0" fontId="3" fillId="0" borderId="0"/>
    <xf numFmtId="0" fontId="1" fillId="0" borderId="0"/>
    <xf numFmtId="0" fontId="9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right" vertical="center"/>
    </xf>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53" fillId="0" borderId="0">
      <alignment vertical="top"/>
    </xf>
    <xf numFmtId="0" fontId="3" fillId="0" borderId="0">
      <alignment horizontal="right" vertical="center"/>
    </xf>
    <xf numFmtId="0" fontId="98" fillId="0" borderId="0"/>
    <xf numFmtId="0" fontId="9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27" fillId="0" borderId="0">
      <alignment vertical="top"/>
    </xf>
    <xf numFmtId="0" fontId="3" fillId="0" borderId="0">
      <alignment vertical="top"/>
    </xf>
    <xf numFmtId="0" fontId="3" fillId="0" borderId="0"/>
    <xf numFmtId="0" fontId="3" fillId="0" borderId="0"/>
    <xf numFmtId="0" fontId="3" fillId="0" borderId="0">
      <alignment vertical="top"/>
    </xf>
    <xf numFmtId="0" fontId="3" fillId="0" borderId="0"/>
    <xf numFmtId="0" fontId="3" fillId="0" borderId="0"/>
    <xf numFmtId="0" fontId="3" fillId="0" borderId="0"/>
    <xf numFmtId="0" fontId="98" fillId="0" borderId="0"/>
    <xf numFmtId="0" fontId="3" fillId="0" borderId="0"/>
    <xf numFmtId="0" fontId="53" fillId="0" borderId="0">
      <alignment vertical="top"/>
    </xf>
    <xf numFmtId="0" fontId="3" fillId="0" borderId="0"/>
    <xf numFmtId="0" fontId="3" fillId="0" borderId="0">
      <alignment vertical="top"/>
    </xf>
    <xf numFmtId="0" fontId="3" fillId="0" borderId="0"/>
    <xf numFmtId="0" fontId="6" fillId="0" borderId="0"/>
    <xf numFmtId="0" fontId="20" fillId="0" borderId="0">
      <alignment vertical="top"/>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0" fontId="49" fillId="20" borderId="8" applyNumberFormat="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0" fillId="0" borderId="0">
      <alignment vertical="top"/>
    </xf>
    <xf numFmtId="0" fontId="20" fillId="0" borderId="0">
      <alignment vertical="top"/>
    </xf>
    <xf numFmtId="0" fontId="20" fillId="0" borderId="0">
      <alignment vertical="top"/>
    </xf>
    <xf numFmtId="0" fontId="20" fillId="0" borderId="0">
      <alignment vertical="top"/>
    </xf>
    <xf numFmtId="2" fontId="1" fillId="4" borderId="9" applyNumberFormat="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1" fillId="0" borderId="10"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81" fillId="0" borderId="0"/>
  </cellStyleXfs>
  <cellXfs count="1692">
    <xf numFmtId="0" fontId="0" fillId="0" borderId="0" xfId="0"/>
    <xf numFmtId="0" fontId="6" fillId="0" borderId="0" xfId="1820"/>
    <xf numFmtId="168" fontId="6" fillId="0" borderId="0" xfId="1820" applyNumberFormat="1"/>
    <xf numFmtId="169" fontId="6" fillId="0" borderId="0" xfId="1820" applyNumberFormat="1"/>
    <xf numFmtId="0" fontId="7" fillId="24" borderId="11" xfId="1820" applyFont="1" applyFill="1" applyBorder="1"/>
    <xf numFmtId="0" fontId="7" fillId="24" borderId="12" xfId="1820" applyFont="1" applyFill="1" applyBorder="1"/>
    <xf numFmtId="0" fontId="7" fillId="24" borderId="13" xfId="1820" applyFont="1" applyFill="1" applyBorder="1"/>
    <xf numFmtId="0" fontId="7" fillId="24" borderId="14" xfId="1820" applyFont="1" applyFill="1" applyBorder="1"/>
    <xf numFmtId="0" fontId="7" fillId="24" borderId="0" xfId="1820" applyFont="1" applyFill="1"/>
    <xf numFmtId="0" fontId="17" fillId="24" borderId="0" xfId="1820" applyFont="1" applyFill="1"/>
    <xf numFmtId="0" fontId="8" fillId="24" borderId="0" xfId="1820" applyFont="1" applyFill="1"/>
    <xf numFmtId="0" fontId="6" fillId="25" borderId="0" xfId="1820" applyFill="1"/>
    <xf numFmtId="0" fontId="9" fillId="24" borderId="0" xfId="1820" applyFont="1" applyFill="1"/>
    <xf numFmtId="0" fontId="12" fillId="24" borderId="0" xfId="1820" applyFont="1" applyFill="1" applyAlignment="1">
      <alignment horizontal="center"/>
    </xf>
    <xf numFmtId="0" fontId="6" fillId="25" borderId="15" xfId="1820" applyFill="1" applyBorder="1"/>
    <xf numFmtId="0" fontId="7" fillId="24" borderId="16" xfId="1820" applyFont="1" applyFill="1" applyBorder="1"/>
    <xf numFmtId="0" fontId="7" fillId="24" borderId="17" xfId="1820" applyFont="1" applyFill="1" applyBorder="1"/>
    <xf numFmtId="0" fontId="6" fillId="25" borderId="17" xfId="1820" applyFill="1" applyBorder="1"/>
    <xf numFmtId="0" fontId="6" fillId="25" borderId="18" xfId="1820" applyFill="1" applyBorder="1"/>
    <xf numFmtId="0" fontId="10" fillId="26" borderId="11" xfId="1820" applyFont="1" applyFill="1" applyBorder="1" applyAlignment="1">
      <alignment horizontal="left" vertical="center"/>
    </xf>
    <xf numFmtId="0" fontId="10" fillId="26" borderId="19" xfId="1820" applyFont="1" applyFill="1" applyBorder="1" applyAlignment="1">
      <alignment horizontal="center" vertical="center"/>
    </xf>
    <xf numFmtId="0" fontId="11" fillId="26" borderId="11" xfId="1820" applyFont="1" applyFill="1" applyBorder="1" applyAlignment="1">
      <alignment horizontal="center" vertical="center"/>
    </xf>
    <xf numFmtId="0" fontId="12" fillId="26" borderId="19" xfId="1820" applyFont="1" applyFill="1" applyBorder="1" applyAlignment="1">
      <alignment horizontal="center"/>
    </xf>
    <xf numFmtId="0" fontId="11" fillId="26" borderId="20" xfId="1820" applyFont="1" applyFill="1" applyBorder="1" applyAlignment="1">
      <alignment horizontal="center" vertical="center"/>
    </xf>
    <xf numFmtId="0" fontId="6" fillId="27" borderId="11" xfId="1820" applyFill="1" applyBorder="1"/>
    <xf numFmtId="0" fontId="6" fillId="27" borderId="19" xfId="1820" applyFill="1" applyBorder="1"/>
    <xf numFmtId="0" fontId="6" fillId="27" borderId="20" xfId="1820" applyFill="1" applyBorder="1"/>
    <xf numFmtId="0" fontId="7" fillId="26" borderId="21" xfId="1820" applyFont="1" applyFill="1" applyBorder="1"/>
    <xf numFmtId="0" fontId="10" fillId="26" borderId="22" xfId="1820" applyFont="1" applyFill="1" applyBorder="1" applyAlignment="1">
      <alignment horizontal="center" vertical="center"/>
    </xf>
    <xf numFmtId="0" fontId="13" fillId="26" borderId="21" xfId="1820" quotePrefix="1" applyFont="1" applyFill="1" applyBorder="1" applyAlignment="1">
      <alignment horizontal="left"/>
    </xf>
    <xf numFmtId="0" fontId="7" fillId="26" borderId="22" xfId="1820" applyFont="1" applyFill="1" applyBorder="1"/>
    <xf numFmtId="0" fontId="7" fillId="26" borderId="23" xfId="1820" applyFont="1" applyFill="1" applyBorder="1"/>
    <xf numFmtId="0" fontId="13" fillId="28" borderId="21" xfId="1820" quotePrefix="1" applyFont="1" applyFill="1" applyBorder="1" applyAlignment="1">
      <alignment horizontal="left"/>
    </xf>
    <xf numFmtId="0" fontId="6" fillId="27" borderId="22" xfId="1820" applyFill="1" applyBorder="1"/>
    <xf numFmtId="0" fontId="6" fillId="27" borderId="23" xfId="1820" applyFill="1" applyBorder="1"/>
    <xf numFmtId="0" fontId="6" fillId="27" borderId="21" xfId="1820" applyFill="1" applyBorder="1"/>
    <xf numFmtId="0" fontId="14" fillId="29" borderId="11" xfId="1820" applyFont="1" applyFill="1" applyBorder="1" applyAlignment="1">
      <alignment horizontal="centerContinuous" vertical="center"/>
    </xf>
    <xf numFmtId="0" fontId="14" fillId="29" borderId="24" xfId="1820" applyFont="1" applyFill="1" applyBorder="1" applyAlignment="1">
      <alignment horizontal="center" vertical="center" wrapText="1"/>
    </xf>
    <xf numFmtId="0" fontId="14" fillId="29" borderId="11" xfId="1820" applyFont="1" applyFill="1" applyBorder="1" applyAlignment="1">
      <alignment horizontal="center" vertical="center"/>
    </xf>
    <xf numFmtId="0" fontId="14" fillId="29" borderId="25" xfId="1820" applyFont="1" applyFill="1" applyBorder="1" applyAlignment="1">
      <alignment horizontal="center" vertical="center"/>
    </xf>
    <xf numFmtId="0" fontId="14" fillId="29" borderId="26" xfId="1820" applyFont="1" applyFill="1" applyBorder="1" applyAlignment="1">
      <alignment horizontal="center" vertical="center"/>
    </xf>
    <xf numFmtId="0" fontId="14" fillId="29" borderId="27" xfId="1820" applyFont="1" applyFill="1" applyBorder="1" applyAlignment="1">
      <alignment horizontal="centerContinuous" vertical="center"/>
    </xf>
    <xf numFmtId="0" fontId="14" fillId="29" borderId="28" xfId="1820" applyFont="1" applyFill="1" applyBorder="1" applyAlignment="1">
      <alignment horizontal="center" vertical="center" wrapText="1"/>
    </xf>
    <xf numFmtId="0" fontId="14" fillId="29" borderId="27" xfId="1820" applyFont="1" applyFill="1" applyBorder="1" applyAlignment="1">
      <alignment horizontal="center" vertical="center"/>
    </xf>
    <xf numFmtId="0" fontId="14" fillId="29" borderId="29" xfId="1820" applyFont="1" applyFill="1" applyBorder="1" applyAlignment="1">
      <alignment horizontal="center" vertical="center"/>
    </xf>
    <xf numFmtId="0" fontId="14" fillId="29" borderId="30" xfId="1820" applyFont="1" applyFill="1" applyBorder="1" applyAlignment="1">
      <alignment horizontal="center" vertical="center"/>
    </xf>
    <xf numFmtId="0" fontId="7" fillId="0" borderId="31" xfId="1820" applyFont="1" applyBorder="1" applyAlignment="1">
      <alignment horizontal="center" vertical="center"/>
    </xf>
    <xf numFmtId="0" fontId="7" fillId="0" borderId="32" xfId="1820" applyFont="1" applyBorder="1" applyAlignment="1">
      <alignment horizontal="left" vertical="center"/>
    </xf>
    <xf numFmtId="2" fontId="7" fillId="0" borderId="31" xfId="1820" applyNumberFormat="1" applyFont="1" applyBorder="1" applyAlignment="1">
      <alignment horizontal="center" vertical="center"/>
    </xf>
    <xf numFmtId="2" fontId="7" fillId="0" borderId="33" xfId="1820" applyNumberFormat="1" applyFont="1" applyBorder="1" applyAlignment="1">
      <alignment horizontal="center" vertical="center"/>
    </xf>
    <xf numFmtId="2" fontId="7" fillId="0" borderId="34" xfId="1820" applyNumberFormat="1" applyFont="1" applyBorder="1" applyAlignment="1">
      <alignment horizontal="center" vertical="center"/>
    </xf>
    <xf numFmtId="0" fontId="14" fillId="10" borderId="31" xfId="1820" applyFont="1" applyFill="1" applyBorder="1" applyAlignment="1">
      <alignment horizontal="left" vertical="center"/>
    </xf>
    <xf numFmtId="0" fontId="14" fillId="10" borderId="33" xfId="1820" applyFont="1" applyFill="1" applyBorder="1" applyAlignment="1">
      <alignment horizontal="left" vertical="center"/>
    </xf>
    <xf numFmtId="2" fontId="14" fillId="10" borderId="31" xfId="1820" applyNumberFormat="1" applyFont="1" applyFill="1" applyBorder="1" applyAlignment="1">
      <alignment horizontal="center" vertical="center"/>
    </xf>
    <xf numFmtId="2" fontId="14" fillId="10" borderId="33" xfId="1820" applyNumberFormat="1" applyFont="1" applyFill="1" applyBorder="1" applyAlignment="1">
      <alignment horizontal="center" vertical="center"/>
    </xf>
    <xf numFmtId="2" fontId="14" fillId="10" borderId="34" xfId="1820" applyNumberFormat="1" applyFont="1" applyFill="1" applyBorder="1" applyAlignment="1">
      <alignment horizontal="center" vertical="center"/>
    </xf>
    <xf numFmtId="0" fontId="7" fillId="0" borderId="31" xfId="1820" applyFont="1" applyBorder="1" applyAlignment="1">
      <alignment horizontal="center"/>
    </xf>
    <xf numFmtId="0" fontId="7" fillId="0" borderId="32" xfId="1820" applyFont="1" applyBorder="1" applyAlignment="1">
      <alignment horizontal="left"/>
    </xf>
    <xf numFmtId="0" fontId="14" fillId="4" borderId="31" xfId="1820" applyFont="1" applyFill="1" applyBorder="1" applyAlignment="1">
      <alignment horizontal="left" vertical="center"/>
    </xf>
    <xf numFmtId="0" fontId="14" fillId="4" borderId="33" xfId="1820" applyFont="1" applyFill="1" applyBorder="1" applyAlignment="1">
      <alignment horizontal="left" vertical="center"/>
    </xf>
    <xf numFmtId="2" fontId="14" fillId="4" borderId="31" xfId="1820" applyNumberFormat="1" applyFont="1" applyFill="1" applyBorder="1" applyAlignment="1">
      <alignment horizontal="center" vertical="center"/>
    </xf>
    <xf numFmtId="2" fontId="14" fillId="4" borderId="33" xfId="1820" applyNumberFormat="1" applyFont="1" applyFill="1" applyBorder="1" applyAlignment="1">
      <alignment horizontal="center" vertical="center"/>
    </xf>
    <xf numFmtId="2" fontId="14" fillId="4" borderId="34" xfId="1820" applyNumberFormat="1" applyFont="1" applyFill="1" applyBorder="1" applyAlignment="1">
      <alignment horizontal="center" vertical="center"/>
    </xf>
    <xf numFmtId="2" fontId="14" fillId="30" borderId="31" xfId="1820" applyNumberFormat="1" applyFont="1" applyFill="1" applyBorder="1" applyAlignment="1">
      <alignment horizontal="center" vertical="center"/>
    </xf>
    <xf numFmtId="2" fontId="14" fillId="30" borderId="33" xfId="1820" applyNumberFormat="1" applyFont="1" applyFill="1" applyBorder="1" applyAlignment="1">
      <alignment horizontal="center" vertical="center"/>
    </xf>
    <xf numFmtId="2" fontId="14" fillId="30" borderId="34" xfId="1820" applyNumberFormat="1" applyFont="1" applyFill="1" applyBorder="1" applyAlignment="1">
      <alignment horizontal="center" vertical="center"/>
    </xf>
    <xf numFmtId="0" fontId="15" fillId="31" borderId="31" xfId="1820" applyFont="1" applyFill="1" applyBorder="1" applyAlignment="1">
      <alignment horizontal="left" vertical="center"/>
    </xf>
    <xf numFmtId="0" fontId="15" fillId="31" borderId="33" xfId="1820" applyFont="1" applyFill="1" applyBorder="1" applyAlignment="1">
      <alignment horizontal="left" vertical="center"/>
    </xf>
    <xf numFmtId="2" fontId="15" fillId="31" borderId="31" xfId="1820" applyNumberFormat="1" applyFont="1" applyFill="1" applyBorder="1" applyAlignment="1">
      <alignment horizontal="center" vertical="center"/>
    </xf>
    <xf numFmtId="2" fontId="15" fillId="31" borderId="33" xfId="1820" applyNumberFormat="1" applyFont="1" applyFill="1" applyBorder="1" applyAlignment="1">
      <alignment horizontal="center" vertical="center"/>
    </xf>
    <xf numFmtId="2" fontId="15" fillId="31" borderId="34" xfId="1820" applyNumberFormat="1" applyFont="1" applyFill="1" applyBorder="1" applyAlignment="1">
      <alignment horizontal="center" vertical="center"/>
    </xf>
    <xf numFmtId="0" fontId="16" fillId="32" borderId="35" xfId="1820" applyFont="1" applyFill="1" applyBorder="1" applyAlignment="1">
      <alignment horizontal="left" vertical="center"/>
    </xf>
    <xf numFmtId="0" fontId="16" fillId="32" borderId="36" xfId="1820" applyFont="1" applyFill="1" applyBorder="1" applyAlignment="1">
      <alignment horizontal="left" vertical="center"/>
    </xf>
    <xf numFmtId="2" fontId="16" fillId="32" borderId="35" xfId="1820" applyNumberFormat="1" applyFont="1" applyFill="1" applyBorder="1" applyAlignment="1">
      <alignment horizontal="center" vertical="center"/>
    </xf>
    <xf numFmtId="2" fontId="16" fillId="32" borderId="36" xfId="1820" applyNumberFormat="1" applyFont="1" applyFill="1" applyBorder="1" applyAlignment="1">
      <alignment horizontal="center" vertical="center"/>
    </xf>
    <xf numFmtId="2" fontId="16" fillId="32" borderId="37" xfId="1820" applyNumberFormat="1" applyFont="1" applyFill="1" applyBorder="1" applyAlignment="1">
      <alignment horizontal="center" vertical="center"/>
    </xf>
    <xf numFmtId="0" fontId="6" fillId="0" borderId="0" xfId="1820" applyAlignment="1">
      <alignment horizontal="center"/>
    </xf>
    <xf numFmtId="0" fontId="6" fillId="0" borderId="11" xfId="1820" applyBorder="1" applyAlignment="1">
      <alignment horizontal="center"/>
    </xf>
    <xf numFmtId="0" fontId="6" fillId="0" borderId="24" xfId="1820" applyBorder="1" applyAlignment="1">
      <alignment horizontal="center"/>
    </xf>
    <xf numFmtId="0" fontId="6" fillId="33" borderId="24" xfId="1820" applyFill="1" applyBorder="1" applyAlignment="1">
      <alignment horizontal="center"/>
    </xf>
    <xf numFmtId="0" fontId="6" fillId="0" borderId="38" xfId="1820" applyBorder="1" applyAlignment="1">
      <alignment horizontal="center"/>
    </xf>
    <xf numFmtId="4" fontId="6" fillId="0" borderId="38" xfId="1820" applyNumberFormat="1" applyBorder="1" applyAlignment="1">
      <alignment horizontal="center"/>
    </xf>
    <xf numFmtId="4" fontId="19" fillId="0" borderId="39" xfId="1820" applyNumberFormat="1" applyFont="1" applyBorder="1" applyAlignment="1">
      <alignment horizontal="center"/>
    </xf>
    <xf numFmtId="4" fontId="6" fillId="0" borderId="0" xfId="1820" applyNumberFormat="1"/>
    <xf numFmtId="0" fontId="7" fillId="0" borderId="40" xfId="1820" applyFont="1" applyBorder="1" applyAlignment="1">
      <alignment horizontal="left"/>
    </xf>
    <xf numFmtId="2" fontId="6" fillId="0" borderId="0" xfId="1820" applyNumberFormat="1"/>
    <xf numFmtId="0" fontId="5" fillId="0" borderId="9" xfId="0" applyFont="1" applyBorder="1" applyAlignment="1">
      <alignment wrapText="1"/>
    </xf>
    <xf numFmtId="0" fontId="5" fillId="0" borderId="9" xfId="0" applyFont="1" applyBorder="1" applyAlignment="1">
      <alignment horizontal="center" wrapText="1"/>
    </xf>
    <xf numFmtId="0" fontId="3" fillId="0" borderId="9" xfId="0" applyFont="1" applyBorder="1" applyAlignment="1">
      <alignment wrapText="1"/>
    </xf>
    <xf numFmtId="0" fontId="3" fillId="0" borderId="9" xfId="0" applyFont="1" applyBorder="1" applyAlignment="1">
      <alignment horizontal="center" wrapText="1"/>
    </xf>
    <xf numFmtId="0" fontId="5" fillId="0" borderId="9" xfId="0" applyFont="1" applyBorder="1"/>
    <xf numFmtId="169" fontId="3" fillId="34" borderId="24" xfId="1820" applyNumberFormat="1" applyFont="1" applyFill="1" applyBorder="1" applyAlignment="1" applyProtection="1">
      <alignment horizontal="center"/>
      <protection locked="0"/>
    </xf>
    <xf numFmtId="166" fontId="3" fillId="0" borderId="0" xfId="1917" applyNumberFormat="1" applyFont="1"/>
    <xf numFmtId="0" fontId="6" fillId="0" borderId="14" xfId="1820" applyBorder="1"/>
    <xf numFmtId="2" fontId="6" fillId="0" borderId="14" xfId="1820" applyNumberFormat="1" applyBorder="1"/>
    <xf numFmtId="43" fontId="6" fillId="0" borderId="14" xfId="1820" applyNumberFormat="1" applyBorder="1"/>
    <xf numFmtId="4" fontId="6" fillId="0" borderId="43" xfId="1820" applyNumberFormat="1" applyBorder="1" applyAlignment="1">
      <alignment horizontal="center" vertical="center"/>
    </xf>
    <xf numFmtId="4" fontId="6" fillId="0" borderId="24" xfId="1820" applyNumberFormat="1" applyBorder="1" applyAlignment="1">
      <alignment horizontal="center" vertical="center"/>
    </xf>
    <xf numFmtId="4" fontId="29" fillId="0" borderId="24" xfId="1820" applyNumberFormat="1" applyFont="1" applyBorder="1" applyAlignment="1">
      <alignment horizontal="center" vertical="center"/>
    </xf>
    <xf numFmtId="4" fontId="30" fillId="0" borderId="43" xfId="1820" applyNumberFormat="1" applyFont="1" applyBorder="1" applyAlignment="1">
      <alignment horizontal="center" vertical="center"/>
    </xf>
    <xf numFmtId="0" fontId="3" fillId="0" borderId="0" xfId="1820" applyFont="1"/>
    <xf numFmtId="0" fontId="6" fillId="35" borderId="44" xfId="1820" applyFill="1" applyBorder="1"/>
    <xf numFmtId="0" fontId="6" fillId="35" borderId="45" xfId="1820" applyFill="1" applyBorder="1"/>
    <xf numFmtId="4" fontId="6" fillId="35" borderId="45" xfId="1820" applyNumberFormat="1" applyFill="1" applyBorder="1" applyAlignment="1">
      <alignment horizontal="center" vertical="center"/>
    </xf>
    <xf numFmtId="4" fontId="19" fillId="29" borderId="24" xfId="1820" applyNumberFormat="1" applyFont="1" applyFill="1" applyBorder="1" applyAlignment="1">
      <alignment horizontal="center" vertical="center" wrapText="1"/>
    </xf>
    <xf numFmtId="169" fontId="3" fillId="34" borderId="24" xfId="1820" applyNumberFormat="1" applyFont="1" applyFill="1" applyBorder="1" applyAlignment="1" applyProtection="1">
      <alignment horizontal="center" vertical="center"/>
      <protection locked="0"/>
    </xf>
    <xf numFmtId="169" fontId="6" fillId="36" borderId="24" xfId="1820" applyNumberFormat="1" applyFill="1" applyBorder="1" applyAlignment="1">
      <alignment horizontal="center" vertical="center"/>
    </xf>
    <xf numFmtId="169" fontId="3" fillId="34" borderId="46" xfId="1820" applyNumberFormat="1" applyFont="1" applyFill="1" applyBorder="1" applyAlignment="1" applyProtection="1">
      <alignment horizontal="center" vertical="center"/>
      <protection locked="0"/>
    </xf>
    <xf numFmtId="169" fontId="3" fillId="36" borderId="46" xfId="1820" applyNumberFormat="1" applyFont="1" applyFill="1" applyBorder="1" applyAlignment="1">
      <alignment horizontal="center" vertical="center"/>
    </xf>
    <xf numFmtId="169" fontId="19" fillId="36" borderId="46" xfId="1820" applyNumberFormat="1" applyFont="1" applyFill="1" applyBorder="1" applyAlignment="1">
      <alignment horizontal="center" vertical="center"/>
    </xf>
    <xf numFmtId="169" fontId="3" fillId="33" borderId="46" xfId="1820" applyNumberFormat="1" applyFont="1" applyFill="1" applyBorder="1" applyAlignment="1">
      <alignment horizontal="center" vertical="center"/>
    </xf>
    <xf numFmtId="169" fontId="19" fillId="36" borderId="24" xfId="1820" applyNumberFormat="1" applyFont="1" applyFill="1" applyBorder="1" applyAlignment="1">
      <alignment horizontal="center" vertical="center"/>
    </xf>
    <xf numFmtId="169" fontId="6" fillId="36" borderId="43" xfId="1820" applyNumberFormat="1" applyFill="1" applyBorder="1" applyAlignment="1">
      <alignment horizontal="center" vertical="center"/>
    </xf>
    <xf numFmtId="168" fontId="19" fillId="37" borderId="24" xfId="1820" applyNumberFormat="1" applyFont="1" applyFill="1" applyBorder="1" applyAlignment="1">
      <alignment horizontal="center" vertical="center"/>
    </xf>
    <xf numFmtId="168" fontId="19" fillId="38" borderId="43" xfId="1820" applyNumberFormat="1" applyFont="1" applyFill="1" applyBorder="1" applyAlignment="1">
      <alignment horizontal="center" vertical="center"/>
    </xf>
    <xf numFmtId="168" fontId="3" fillId="34" borderId="24" xfId="1820" applyNumberFormat="1" applyFont="1" applyFill="1" applyBorder="1" applyAlignment="1" applyProtection="1">
      <alignment horizontal="center"/>
      <protection locked="0"/>
    </xf>
    <xf numFmtId="0" fontId="3" fillId="0" borderId="0" xfId="0" applyFont="1" applyAlignment="1">
      <alignment wrapText="1"/>
    </xf>
    <xf numFmtId="0" fontId="3" fillId="0" borderId="0" xfId="0" applyFont="1" applyAlignment="1">
      <alignment horizontal="center" wrapText="1"/>
    </xf>
    <xf numFmtId="0" fontId="3" fillId="39" borderId="0" xfId="0" applyFont="1" applyFill="1" applyAlignment="1">
      <alignment wrapText="1"/>
    </xf>
    <xf numFmtId="0" fontId="3" fillId="0" borderId="9" xfId="0" applyFont="1" applyBorder="1"/>
    <xf numFmtId="0" fontId="3" fillId="0" borderId="0" xfId="0" applyFont="1"/>
    <xf numFmtId="2" fontId="3" fillId="0" borderId="9" xfId="0" applyNumberFormat="1" applyFont="1" applyBorder="1" applyAlignment="1">
      <alignment horizontal="center" wrapText="1"/>
    </xf>
    <xf numFmtId="167" fontId="3" fillId="0" borderId="9" xfId="0" applyNumberFormat="1" applyFont="1" applyBorder="1" applyAlignment="1">
      <alignment horizontal="center" wrapText="1"/>
    </xf>
    <xf numFmtId="0" fontId="3" fillId="0" borderId="9" xfId="0" applyFont="1" applyBorder="1" applyAlignment="1">
      <alignment vertical="center"/>
    </xf>
    <xf numFmtId="0" fontId="3" fillId="0" borderId="0" xfId="0" applyFont="1" applyAlignment="1">
      <alignment horizontal="center"/>
    </xf>
    <xf numFmtId="0" fontId="6" fillId="35" borderId="11" xfId="1820" applyFill="1" applyBorder="1"/>
    <xf numFmtId="0" fontId="6" fillId="35" borderId="47" xfId="1820" applyFill="1" applyBorder="1"/>
    <xf numFmtId="0" fontId="4" fillId="35" borderId="45" xfId="1820" applyFont="1" applyFill="1" applyBorder="1"/>
    <xf numFmtId="0" fontId="32" fillId="35" borderId="45" xfId="1820" applyFont="1" applyFill="1" applyBorder="1"/>
    <xf numFmtId="0" fontId="19" fillId="40" borderId="45" xfId="1820" applyFont="1" applyFill="1" applyBorder="1" applyProtection="1">
      <protection locked="0"/>
    </xf>
    <xf numFmtId="0" fontId="19" fillId="35" borderId="47" xfId="1820" applyFont="1" applyFill="1" applyBorder="1" applyAlignment="1">
      <alignment horizontal="left" vertical="center"/>
    </xf>
    <xf numFmtId="0" fontId="19" fillId="35" borderId="45" xfId="1820" applyFont="1" applyFill="1" applyBorder="1" applyAlignment="1">
      <alignment horizontal="center" vertical="center"/>
    </xf>
    <xf numFmtId="0" fontId="34" fillId="35" borderId="48" xfId="1820" applyFont="1" applyFill="1" applyBorder="1" applyAlignment="1">
      <alignment horizontal="center"/>
    </xf>
    <xf numFmtId="4" fontId="6" fillId="35" borderId="49" xfId="1820" applyNumberFormat="1" applyFill="1" applyBorder="1" applyAlignment="1">
      <alignment horizontal="center" vertical="center"/>
    </xf>
    <xf numFmtId="0" fontId="6" fillId="35" borderId="50" xfId="1820" applyFill="1" applyBorder="1"/>
    <xf numFmtId="4" fontId="19" fillId="29" borderId="24" xfId="1820" applyNumberFormat="1" applyFont="1" applyFill="1" applyBorder="1" applyAlignment="1">
      <alignment horizontal="center" vertical="center"/>
    </xf>
    <xf numFmtId="0" fontId="19" fillId="29" borderId="28" xfId="1820" applyFont="1" applyFill="1" applyBorder="1" applyAlignment="1">
      <alignment horizontal="center" vertical="center"/>
    </xf>
    <xf numFmtId="0" fontId="6" fillId="0" borderId="11" xfId="1820" applyBorder="1" applyAlignment="1">
      <alignment horizontal="center" vertical="center"/>
    </xf>
    <xf numFmtId="0" fontId="6" fillId="0" borderId="24" xfId="1820" applyBorder="1" applyAlignment="1">
      <alignment horizontal="center" vertical="center"/>
    </xf>
    <xf numFmtId="4" fontId="19" fillId="0" borderId="24" xfId="1820" applyNumberFormat="1" applyFont="1" applyBorder="1" applyAlignment="1">
      <alignment horizontal="center" vertical="center"/>
    </xf>
    <xf numFmtId="168" fontId="6" fillId="36" borderId="24" xfId="1820" applyNumberFormat="1" applyFill="1" applyBorder="1" applyAlignment="1">
      <alignment horizontal="center" vertical="center"/>
    </xf>
    <xf numFmtId="0" fontId="19" fillId="10" borderId="11" xfId="1820" applyFont="1" applyFill="1" applyBorder="1" applyAlignment="1">
      <alignment horizontal="left" vertical="center"/>
    </xf>
    <xf numFmtId="0" fontId="19" fillId="10" borderId="24" xfId="1820" applyFont="1" applyFill="1" applyBorder="1" applyAlignment="1">
      <alignment horizontal="center" vertical="center"/>
    </xf>
    <xf numFmtId="4" fontId="19" fillId="10" borderId="24" xfId="1820" applyNumberFormat="1" applyFont="1" applyFill="1" applyBorder="1" applyAlignment="1">
      <alignment horizontal="center" vertical="center"/>
    </xf>
    <xf numFmtId="0" fontId="6" fillId="41" borderId="24" xfId="1820" applyFill="1" applyBorder="1" applyAlignment="1">
      <alignment horizontal="center"/>
    </xf>
    <xf numFmtId="169" fontId="3" fillId="36" borderId="24" xfId="1820" applyNumberFormat="1" applyFont="1" applyFill="1" applyBorder="1" applyAlignment="1">
      <alignment horizontal="center"/>
    </xf>
    <xf numFmtId="0" fontId="6" fillId="0" borderId="51" xfId="1820" applyBorder="1" applyAlignment="1">
      <alignment horizontal="center" vertical="center"/>
    </xf>
    <xf numFmtId="0" fontId="6" fillId="0" borderId="46" xfId="1820" applyBorder="1" applyAlignment="1">
      <alignment horizontal="center" vertical="center"/>
    </xf>
    <xf numFmtId="0" fontId="6" fillId="41" borderId="46" xfId="1820" applyFill="1" applyBorder="1" applyAlignment="1">
      <alignment horizontal="center" vertical="center"/>
    </xf>
    <xf numFmtId="168" fontId="3" fillId="34" borderId="46" xfId="1820" applyNumberFormat="1" applyFont="1" applyFill="1" applyBorder="1" applyAlignment="1" applyProtection="1">
      <alignment horizontal="center" vertical="center"/>
      <protection locked="0"/>
    </xf>
    <xf numFmtId="0" fontId="6" fillId="0" borderId="7" xfId="1820" applyBorder="1" applyAlignment="1">
      <alignment horizontal="center" vertical="center"/>
    </xf>
    <xf numFmtId="4" fontId="6" fillId="0" borderId="7" xfId="1820" applyNumberFormat="1" applyBorder="1" applyAlignment="1">
      <alignment horizontal="center" vertical="center"/>
    </xf>
    <xf numFmtId="0" fontId="6" fillId="0" borderId="7" xfId="1820" applyBorder="1" applyAlignment="1">
      <alignment horizontal="center"/>
    </xf>
    <xf numFmtId="4" fontId="19" fillId="0" borderId="52" xfId="1820" applyNumberFormat="1" applyFont="1" applyBorder="1" applyAlignment="1">
      <alignment horizontal="center" vertical="center"/>
    </xf>
    <xf numFmtId="168" fontId="3" fillId="36" borderId="46" xfId="1820" applyNumberFormat="1" applyFont="1" applyFill="1" applyBorder="1" applyAlignment="1">
      <alignment horizontal="center" vertical="center"/>
    </xf>
    <xf numFmtId="0" fontId="19" fillId="0" borderId="46" xfId="1820" applyFont="1" applyBorder="1" applyAlignment="1">
      <alignment horizontal="center" vertical="center"/>
    </xf>
    <xf numFmtId="168" fontId="19" fillId="36" borderId="46" xfId="1820" applyNumberFormat="1" applyFont="1" applyFill="1" applyBorder="1" applyAlignment="1">
      <alignment horizontal="center" vertical="center"/>
    </xf>
    <xf numFmtId="0" fontId="35" fillId="0" borderId="53" xfId="1820" applyFont="1" applyBorder="1" applyAlignment="1">
      <alignment horizontal="center"/>
    </xf>
    <xf numFmtId="0" fontId="6" fillId="0" borderId="53" xfId="1820" applyBorder="1" applyAlignment="1">
      <alignment horizontal="center"/>
    </xf>
    <xf numFmtId="4" fontId="19" fillId="0" borderId="53" xfId="1820" applyNumberFormat="1" applyFont="1" applyBorder="1" applyAlignment="1">
      <alignment horizontal="center" vertical="center"/>
    </xf>
    <xf numFmtId="4" fontId="19" fillId="0" borderId="54" xfId="1820" applyNumberFormat="1" applyFont="1" applyBorder="1" applyAlignment="1">
      <alignment horizontal="center" vertical="center"/>
    </xf>
    <xf numFmtId="0" fontId="6" fillId="33" borderId="46" xfId="1820" applyFill="1" applyBorder="1" applyAlignment="1">
      <alignment horizontal="center" vertical="center"/>
    </xf>
    <xf numFmtId="168" fontId="3" fillId="33" borderId="46" xfId="1820" applyNumberFormat="1" applyFont="1" applyFill="1" applyBorder="1" applyAlignment="1">
      <alignment horizontal="center" vertical="center"/>
    </xf>
    <xf numFmtId="168" fontId="19" fillId="33" borderId="46" xfId="1820" applyNumberFormat="1" applyFont="1" applyFill="1" applyBorder="1" applyAlignment="1">
      <alignment horizontal="center" vertical="center"/>
    </xf>
    <xf numFmtId="4" fontId="6" fillId="0" borderId="7" xfId="1820" applyNumberFormat="1" applyBorder="1" applyAlignment="1">
      <alignment horizontal="center"/>
    </xf>
    <xf numFmtId="0" fontId="35" fillId="0" borderId="7" xfId="1820" applyFont="1" applyBorder="1" applyAlignment="1">
      <alignment horizontal="center"/>
    </xf>
    <xf numFmtId="0" fontId="19" fillId="0" borderId="24" xfId="1820" applyFont="1" applyBorder="1" applyAlignment="1">
      <alignment horizontal="center" vertical="center"/>
    </xf>
    <xf numFmtId="168" fontId="19" fillId="36" borderId="24" xfId="1820" applyNumberFormat="1" applyFont="1" applyFill="1" applyBorder="1" applyAlignment="1">
      <alignment horizontal="center" vertical="center"/>
    </xf>
    <xf numFmtId="0" fontId="19" fillId="4" borderId="14" xfId="1820" applyFont="1" applyFill="1" applyBorder="1" applyAlignment="1">
      <alignment horizontal="left" vertical="center"/>
    </xf>
    <xf numFmtId="0" fontId="19" fillId="4" borderId="43" xfId="1820" applyFont="1" applyFill="1" applyBorder="1" applyAlignment="1">
      <alignment horizontal="center" vertical="center"/>
    </xf>
    <xf numFmtId="4" fontId="19" fillId="4" borderId="46" xfId="1820" applyNumberFormat="1" applyFont="1" applyFill="1" applyBorder="1" applyAlignment="1">
      <alignment horizontal="center" vertical="center"/>
    </xf>
    <xf numFmtId="4" fontId="19" fillId="4" borderId="43" xfId="1820" applyNumberFormat="1" applyFont="1" applyFill="1" applyBorder="1" applyAlignment="1">
      <alignment horizontal="center" vertical="center"/>
    </xf>
    <xf numFmtId="0" fontId="19" fillId="0" borderId="14" xfId="1820" applyFont="1" applyBorder="1" applyAlignment="1">
      <alignment horizontal="center" vertical="center"/>
    </xf>
    <xf numFmtId="0" fontId="19" fillId="0" borderId="43" xfId="1820" applyFont="1" applyBorder="1" applyAlignment="1">
      <alignment horizontal="center" vertical="center"/>
    </xf>
    <xf numFmtId="0" fontId="6" fillId="0" borderId="43" xfId="1820" applyBorder="1" applyAlignment="1">
      <alignment horizontal="center" vertical="center"/>
    </xf>
    <xf numFmtId="168" fontId="6" fillId="36" borderId="43" xfId="1820" applyNumberFormat="1" applyFill="1" applyBorder="1" applyAlignment="1">
      <alignment horizontal="center" vertical="center"/>
    </xf>
    <xf numFmtId="4" fontId="19" fillId="0" borderId="43" xfId="1820" applyNumberFormat="1" applyFont="1" applyBorder="1" applyAlignment="1">
      <alignment horizontal="center" vertical="center"/>
    </xf>
    <xf numFmtId="2" fontId="3" fillId="0" borderId="0" xfId="0" applyNumberFormat="1" applyFont="1"/>
    <xf numFmtId="2" fontId="35" fillId="0" borderId="53" xfId="1820" applyNumberFormat="1" applyFont="1" applyBorder="1" applyAlignment="1">
      <alignment horizontal="center"/>
    </xf>
    <xf numFmtId="168" fontId="19" fillId="36" borderId="43" xfId="1820" applyNumberFormat="1" applyFont="1" applyFill="1" applyBorder="1" applyAlignment="1">
      <alignment horizontal="center" vertical="center"/>
    </xf>
    <xf numFmtId="0" fontId="6" fillId="0" borderId="43" xfId="1820" applyBorder="1" applyAlignment="1">
      <alignment horizontal="center"/>
    </xf>
    <xf numFmtId="0" fontId="19" fillId="0" borderId="11" xfId="1820" applyFont="1" applyBorder="1" applyAlignment="1">
      <alignment horizontal="center" vertical="center"/>
    </xf>
    <xf numFmtId="0" fontId="32" fillId="33" borderId="24" xfId="1820" applyFont="1" applyFill="1" applyBorder="1" applyAlignment="1">
      <alignment horizontal="center"/>
    </xf>
    <xf numFmtId="0" fontId="6" fillId="0" borderId="46" xfId="1820" applyBorder="1" applyAlignment="1">
      <alignment horizontal="left" vertical="center"/>
    </xf>
    <xf numFmtId="4" fontId="6" fillId="0" borderId="53" xfId="1820" applyNumberFormat="1" applyBorder="1" applyAlignment="1">
      <alignment horizontal="center" vertical="center"/>
    </xf>
    <xf numFmtId="4" fontId="6" fillId="0" borderId="38" xfId="1820" applyNumberFormat="1" applyBorder="1" applyAlignment="1">
      <alignment horizontal="center" vertical="center"/>
    </xf>
    <xf numFmtId="0" fontId="6" fillId="0" borderId="14" xfId="1820" applyBorder="1" applyAlignment="1">
      <alignment horizontal="center" vertical="center"/>
    </xf>
    <xf numFmtId="0" fontId="19" fillId="0" borderId="24" xfId="1820" applyFont="1" applyBorder="1" applyAlignment="1">
      <alignment horizontal="center"/>
    </xf>
    <xf numFmtId="4" fontId="6" fillId="0" borderId="39" xfId="1820" applyNumberFormat="1" applyBorder="1" applyAlignment="1">
      <alignment horizontal="center"/>
    </xf>
    <xf numFmtId="4" fontId="19" fillId="0" borderId="7" xfId="1820" applyNumberFormat="1" applyFont="1" applyBorder="1" applyAlignment="1">
      <alignment horizontal="center" vertical="center"/>
    </xf>
    <xf numFmtId="0" fontId="19" fillId="10" borderId="11" xfId="1820" applyFont="1" applyFill="1" applyBorder="1" applyAlignment="1">
      <alignment horizontal="center" vertical="center"/>
    </xf>
    <xf numFmtId="0" fontId="6" fillId="0" borderId="53" xfId="1820" applyBorder="1" applyAlignment="1">
      <alignment horizontal="center" vertical="center"/>
    </xf>
    <xf numFmtId="0" fontId="6" fillId="41" borderId="24" xfId="1820" applyFill="1" applyBorder="1" applyAlignment="1">
      <alignment horizontal="center" vertical="center"/>
    </xf>
    <xf numFmtId="0" fontId="6" fillId="0" borderId="46" xfId="1820" applyBorder="1" applyAlignment="1">
      <alignment horizontal="center"/>
    </xf>
    <xf numFmtId="168" fontId="3" fillId="36" borderId="24" xfId="1820" applyNumberFormat="1" applyFont="1" applyFill="1" applyBorder="1" applyAlignment="1">
      <alignment horizontal="center" vertical="center"/>
    </xf>
    <xf numFmtId="168" fontId="5" fillId="37" borderId="24" xfId="1820" applyNumberFormat="1" applyFont="1" applyFill="1" applyBorder="1" applyAlignment="1">
      <alignment horizontal="center" vertical="center"/>
    </xf>
    <xf numFmtId="169" fontId="5" fillId="37" borderId="24" xfId="1820" applyNumberFormat="1" applyFont="1" applyFill="1" applyBorder="1" applyAlignment="1">
      <alignment horizontal="center" vertical="center"/>
    </xf>
    <xf numFmtId="168" fontId="3" fillId="36" borderId="24" xfId="1820" applyNumberFormat="1" applyFont="1" applyFill="1" applyBorder="1" applyAlignment="1">
      <alignment horizontal="center"/>
    </xf>
    <xf numFmtId="0" fontId="5" fillId="37" borderId="24" xfId="1820" applyFont="1" applyFill="1" applyBorder="1" applyAlignment="1">
      <alignment horizontal="center" vertical="center"/>
    </xf>
    <xf numFmtId="0" fontId="3" fillId="36" borderId="24" xfId="1820" applyFont="1" applyFill="1" applyBorder="1" applyAlignment="1">
      <alignment horizontal="center" vertical="center"/>
    </xf>
    <xf numFmtId="4" fontId="60" fillId="42" borderId="43" xfId="1820" applyNumberFormat="1" applyFont="1" applyFill="1" applyBorder="1" applyAlignment="1">
      <alignment horizontal="center" vertical="center"/>
    </xf>
    <xf numFmtId="0" fontId="60" fillId="42" borderId="14" xfId="1820" applyFont="1" applyFill="1" applyBorder="1" applyAlignment="1">
      <alignment horizontal="left" vertical="center"/>
    </xf>
    <xf numFmtId="0" fontId="60" fillId="42" borderId="43" xfId="1820" applyFont="1" applyFill="1" applyBorder="1" applyAlignment="1">
      <alignment horizontal="center" vertical="center"/>
    </xf>
    <xf numFmtId="0" fontId="5" fillId="0" borderId="0" xfId="0" applyFont="1"/>
    <xf numFmtId="0" fontId="3" fillId="0" borderId="9" xfId="0" applyFont="1" applyBorder="1" applyAlignment="1">
      <alignment vertical="center" wrapText="1"/>
    </xf>
    <xf numFmtId="166" fontId="61" fillId="0" borderId="0" xfId="1917" applyNumberFormat="1" applyFont="1"/>
    <xf numFmtId="2" fontId="61" fillId="0" borderId="0" xfId="1917" applyNumberFormat="1" applyFont="1"/>
    <xf numFmtId="169" fontId="61" fillId="36" borderId="46" xfId="1820" applyNumberFormat="1" applyFont="1" applyFill="1" applyBorder="1" applyAlignment="1">
      <alignment horizontal="center" vertical="center"/>
    </xf>
    <xf numFmtId="2" fontId="61" fillId="0" borderId="0" xfId="0" applyNumberFormat="1" applyFont="1"/>
    <xf numFmtId="4" fontId="63" fillId="0" borderId="24" xfId="1820" applyNumberFormat="1" applyFont="1" applyBorder="1" applyAlignment="1">
      <alignment horizontal="center" vertical="center"/>
    </xf>
    <xf numFmtId="4" fontId="62" fillId="0" borderId="39" xfId="1820" applyNumberFormat="1" applyFont="1" applyBorder="1" applyAlignment="1">
      <alignment horizontal="center"/>
    </xf>
    <xf numFmtId="4" fontId="63" fillId="0" borderId="52" xfId="1820" applyNumberFormat="1" applyFont="1" applyBorder="1" applyAlignment="1">
      <alignment horizontal="center" vertical="center"/>
    </xf>
    <xf numFmtId="4" fontId="6" fillId="39" borderId="7" xfId="1820" applyNumberFormat="1" applyFill="1" applyBorder="1" applyAlignment="1">
      <alignment horizontal="center" vertical="center"/>
    </xf>
    <xf numFmtId="0" fontId="6" fillId="39" borderId="11" xfId="1820" applyFill="1" applyBorder="1" applyAlignment="1">
      <alignment horizontal="center"/>
    </xf>
    <xf numFmtId="0" fontId="6" fillId="39" borderId="24" xfId="1820" applyFill="1" applyBorder="1" applyAlignment="1">
      <alignment horizontal="center"/>
    </xf>
    <xf numFmtId="168" fontId="3" fillId="44" borderId="24" xfId="1820" applyNumberFormat="1" applyFont="1" applyFill="1" applyBorder="1" applyAlignment="1" applyProtection="1">
      <alignment horizontal="center"/>
      <protection locked="0"/>
    </xf>
    <xf numFmtId="0" fontId="6" fillId="39" borderId="38" xfId="1820" applyFill="1" applyBorder="1" applyAlignment="1">
      <alignment horizontal="center"/>
    </xf>
    <xf numFmtId="4" fontId="6" fillId="39" borderId="38" xfId="1820" applyNumberFormat="1" applyFill="1" applyBorder="1" applyAlignment="1">
      <alignment horizontal="center"/>
    </xf>
    <xf numFmtId="4" fontId="19" fillId="39" borderId="39" xfId="1820" applyNumberFormat="1" applyFont="1" applyFill="1" applyBorder="1" applyAlignment="1">
      <alignment horizontal="center"/>
    </xf>
    <xf numFmtId="0" fontId="6" fillId="39" borderId="14" xfId="1820" applyFill="1" applyBorder="1"/>
    <xf numFmtId="4" fontId="6" fillId="39" borderId="0" xfId="1820" applyNumberFormat="1" applyFill="1"/>
    <xf numFmtId="0" fontId="6" fillId="39" borderId="0" xfId="1820" applyFill="1"/>
    <xf numFmtId="0" fontId="6" fillId="0" borderId="55" xfId="1820" applyBorder="1" applyAlignment="1" applyProtection="1">
      <alignment horizontal="centerContinuous"/>
      <protection locked="0"/>
    </xf>
    <xf numFmtId="0" fontId="6" fillId="0" borderId="55" xfId="1820" applyBorder="1" applyProtection="1">
      <protection locked="0"/>
    </xf>
    <xf numFmtId="0" fontId="6" fillId="0" borderId="55" xfId="1820" applyBorder="1" applyAlignment="1" applyProtection="1">
      <alignment wrapText="1"/>
      <protection locked="0"/>
    </xf>
    <xf numFmtId="4" fontId="6" fillId="0" borderId="55" xfId="1820" applyNumberFormat="1" applyBorder="1" applyAlignment="1" applyProtection="1">
      <alignment horizontal="center" vertical="center"/>
      <protection locked="0"/>
    </xf>
    <xf numFmtId="2" fontId="6" fillId="0" borderId="55" xfId="1820" applyNumberFormat="1" applyBorder="1" applyAlignment="1" applyProtection="1">
      <alignment horizontal="center"/>
      <protection locked="0"/>
    </xf>
    <xf numFmtId="0" fontId="6" fillId="39" borderId="81" xfId="1820" applyFill="1" applyBorder="1" applyAlignment="1">
      <alignment horizontal="center" vertical="center"/>
    </xf>
    <xf numFmtId="4" fontId="6" fillId="39" borderId="81" xfId="1820" applyNumberFormat="1" applyFill="1" applyBorder="1" applyAlignment="1">
      <alignment horizontal="center" vertical="center"/>
    </xf>
    <xf numFmtId="4" fontId="19" fillId="39" borderId="81" xfId="1820" applyNumberFormat="1" applyFont="1" applyFill="1" applyBorder="1" applyAlignment="1">
      <alignment horizontal="center" vertical="center"/>
    </xf>
    <xf numFmtId="4" fontId="19" fillId="39" borderId="75" xfId="1820" applyNumberFormat="1" applyFont="1" applyFill="1" applyBorder="1" applyAlignment="1">
      <alignment horizontal="center" vertical="center"/>
    </xf>
    <xf numFmtId="0" fontId="3" fillId="35" borderId="0" xfId="1820" applyFont="1" applyFill="1"/>
    <xf numFmtId="0" fontId="3" fillId="35" borderId="47" xfId="1820" applyFont="1" applyFill="1" applyBorder="1"/>
    <xf numFmtId="0" fontId="3" fillId="35" borderId="45" xfId="1820" applyFont="1" applyFill="1" applyBorder="1"/>
    <xf numFmtId="0" fontId="5" fillId="24" borderId="0" xfId="1820" applyFont="1" applyFill="1"/>
    <xf numFmtId="0" fontId="5" fillId="35" borderId="47" xfId="1820" applyFont="1" applyFill="1" applyBorder="1" applyAlignment="1">
      <alignment horizontal="left" vertical="center"/>
    </xf>
    <xf numFmtId="0" fontId="5" fillId="35" borderId="45" xfId="1820" applyFont="1" applyFill="1" applyBorder="1" applyAlignment="1">
      <alignment horizontal="center" vertical="center"/>
    </xf>
    <xf numFmtId="0" fontId="5" fillId="35" borderId="0" xfId="1820" applyFont="1" applyFill="1" applyAlignment="1">
      <alignment horizontal="center" vertical="center"/>
    </xf>
    <xf numFmtId="3" fontId="3" fillId="35" borderId="101" xfId="1820" applyNumberFormat="1" applyFont="1" applyFill="1" applyBorder="1" applyAlignment="1">
      <alignment horizontal="center" vertical="center"/>
    </xf>
    <xf numFmtId="4" fontId="3" fillId="35" borderId="45" xfId="1820" applyNumberFormat="1" applyFont="1" applyFill="1" applyBorder="1" applyAlignment="1">
      <alignment horizontal="center" vertical="center"/>
    </xf>
    <xf numFmtId="0" fontId="56" fillId="35" borderId="48" xfId="1820" applyFont="1" applyFill="1" applyBorder="1" applyAlignment="1">
      <alignment horizontal="center"/>
    </xf>
    <xf numFmtId="4" fontId="3" fillId="35" borderId="49" xfId="1820" applyNumberFormat="1" applyFont="1" applyFill="1" applyBorder="1" applyAlignment="1">
      <alignment horizontal="center" vertical="center"/>
    </xf>
    <xf numFmtId="4" fontId="3" fillId="35" borderId="0" xfId="1820" applyNumberFormat="1" applyFont="1" applyFill="1" applyAlignment="1">
      <alignment horizontal="center" vertical="center"/>
    </xf>
    <xf numFmtId="0" fontId="3" fillId="35" borderId="50" xfId="1820" applyFont="1" applyFill="1" applyBorder="1"/>
    <xf numFmtId="0" fontId="5" fillId="29" borderId="11" xfId="1820" applyFont="1" applyFill="1" applyBorder="1" applyAlignment="1">
      <alignment horizontal="centerContinuous" vertical="center"/>
    </xf>
    <xf numFmtId="0" fontId="5" fillId="29" borderId="24" xfId="1820" applyFont="1" applyFill="1" applyBorder="1" applyAlignment="1">
      <alignment horizontal="center" vertical="center" wrapText="1"/>
    </xf>
    <xf numFmtId="0" fontId="5" fillId="29" borderId="27" xfId="1820" applyFont="1" applyFill="1" applyBorder="1" applyAlignment="1">
      <alignment horizontal="centerContinuous" vertical="center"/>
    </xf>
    <xf numFmtId="0" fontId="5" fillId="29" borderId="28" xfId="1820" applyFont="1" applyFill="1" applyBorder="1" applyAlignment="1">
      <alignment horizontal="center" vertical="center" wrapText="1"/>
    </xf>
    <xf numFmtId="4" fontId="5" fillId="29" borderId="28" xfId="1820" applyNumberFormat="1" applyFont="1" applyFill="1" applyBorder="1" applyAlignment="1">
      <alignment horizontal="center" vertical="center" wrapText="1"/>
    </xf>
    <xf numFmtId="3" fontId="5" fillId="29" borderId="28" xfId="1820" applyNumberFormat="1" applyFont="1" applyFill="1" applyBorder="1" applyAlignment="1">
      <alignment horizontal="center" vertical="center" wrapText="1"/>
    </xf>
    <xf numFmtId="0" fontId="3" fillId="0" borderId="11" xfId="1820" applyFont="1" applyBorder="1" applyAlignment="1">
      <alignment horizontal="center" vertical="center"/>
    </xf>
    <xf numFmtId="0" fontId="3" fillId="0" borderId="24" xfId="1820" applyFont="1" applyBorder="1" applyAlignment="1">
      <alignment horizontal="center" vertical="center"/>
    </xf>
    <xf numFmtId="168" fontId="3" fillId="45" borderId="24" xfId="1820" applyNumberFormat="1" applyFont="1" applyFill="1" applyBorder="1" applyAlignment="1">
      <alignment horizontal="center" vertical="center"/>
    </xf>
    <xf numFmtId="0" fontId="5" fillId="10" borderId="11" xfId="1820" applyFont="1" applyFill="1" applyBorder="1" applyAlignment="1">
      <alignment horizontal="left" vertical="center"/>
    </xf>
    <xf numFmtId="0" fontId="5" fillId="10" borderId="24" xfId="1820" applyFont="1" applyFill="1" applyBorder="1" applyAlignment="1">
      <alignment horizontal="center" vertical="center"/>
    </xf>
    <xf numFmtId="0" fontId="3" fillId="0" borderId="24" xfId="1820" applyFont="1" applyBorder="1" applyAlignment="1">
      <alignment horizontal="center"/>
    </xf>
    <xf numFmtId="0" fontId="3" fillId="46" borderId="102" xfId="1820" applyFont="1" applyFill="1" applyBorder="1" applyAlignment="1">
      <alignment horizontal="center"/>
    </xf>
    <xf numFmtId="0" fontId="3" fillId="46" borderId="38" xfId="1820" applyFont="1" applyFill="1" applyBorder="1" applyAlignment="1">
      <alignment horizontal="center"/>
    </xf>
    <xf numFmtId="168" fontId="3" fillId="46" borderId="38" xfId="1820" applyNumberFormat="1" applyFont="1" applyFill="1" applyBorder="1" applyAlignment="1">
      <alignment horizontal="center"/>
    </xf>
    <xf numFmtId="168" fontId="3" fillId="45" borderId="38" xfId="1820" applyNumberFormat="1" applyFont="1" applyFill="1" applyBorder="1" applyAlignment="1">
      <alignment horizontal="center"/>
    </xf>
    <xf numFmtId="0" fontId="3" fillId="0" borderId="38" xfId="1820" applyFont="1" applyBorder="1" applyAlignment="1">
      <alignment horizontal="center"/>
    </xf>
    <xf numFmtId="4" fontId="3" fillId="0" borderId="38" xfId="1820" applyNumberFormat="1" applyFont="1" applyBorder="1" applyAlignment="1">
      <alignment horizontal="center"/>
    </xf>
    <xf numFmtId="0" fontId="3" fillId="46" borderId="103" xfId="1820" applyFont="1" applyFill="1" applyBorder="1" applyAlignment="1">
      <alignment horizontal="center" vertical="center"/>
    </xf>
    <xf numFmtId="0" fontId="3" fillId="46" borderId="7" xfId="1820" applyFont="1" applyFill="1" applyBorder="1" applyAlignment="1">
      <alignment horizontal="center" vertical="center"/>
    </xf>
    <xf numFmtId="0" fontId="3" fillId="0" borderId="46" xfId="1820" applyFont="1" applyBorder="1" applyAlignment="1">
      <alignment horizontal="center" vertical="center"/>
    </xf>
    <xf numFmtId="168" fontId="3" fillId="46" borderId="7" xfId="1820" applyNumberFormat="1" applyFont="1" applyFill="1" applyBorder="1" applyAlignment="1">
      <alignment horizontal="center" vertical="center"/>
    </xf>
    <xf numFmtId="168" fontId="3" fillId="45" borderId="7" xfId="1820" applyNumberFormat="1" applyFont="1" applyFill="1" applyBorder="1" applyAlignment="1">
      <alignment horizontal="center" vertical="center"/>
    </xf>
    <xf numFmtId="0" fontId="3" fillId="0" borderId="7" xfId="1820" applyFont="1" applyBorder="1" applyAlignment="1">
      <alignment horizontal="center" vertical="center"/>
    </xf>
    <xf numFmtId="4" fontId="3" fillId="0" borderId="7" xfId="1820" applyNumberFormat="1" applyFont="1" applyBorder="1" applyAlignment="1">
      <alignment horizontal="center" vertical="center"/>
    </xf>
    <xf numFmtId="0" fontId="3" fillId="0" borderId="7" xfId="1820" applyFont="1" applyBorder="1" applyAlignment="1">
      <alignment horizontal="center"/>
    </xf>
    <xf numFmtId="168" fontId="3" fillId="36" borderId="7" xfId="1820" applyNumberFormat="1" applyFont="1" applyFill="1" applyBorder="1" applyAlignment="1">
      <alignment horizontal="center" vertical="center"/>
    </xf>
    <xf numFmtId="2" fontId="3" fillId="0" borderId="7" xfId="1820" applyNumberFormat="1" applyFont="1" applyBorder="1" applyAlignment="1">
      <alignment horizontal="center"/>
    </xf>
    <xf numFmtId="0" fontId="3" fillId="46" borderId="104" xfId="1820" applyFont="1" applyFill="1" applyBorder="1" applyAlignment="1">
      <alignment horizontal="center" vertical="center"/>
    </xf>
    <xf numFmtId="0" fontId="3" fillId="46" borderId="53" xfId="1820" applyFont="1" applyFill="1" applyBorder="1" applyAlignment="1">
      <alignment horizontal="center" vertical="center"/>
    </xf>
    <xf numFmtId="0" fontId="5" fillId="0" borderId="46" xfId="1820" applyFont="1" applyBorder="1" applyAlignment="1">
      <alignment horizontal="center" vertical="center"/>
    </xf>
    <xf numFmtId="0" fontId="5" fillId="46" borderId="53" xfId="1820" applyFont="1" applyFill="1" applyBorder="1" applyAlignment="1">
      <alignment horizontal="center" vertical="center"/>
    </xf>
    <xf numFmtId="168" fontId="5" fillId="46" borderId="53" xfId="1820" applyNumberFormat="1" applyFont="1" applyFill="1" applyBorder="1" applyAlignment="1">
      <alignment horizontal="center" vertical="center"/>
    </xf>
    <xf numFmtId="168" fontId="5" fillId="36" borderId="53" xfId="1820" applyNumberFormat="1" applyFont="1" applyFill="1" applyBorder="1" applyAlignment="1">
      <alignment horizontal="center" vertical="center"/>
    </xf>
    <xf numFmtId="0" fontId="3" fillId="0" borderId="53" xfId="1820" applyFont="1" applyBorder="1" applyAlignment="1">
      <alignment horizontal="center"/>
    </xf>
    <xf numFmtId="0" fontId="3" fillId="0" borderId="14" xfId="1820" applyFont="1" applyBorder="1" applyAlignment="1">
      <alignment horizontal="center" vertical="center"/>
    </xf>
    <xf numFmtId="0" fontId="3" fillId="0" borderId="43" xfId="1820" applyFont="1" applyBorder="1" applyAlignment="1">
      <alignment horizontal="center" vertical="center"/>
    </xf>
    <xf numFmtId="168" fontId="3" fillId="36" borderId="43" xfId="1820" applyNumberFormat="1" applyFont="1" applyFill="1" applyBorder="1" applyAlignment="1">
      <alignment horizontal="center" vertical="center"/>
    </xf>
    <xf numFmtId="4" fontId="3" fillId="0" borderId="24" xfId="1820" applyNumberFormat="1" applyFont="1" applyBorder="1" applyAlignment="1">
      <alignment horizontal="center" vertical="center"/>
    </xf>
    <xf numFmtId="0" fontId="3" fillId="0" borderId="102" xfId="1820" applyFont="1" applyBorder="1" applyAlignment="1">
      <alignment horizontal="center"/>
    </xf>
    <xf numFmtId="0" fontId="3" fillId="33" borderId="38" xfId="1820" applyFont="1" applyFill="1" applyBorder="1" applyAlignment="1">
      <alignment horizontal="center"/>
    </xf>
    <xf numFmtId="0" fontId="3" fillId="0" borderId="103" xfId="1820" applyFont="1" applyBorder="1" applyAlignment="1">
      <alignment horizontal="center" vertical="center"/>
    </xf>
    <xf numFmtId="0" fontId="3" fillId="33" borderId="7" xfId="1820" applyFont="1" applyFill="1" applyBorder="1" applyAlignment="1">
      <alignment horizontal="center" vertical="center"/>
    </xf>
    <xf numFmtId="0" fontId="3" fillId="0" borderId="104" xfId="1820" applyFont="1" applyBorder="1" applyAlignment="1">
      <alignment horizontal="center" vertical="center"/>
    </xf>
    <xf numFmtId="0" fontId="3" fillId="0" borderId="53" xfId="1820" applyFont="1" applyBorder="1" applyAlignment="1">
      <alignment horizontal="center" vertical="center"/>
    </xf>
    <xf numFmtId="0" fontId="5" fillId="0" borderId="53" xfId="1820" applyFont="1" applyBorder="1" applyAlignment="1">
      <alignment horizontal="center" vertical="center"/>
    </xf>
    <xf numFmtId="168" fontId="5" fillId="45" borderId="53" xfId="1820" applyNumberFormat="1" applyFont="1" applyFill="1" applyBorder="1" applyAlignment="1">
      <alignment horizontal="center" vertical="center"/>
    </xf>
    <xf numFmtId="0" fontId="3" fillId="41" borderId="38" xfId="1820" applyFont="1" applyFill="1" applyBorder="1" applyAlignment="1">
      <alignment horizontal="center"/>
    </xf>
    <xf numFmtId="0" fontId="3" fillId="41" borderId="7" xfId="1820" applyFont="1" applyFill="1" applyBorder="1" applyAlignment="1">
      <alignment horizontal="center" vertical="center"/>
    </xf>
    <xf numFmtId="4" fontId="3" fillId="0" borderId="7" xfId="1820" applyNumberFormat="1" applyFont="1" applyBorder="1" applyAlignment="1">
      <alignment horizontal="center"/>
    </xf>
    <xf numFmtId="4" fontId="5" fillId="0" borderId="53" xfId="1820" applyNumberFormat="1" applyFont="1" applyBorder="1" applyAlignment="1">
      <alignment horizontal="center" vertical="center"/>
    </xf>
    <xf numFmtId="0" fontId="5" fillId="0" borderId="24" xfId="1820" applyFont="1" applyBorder="1" applyAlignment="1">
      <alignment horizontal="center" vertical="center"/>
    </xf>
    <xf numFmtId="168" fontId="5" fillId="45" borderId="24" xfId="1820" applyNumberFormat="1" applyFont="1" applyFill="1" applyBorder="1" applyAlignment="1">
      <alignment horizontal="center" vertical="center"/>
    </xf>
    <xf numFmtId="0" fontId="5" fillId="4" borderId="14" xfId="1820" applyFont="1" applyFill="1" applyBorder="1" applyAlignment="1">
      <alignment horizontal="left" vertical="center"/>
    </xf>
    <xf numFmtId="0" fontId="5" fillId="4" borderId="43" xfId="1820" applyFont="1" applyFill="1" applyBorder="1" applyAlignment="1">
      <alignment horizontal="center" vertical="center"/>
    </xf>
    <xf numFmtId="168" fontId="5" fillId="38" borderId="43" xfId="1820" applyNumberFormat="1" applyFont="1" applyFill="1" applyBorder="1" applyAlignment="1">
      <alignment horizontal="center" vertical="center"/>
    </xf>
    <xf numFmtId="0" fontId="5" fillId="4" borderId="46" xfId="1820" applyFont="1" applyFill="1" applyBorder="1" applyAlignment="1">
      <alignment horizontal="center" vertical="center"/>
    </xf>
    <xf numFmtId="4" fontId="5" fillId="4" borderId="46" xfId="1820" applyNumberFormat="1" applyFont="1" applyFill="1" applyBorder="1" applyAlignment="1">
      <alignment horizontal="center" vertical="center"/>
    </xf>
    <xf numFmtId="4" fontId="5" fillId="4" borderId="43" xfId="1820" applyNumberFormat="1" applyFont="1" applyFill="1" applyBorder="1" applyAlignment="1">
      <alignment horizontal="center" vertical="center"/>
    </xf>
    <xf numFmtId="0" fontId="5" fillId="0" borderId="14" xfId="1820" applyFont="1" applyBorder="1" applyAlignment="1">
      <alignment horizontal="center" vertical="center"/>
    </xf>
    <xf numFmtId="0" fontId="5" fillId="0" borderId="43" xfId="1820" applyFont="1" applyBorder="1" applyAlignment="1">
      <alignment horizontal="center" vertical="center"/>
    </xf>
    <xf numFmtId="4" fontId="3" fillId="0" borderId="43" xfId="1820" applyNumberFormat="1" applyFont="1" applyBorder="1" applyAlignment="1">
      <alignment horizontal="center" vertical="center"/>
    </xf>
    <xf numFmtId="168" fontId="5" fillId="36" borderId="43" xfId="1820" applyNumberFormat="1" applyFont="1" applyFill="1" applyBorder="1" applyAlignment="1">
      <alignment horizontal="center" vertical="center"/>
    </xf>
    <xf numFmtId="0" fontId="3" fillId="0" borderId="43" xfId="1820" applyFont="1" applyBorder="1" applyAlignment="1">
      <alignment horizontal="center"/>
    </xf>
    <xf numFmtId="4" fontId="5" fillId="10" borderId="24" xfId="1820" applyNumberFormat="1" applyFont="1" applyFill="1" applyBorder="1" applyAlignment="1">
      <alignment horizontal="center" vertical="center"/>
    </xf>
    <xf numFmtId="0" fontId="5" fillId="0" borderId="11" xfId="1820" applyFont="1" applyBorder="1" applyAlignment="1">
      <alignment horizontal="center" vertical="center"/>
    </xf>
    <xf numFmtId="0" fontId="55" fillId="33" borderId="38" xfId="1820" applyFont="1" applyFill="1" applyBorder="1" applyAlignment="1">
      <alignment horizontal="center"/>
    </xf>
    <xf numFmtId="3" fontId="3" fillId="0" borderId="38" xfId="1820" applyNumberFormat="1" applyFont="1" applyBorder="1" applyAlignment="1">
      <alignment horizontal="center"/>
    </xf>
    <xf numFmtId="0" fontId="55" fillId="33" borderId="7" xfId="1820" applyFont="1" applyFill="1" applyBorder="1" applyAlignment="1">
      <alignment horizontal="center" vertical="center"/>
    </xf>
    <xf numFmtId="168" fontId="5" fillId="36" borderId="24" xfId="1820" applyNumberFormat="1" applyFont="1" applyFill="1" applyBorder="1" applyAlignment="1">
      <alignment horizontal="center" vertical="center"/>
    </xf>
    <xf numFmtId="0" fontId="3" fillId="0" borderId="7" xfId="1820" applyFont="1" applyBorder="1" applyAlignment="1">
      <alignment horizontal="left" vertical="center"/>
    </xf>
    <xf numFmtId="4" fontId="3" fillId="0" borderId="53" xfId="1820" applyNumberFormat="1" applyFont="1" applyBorder="1" applyAlignment="1">
      <alignment horizontal="center" vertical="center"/>
    </xf>
    <xf numFmtId="0" fontId="36" fillId="47" borderId="11" xfId="1820" applyFont="1" applyFill="1" applyBorder="1" applyAlignment="1">
      <alignment horizontal="left" vertical="center"/>
    </xf>
    <xf numFmtId="0" fontId="36" fillId="47" borderId="98" xfId="1820" applyFont="1" applyFill="1" applyBorder="1" applyAlignment="1">
      <alignment horizontal="center" vertical="center"/>
    </xf>
    <xf numFmtId="0" fontId="36" fillId="47" borderId="105" xfId="1820" applyFont="1" applyFill="1" applyBorder="1" applyAlignment="1">
      <alignment horizontal="center" vertical="center"/>
    </xf>
    <xf numFmtId="168" fontId="36" fillId="44" borderId="105" xfId="1820" applyNumberFormat="1" applyFont="1" applyFill="1" applyBorder="1" applyAlignment="1">
      <alignment horizontal="center" vertical="center"/>
    </xf>
    <xf numFmtId="4" fontId="36" fillId="47" borderId="105" xfId="1820" applyNumberFormat="1" applyFont="1" applyFill="1" applyBorder="1" applyAlignment="1">
      <alignment horizontal="center" vertical="center"/>
    </xf>
    <xf numFmtId="0" fontId="5" fillId="0" borderId="24" xfId="1820" applyFont="1" applyBorder="1" applyAlignment="1">
      <alignment horizontal="center"/>
    </xf>
    <xf numFmtId="0" fontId="5" fillId="0" borderId="7" xfId="1820" applyFont="1" applyBorder="1" applyAlignment="1">
      <alignment horizontal="center" vertical="center"/>
    </xf>
    <xf numFmtId="168" fontId="5" fillId="45" borderId="7" xfId="1820" applyNumberFormat="1" applyFont="1" applyFill="1" applyBorder="1" applyAlignment="1">
      <alignment horizontal="center" vertical="center"/>
    </xf>
    <xf numFmtId="4" fontId="5" fillId="0" borderId="7" xfId="1820" applyNumberFormat="1" applyFont="1" applyBorder="1" applyAlignment="1">
      <alignment horizontal="center" vertical="center"/>
    </xf>
    <xf numFmtId="0" fontId="57" fillId="0" borderId="7" xfId="1820" applyFont="1" applyBorder="1" applyAlignment="1">
      <alignment horizontal="center" vertical="center"/>
    </xf>
    <xf numFmtId="0" fontId="57" fillId="0" borderId="7" xfId="1820" applyFont="1" applyBorder="1" applyAlignment="1">
      <alignment horizontal="center"/>
    </xf>
    <xf numFmtId="0" fontId="57" fillId="0" borderId="53" xfId="1820" applyFont="1" applyBorder="1" applyAlignment="1">
      <alignment horizontal="center"/>
    </xf>
    <xf numFmtId="0" fontId="5" fillId="10" borderId="11" xfId="1820" applyFont="1" applyFill="1" applyBorder="1" applyAlignment="1">
      <alignment horizontal="center" vertical="center"/>
    </xf>
    <xf numFmtId="0" fontId="3" fillId="41" borderId="24" xfId="1820" applyFont="1" applyFill="1" applyBorder="1" applyAlignment="1">
      <alignment horizontal="center" vertical="center"/>
    </xf>
    <xf numFmtId="4" fontId="3" fillId="41" borderId="24" xfId="1820" applyNumberFormat="1" applyFont="1" applyFill="1" applyBorder="1" applyAlignment="1">
      <alignment horizontal="center" vertical="center"/>
    </xf>
    <xf numFmtId="168" fontId="5" fillId="33" borderId="53" xfId="1820" applyNumberFormat="1" applyFont="1" applyFill="1" applyBorder="1" applyAlignment="1">
      <alignment horizontal="center" vertical="center"/>
    </xf>
    <xf numFmtId="0" fontId="3" fillId="0" borderId="46" xfId="1820" applyFont="1" applyBorder="1" applyAlignment="1">
      <alignment horizontal="center"/>
    </xf>
    <xf numFmtId="0" fontId="68" fillId="13" borderId="14" xfId="1820" applyFont="1" applyFill="1" applyBorder="1" applyAlignment="1">
      <alignment horizontal="left" vertical="center"/>
    </xf>
    <xf numFmtId="0" fontId="3" fillId="0" borderId="55" xfId="1820" applyFont="1" applyBorder="1" applyAlignment="1" applyProtection="1">
      <alignment horizontal="centerContinuous"/>
      <protection locked="0"/>
    </xf>
    <xf numFmtId="0" fontId="3" fillId="0" borderId="55" xfId="1820" applyFont="1" applyBorder="1" applyProtection="1">
      <protection locked="0"/>
    </xf>
    <xf numFmtId="0" fontId="3" fillId="0" borderId="55" xfId="1820" applyFont="1" applyBorder="1" applyAlignment="1" applyProtection="1">
      <alignment wrapText="1"/>
      <protection locked="0"/>
    </xf>
    <xf numFmtId="168" fontId="3" fillId="0" borderId="55" xfId="1820" applyNumberFormat="1" applyFont="1" applyBorder="1" applyProtection="1">
      <protection locked="0"/>
    </xf>
    <xf numFmtId="4" fontId="3" fillId="0" borderId="55" xfId="1820" applyNumberFormat="1" applyFont="1" applyBorder="1" applyAlignment="1" applyProtection="1">
      <alignment horizontal="center" vertical="center"/>
      <protection locked="0"/>
    </xf>
    <xf numFmtId="0" fontId="3" fillId="39" borderId="81" xfId="1820" applyFont="1" applyFill="1" applyBorder="1" applyAlignment="1">
      <alignment horizontal="center" vertical="center"/>
    </xf>
    <xf numFmtId="168" fontId="3" fillId="39" borderId="81" xfId="1820" applyNumberFormat="1" applyFont="1" applyFill="1" applyBorder="1" applyAlignment="1">
      <alignment horizontal="center" vertical="center"/>
    </xf>
    <xf numFmtId="4" fontId="3" fillId="39" borderId="81" xfId="1820" applyNumberFormat="1" applyFont="1" applyFill="1" applyBorder="1" applyAlignment="1">
      <alignment horizontal="center" vertical="center"/>
    </xf>
    <xf numFmtId="168" fontId="3" fillId="0" borderId="0" xfId="1820" applyNumberFormat="1" applyFont="1"/>
    <xf numFmtId="2" fontId="3" fillId="0" borderId="0" xfId="1820" applyNumberFormat="1" applyFont="1"/>
    <xf numFmtId="2" fontId="69" fillId="0" borderId="0" xfId="1811" applyNumberFormat="1" applyFont="1" applyAlignment="1">
      <alignment wrapText="1"/>
    </xf>
    <xf numFmtId="2" fontId="69" fillId="0" borderId="0" xfId="1811" applyNumberFormat="1" applyFont="1"/>
    <xf numFmtId="0" fontId="31" fillId="9" borderId="11" xfId="1820" applyFont="1" applyFill="1" applyBorder="1" applyAlignment="1">
      <alignment horizontal="left" vertical="center"/>
    </xf>
    <xf numFmtId="0" fontId="31" fillId="9" borderId="24" xfId="1820" applyFont="1" applyFill="1" applyBorder="1" applyAlignment="1">
      <alignment horizontal="center" vertical="center"/>
    </xf>
    <xf numFmtId="168" fontId="31" fillId="48" borderId="24" xfId="1820" applyNumberFormat="1" applyFont="1" applyFill="1" applyBorder="1" applyAlignment="1">
      <alignment horizontal="center" vertical="center"/>
    </xf>
    <xf numFmtId="4" fontId="31" fillId="9" borderId="24" xfId="1820" applyNumberFormat="1" applyFont="1" applyFill="1" applyBorder="1" applyAlignment="1">
      <alignment horizontal="center" vertical="center"/>
    </xf>
    <xf numFmtId="0" fontId="6" fillId="39" borderId="51" xfId="1820" applyFill="1" applyBorder="1" applyAlignment="1">
      <alignment horizontal="center" vertical="center"/>
    </xf>
    <xf numFmtId="0" fontId="6" fillId="35" borderId="106" xfId="1820" applyFill="1" applyBorder="1"/>
    <xf numFmtId="0" fontId="0" fillId="0" borderId="9" xfId="0" applyBorder="1"/>
    <xf numFmtId="0" fontId="3" fillId="0" borderId="84" xfId="0" applyFont="1" applyBorder="1"/>
    <xf numFmtId="0" fontId="6" fillId="0" borderId="9" xfId="1820" applyBorder="1"/>
    <xf numFmtId="0" fontId="6" fillId="0" borderId="24" xfId="1820" applyBorder="1" applyAlignment="1">
      <alignment horizontal="center" wrapText="1"/>
    </xf>
    <xf numFmtId="0" fontId="6" fillId="0" borderId="107" xfId="1820" applyBorder="1" applyAlignment="1">
      <alignment horizontal="center"/>
    </xf>
    <xf numFmtId="4" fontId="6" fillId="0" borderId="107" xfId="1820" applyNumberFormat="1" applyBorder="1" applyAlignment="1">
      <alignment horizontal="center" vertical="center"/>
    </xf>
    <xf numFmtId="4" fontId="19" fillId="0" borderId="108" xfId="1820" applyNumberFormat="1" applyFont="1" applyBorder="1" applyAlignment="1">
      <alignment horizontal="center" vertical="center"/>
    </xf>
    <xf numFmtId="0" fontId="6" fillId="0" borderId="98" xfId="1820" applyBorder="1" applyAlignment="1">
      <alignment horizontal="center" vertical="center"/>
    </xf>
    <xf numFmtId="0" fontId="6" fillId="0" borderId="105" xfId="1820" applyBorder="1" applyAlignment="1">
      <alignment horizontal="center" vertical="center"/>
    </xf>
    <xf numFmtId="0" fontId="19" fillId="0" borderId="105" xfId="1820" applyFont="1" applyBorder="1" applyAlignment="1">
      <alignment horizontal="center" vertical="center"/>
    </xf>
    <xf numFmtId="168" fontId="19" fillId="36" borderId="105" xfId="1820" applyNumberFormat="1" applyFont="1" applyFill="1" applyBorder="1" applyAlignment="1">
      <alignment horizontal="center" vertical="center"/>
    </xf>
    <xf numFmtId="169" fontId="19" fillId="36" borderId="105" xfId="1820" applyNumberFormat="1" applyFont="1" applyFill="1" applyBorder="1" applyAlignment="1">
      <alignment horizontal="center" vertical="center"/>
    </xf>
    <xf numFmtId="0" fontId="6" fillId="0" borderId="109" xfId="1820" applyBorder="1" applyAlignment="1">
      <alignment horizontal="center"/>
    </xf>
    <xf numFmtId="4" fontId="19" fillId="0" borderId="109" xfId="1820" applyNumberFormat="1" applyFont="1" applyBorder="1" applyAlignment="1">
      <alignment horizontal="center" vertical="center"/>
    </xf>
    <xf numFmtId="4" fontId="19" fillId="0" borderId="110" xfId="1820" applyNumberFormat="1" applyFont="1" applyBorder="1" applyAlignment="1">
      <alignment horizontal="center" vertical="center"/>
    </xf>
    <xf numFmtId="0" fontId="6" fillId="0" borderId="9" xfId="1820" applyBorder="1" applyAlignment="1">
      <alignment horizontal="center"/>
    </xf>
    <xf numFmtId="4" fontId="19" fillId="0" borderId="9" xfId="1820" applyNumberFormat="1" applyFont="1" applyBorder="1" applyAlignment="1">
      <alignment horizontal="center" vertical="center"/>
    </xf>
    <xf numFmtId="0" fontId="19" fillId="0" borderId="55" xfId="1820" applyFont="1" applyBorder="1" applyAlignment="1">
      <alignment horizontal="center" vertical="center"/>
    </xf>
    <xf numFmtId="168" fontId="19" fillId="36" borderId="55" xfId="1820" applyNumberFormat="1" applyFont="1" applyFill="1" applyBorder="1" applyAlignment="1">
      <alignment horizontal="center" vertical="center"/>
    </xf>
    <xf numFmtId="0" fontId="6" fillId="0" borderId="55" xfId="1820" applyBorder="1" applyAlignment="1">
      <alignment horizontal="center"/>
    </xf>
    <xf numFmtId="0" fontId="19" fillId="10" borderId="43" xfId="1820" applyFont="1" applyFill="1" applyBorder="1" applyAlignment="1">
      <alignment horizontal="center" vertical="center"/>
    </xf>
    <xf numFmtId="168" fontId="19" fillId="37" borderId="43" xfId="1820" applyNumberFormat="1" applyFont="1" applyFill="1" applyBorder="1" applyAlignment="1">
      <alignment horizontal="center" vertical="center"/>
    </xf>
    <xf numFmtId="4" fontId="19" fillId="10" borderId="43" xfId="1820" applyNumberFormat="1" applyFont="1" applyFill="1" applyBorder="1" applyAlignment="1">
      <alignment horizontal="center" vertical="center"/>
    </xf>
    <xf numFmtId="4" fontId="19" fillId="0" borderId="66" xfId="1820" applyNumberFormat="1" applyFont="1" applyBorder="1" applyAlignment="1">
      <alignment horizontal="center" vertical="center"/>
    </xf>
    <xf numFmtId="4" fontId="6" fillId="0" borderId="9" xfId="1820" applyNumberFormat="1" applyBorder="1" applyAlignment="1">
      <alignment horizontal="center" vertical="center"/>
    </xf>
    <xf numFmtId="0" fontId="6" fillId="0" borderId="55" xfId="1820" applyBorder="1"/>
    <xf numFmtId="0" fontId="19" fillId="0" borderId="79" xfId="1820" applyFont="1" applyBorder="1" applyAlignment="1">
      <alignment horizontal="center" vertical="center"/>
    </xf>
    <xf numFmtId="169" fontId="19" fillId="36" borderId="81" xfId="1820" applyNumberFormat="1" applyFont="1" applyFill="1" applyBorder="1" applyAlignment="1">
      <alignment horizontal="center" vertical="center"/>
    </xf>
    <xf numFmtId="0" fontId="6" fillId="0" borderId="81" xfId="1820" applyBorder="1" applyAlignment="1">
      <alignment horizontal="center"/>
    </xf>
    <xf numFmtId="4" fontId="19" fillId="0" borderId="81" xfId="1820" applyNumberFormat="1" applyFont="1" applyBorder="1" applyAlignment="1">
      <alignment horizontal="center" vertical="center"/>
    </xf>
    <xf numFmtId="4" fontId="19" fillId="0" borderId="41" xfId="1820" applyNumberFormat="1" applyFont="1" applyBorder="1" applyAlignment="1">
      <alignment horizontal="center" vertical="center"/>
    </xf>
    <xf numFmtId="0" fontId="6" fillId="0" borderId="56" xfId="1820" applyBorder="1" applyAlignment="1">
      <alignment horizontal="center"/>
    </xf>
    <xf numFmtId="4" fontId="6" fillId="0" borderId="111" xfId="1820" applyNumberFormat="1" applyBorder="1" applyAlignment="1">
      <alignment horizontal="center"/>
    </xf>
    <xf numFmtId="4" fontId="19" fillId="0" borderId="83" xfId="1820" applyNumberFormat="1" applyFont="1" applyBorder="1" applyAlignment="1">
      <alignment horizontal="center" vertical="center"/>
    </xf>
    <xf numFmtId="4" fontId="19" fillId="0" borderId="56" xfId="1820" applyNumberFormat="1" applyFont="1" applyBorder="1" applyAlignment="1">
      <alignment horizontal="center" vertical="center"/>
    </xf>
    <xf numFmtId="0" fontId="19" fillId="0" borderId="98" xfId="1820" applyFont="1" applyBorder="1" applyAlignment="1">
      <alignment horizontal="center" vertical="center"/>
    </xf>
    <xf numFmtId="0" fontId="3" fillId="0" borderId="112" xfId="1820" applyFont="1" applyBorder="1" applyAlignment="1">
      <alignment horizontal="center" vertical="center"/>
    </xf>
    <xf numFmtId="0" fontId="3" fillId="0" borderId="107" xfId="1820" applyFont="1" applyBorder="1" applyAlignment="1">
      <alignment horizontal="center" vertical="center"/>
    </xf>
    <xf numFmtId="168" fontId="3" fillId="45" borderId="107" xfId="1820" applyNumberFormat="1" applyFont="1" applyFill="1" applyBorder="1" applyAlignment="1">
      <alignment horizontal="center" vertical="center"/>
    </xf>
    <xf numFmtId="4" fontId="3" fillId="0" borderId="107" xfId="1820" applyNumberFormat="1" applyFont="1" applyBorder="1" applyAlignment="1">
      <alignment horizontal="center" vertical="center"/>
    </xf>
    <xf numFmtId="0" fontId="3" fillId="49" borderId="113" xfId="1820" applyFont="1" applyFill="1" applyBorder="1" applyAlignment="1">
      <alignment horizontal="center" vertical="center"/>
    </xf>
    <xf numFmtId="0" fontId="3" fillId="49" borderId="109" xfId="1820" applyFont="1" applyFill="1" applyBorder="1" applyAlignment="1">
      <alignment horizontal="center" vertical="center"/>
    </xf>
    <xf numFmtId="0" fontId="5" fillId="49" borderId="105" xfId="1820" applyFont="1" applyFill="1" applyBorder="1" applyAlignment="1">
      <alignment horizontal="center" vertical="center"/>
    </xf>
    <xf numFmtId="0" fontId="5" fillId="49" borderId="109" xfId="1820" applyFont="1" applyFill="1" applyBorder="1" applyAlignment="1">
      <alignment horizontal="center" vertical="center"/>
    </xf>
    <xf numFmtId="168" fontId="5" fillId="37" borderId="109" xfId="1820" applyNumberFormat="1" applyFont="1" applyFill="1" applyBorder="1" applyAlignment="1">
      <alignment horizontal="center" vertical="center"/>
    </xf>
    <xf numFmtId="0" fontId="3" fillId="49" borderId="109" xfId="1820" applyFont="1" applyFill="1" applyBorder="1" applyAlignment="1">
      <alignment horizontal="center"/>
    </xf>
    <xf numFmtId="0" fontId="5" fillId="0" borderId="107" xfId="1820" applyFont="1" applyBorder="1" applyAlignment="1">
      <alignment horizontal="center" vertical="center"/>
    </xf>
    <xf numFmtId="168" fontId="5" fillId="45" borderId="107" xfId="1820" applyNumberFormat="1" applyFont="1" applyFill="1" applyBorder="1" applyAlignment="1">
      <alignment horizontal="center" vertical="center"/>
    </xf>
    <xf numFmtId="0" fontId="3" fillId="0" borderId="107" xfId="1820" applyFont="1" applyBorder="1" applyAlignment="1">
      <alignment horizontal="center"/>
    </xf>
    <xf numFmtId="0" fontId="5" fillId="4" borderId="98" xfId="1820" applyFont="1" applyFill="1" applyBorder="1" applyAlignment="1">
      <alignment horizontal="left" vertical="center"/>
    </xf>
    <xf numFmtId="0" fontId="3" fillId="49" borderId="105" xfId="1820" applyFont="1" applyFill="1" applyBorder="1" applyAlignment="1">
      <alignment horizontal="center" vertical="center"/>
    </xf>
    <xf numFmtId="168" fontId="5" fillId="37" borderId="105" xfId="1820" applyNumberFormat="1" applyFont="1" applyFill="1" applyBorder="1" applyAlignment="1">
      <alignment horizontal="center" vertical="center"/>
    </xf>
    <xf numFmtId="0" fontId="3" fillId="49" borderId="105" xfId="1820" applyFont="1" applyFill="1" applyBorder="1" applyAlignment="1">
      <alignment horizontal="center"/>
    </xf>
    <xf numFmtId="0" fontId="3" fillId="0" borderId="114" xfId="1820" applyFont="1" applyBorder="1" applyAlignment="1">
      <alignment horizontal="center"/>
    </xf>
    <xf numFmtId="0" fontId="3" fillId="0" borderId="60" xfId="1820" applyFont="1" applyBorder="1" applyAlignment="1">
      <alignment horizontal="center" vertical="center"/>
    </xf>
    <xf numFmtId="0" fontId="3" fillId="0" borderId="115" xfId="1820" applyFont="1" applyBorder="1" applyAlignment="1">
      <alignment horizontal="center" vertical="center"/>
    </xf>
    <xf numFmtId="0" fontId="5" fillId="0" borderId="115" xfId="1820" applyFont="1" applyBorder="1" applyAlignment="1">
      <alignment horizontal="center" vertical="center"/>
    </xf>
    <xf numFmtId="168" fontId="5" fillId="45" borderId="115" xfId="1820" applyNumberFormat="1" applyFont="1" applyFill="1" applyBorder="1" applyAlignment="1">
      <alignment horizontal="center" vertical="center"/>
    </xf>
    <xf numFmtId="0" fontId="3" fillId="0" borderId="115" xfId="1820" applyFont="1" applyBorder="1" applyAlignment="1">
      <alignment horizontal="center"/>
    </xf>
    <xf numFmtId="0" fontId="3" fillId="0" borderId="116" xfId="1820" applyFont="1" applyBorder="1" applyAlignment="1">
      <alignment horizontal="center" vertical="center"/>
    </xf>
    <xf numFmtId="0" fontId="3" fillId="0" borderId="111" xfId="1820" applyFont="1" applyBorder="1" applyAlignment="1">
      <alignment horizontal="center" vertical="center"/>
    </xf>
    <xf numFmtId="168" fontId="3" fillId="45" borderId="111" xfId="1820" applyNumberFormat="1" applyFont="1" applyFill="1" applyBorder="1" applyAlignment="1">
      <alignment horizontal="center" vertical="center"/>
    </xf>
    <xf numFmtId="0" fontId="3" fillId="0" borderId="111" xfId="1820" applyFont="1" applyBorder="1" applyAlignment="1">
      <alignment horizontal="center"/>
    </xf>
    <xf numFmtId="4" fontId="3" fillId="0" borderId="111" xfId="1820" applyNumberFormat="1" applyFont="1" applyBorder="1" applyAlignment="1">
      <alignment horizontal="center" vertical="center"/>
    </xf>
    <xf numFmtId="0" fontId="3" fillId="0" borderId="117" xfId="1820" applyFont="1" applyBorder="1" applyAlignment="1">
      <alignment horizontal="center"/>
    </xf>
    <xf numFmtId="0" fontId="3" fillId="0" borderId="118" xfId="1820" applyFont="1" applyBorder="1" applyAlignment="1">
      <alignment horizontal="center"/>
    </xf>
    <xf numFmtId="168" fontId="3" fillId="45" borderId="118" xfId="1820" applyNumberFormat="1" applyFont="1" applyFill="1" applyBorder="1" applyAlignment="1">
      <alignment horizontal="center"/>
    </xf>
    <xf numFmtId="4" fontId="3" fillId="0" borderId="118" xfId="1820" applyNumberFormat="1" applyFont="1" applyBorder="1" applyAlignment="1">
      <alignment horizontal="center"/>
    </xf>
    <xf numFmtId="0" fontId="6" fillId="0" borderId="12" xfId="1820" applyBorder="1" applyAlignment="1">
      <alignment horizontal="center"/>
    </xf>
    <xf numFmtId="0" fontId="6" fillId="0" borderId="119" xfId="1820" applyBorder="1" applyAlignment="1">
      <alignment horizontal="center" vertical="center"/>
    </xf>
    <xf numFmtId="0" fontId="3" fillId="46" borderId="55" xfId="1820" applyFont="1" applyFill="1" applyBorder="1" applyAlignment="1">
      <alignment horizontal="center"/>
    </xf>
    <xf numFmtId="0" fontId="19" fillId="0" borderId="119" xfId="1820" applyFont="1" applyBorder="1" applyAlignment="1">
      <alignment horizontal="center" vertical="center"/>
    </xf>
    <xf numFmtId="0" fontId="3" fillId="46" borderId="70" xfId="1820" applyFont="1" applyFill="1" applyBorder="1" applyAlignment="1">
      <alignment horizontal="center"/>
    </xf>
    <xf numFmtId="0" fontId="6" fillId="0" borderId="120" xfId="1820" applyBorder="1" applyAlignment="1">
      <alignment horizontal="center" vertical="center"/>
    </xf>
    <xf numFmtId="43" fontId="6" fillId="0" borderId="0" xfId="1820" applyNumberFormat="1"/>
    <xf numFmtId="4" fontId="19" fillId="0" borderId="107" xfId="1820" applyNumberFormat="1" applyFont="1" applyBorder="1" applyAlignment="1">
      <alignment horizontal="center" vertical="center"/>
    </xf>
    <xf numFmtId="0" fontId="19" fillId="4" borderId="98" xfId="1820" applyFont="1" applyFill="1" applyBorder="1" applyAlignment="1">
      <alignment horizontal="center" vertical="center"/>
    </xf>
    <xf numFmtId="0" fontId="19" fillId="4" borderId="105" xfId="1820" applyFont="1" applyFill="1" applyBorder="1" applyAlignment="1">
      <alignment horizontal="center" vertical="center"/>
    </xf>
    <xf numFmtId="168" fontId="19" fillId="38" borderId="105" xfId="1820" applyNumberFormat="1" applyFont="1" applyFill="1" applyBorder="1" applyAlignment="1">
      <alignment horizontal="center" vertical="center"/>
    </xf>
    <xf numFmtId="4" fontId="19" fillId="4" borderId="105" xfId="1820" applyNumberFormat="1" applyFont="1" applyFill="1" applyBorder="1" applyAlignment="1">
      <alignment horizontal="center" vertical="center"/>
    </xf>
    <xf numFmtId="4" fontId="19" fillId="4" borderId="110" xfId="1820" applyNumberFormat="1" applyFont="1" applyFill="1" applyBorder="1" applyAlignment="1">
      <alignment horizontal="center" vertical="center"/>
    </xf>
    <xf numFmtId="169" fontId="6" fillId="0" borderId="24" xfId="1820" applyNumberFormat="1" applyBorder="1" applyAlignment="1">
      <alignment horizontal="center" vertical="center"/>
    </xf>
    <xf numFmtId="168" fontId="3" fillId="0" borderId="24" xfId="1820" applyNumberFormat="1" applyFont="1" applyBorder="1" applyAlignment="1" applyProtection="1">
      <alignment horizontal="center"/>
      <protection locked="0"/>
    </xf>
    <xf numFmtId="168" fontId="19" fillId="0" borderId="46" xfId="1820" applyNumberFormat="1" applyFont="1" applyBorder="1" applyAlignment="1">
      <alignment horizontal="center" vertical="center"/>
    </xf>
    <xf numFmtId="169" fontId="3" fillId="35" borderId="45" xfId="1820" applyNumberFormat="1" applyFont="1" applyFill="1" applyBorder="1"/>
    <xf numFmtId="169" fontId="3" fillId="35" borderId="0" xfId="1820" applyNumberFormat="1" applyFont="1" applyFill="1"/>
    <xf numFmtId="169" fontId="64" fillId="50" borderId="95" xfId="1811" applyNumberFormat="1" applyFont="1" applyFill="1" applyBorder="1" applyAlignment="1">
      <alignment horizontal="center" vertical="center"/>
    </xf>
    <xf numFmtId="168" fontId="6" fillId="0" borderId="24" xfId="1820" applyNumberFormat="1" applyBorder="1" applyAlignment="1">
      <alignment horizontal="center" vertical="center"/>
    </xf>
    <xf numFmtId="168" fontId="19" fillId="0" borderId="24" xfId="1820" applyNumberFormat="1" applyFont="1" applyBorder="1" applyAlignment="1">
      <alignment horizontal="center" vertical="center"/>
    </xf>
    <xf numFmtId="169" fontId="3" fillId="0" borderId="46" xfId="1820" applyNumberFormat="1" applyFont="1" applyBorder="1" applyAlignment="1">
      <alignment horizontal="center" vertical="center"/>
    </xf>
    <xf numFmtId="170" fontId="3" fillId="0" borderId="46" xfId="1820" applyNumberFormat="1" applyFont="1" applyBorder="1" applyAlignment="1">
      <alignment horizontal="center" vertical="center"/>
    </xf>
    <xf numFmtId="0" fontId="19" fillId="39" borderId="43" xfId="1820" applyFont="1" applyFill="1" applyBorder="1" applyAlignment="1">
      <alignment horizontal="center" vertical="center"/>
    </xf>
    <xf numFmtId="0" fontId="19" fillId="39" borderId="56" xfId="1820" applyFont="1" applyFill="1" applyBorder="1" applyAlignment="1">
      <alignment horizontal="center" vertical="center"/>
    </xf>
    <xf numFmtId="0" fontId="19" fillId="39" borderId="9" xfId="1820" applyFont="1" applyFill="1" applyBorder="1" applyAlignment="1">
      <alignment horizontal="center" vertical="center"/>
    </xf>
    <xf numFmtId="168" fontId="19" fillId="39" borderId="9" xfId="1820" applyNumberFormat="1" applyFont="1" applyFill="1" applyBorder="1" applyAlignment="1">
      <alignment horizontal="center" vertical="center"/>
    </xf>
    <xf numFmtId="0" fontId="5" fillId="0" borderId="0" xfId="1820" applyFont="1" applyAlignment="1">
      <alignment horizontal="center" vertical="center"/>
    </xf>
    <xf numFmtId="0" fontId="3" fillId="0" borderId="0" xfId="1820" applyFont="1" applyAlignment="1">
      <alignment horizontal="center"/>
    </xf>
    <xf numFmtId="168" fontId="5" fillId="36" borderId="107" xfId="1820" applyNumberFormat="1" applyFont="1" applyFill="1" applyBorder="1" applyAlignment="1">
      <alignment horizontal="center" vertical="center"/>
    </xf>
    <xf numFmtId="168" fontId="5" fillId="36" borderId="9" xfId="1820" applyNumberFormat="1" applyFont="1" applyFill="1" applyBorder="1" applyAlignment="1">
      <alignment horizontal="center" vertical="center"/>
    </xf>
    <xf numFmtId="168" fontId="3" fillId="36" borderId="9" xfId="1820" applyNumberFormat="1" applyFont="1" applyFill="1" applyBorder="1" applyAlignment="1">
      <alignment horizontal="center" vertical="center"/>
    </xf>
    <xf numFmtId="2" fontId="3" fillId="0" borderId="43" xfId="1820" applyNumberFormat="1" applyFont="1" applyBorder="1" applyAlignment="1">
      <alignment horizontal="center"/>
    </xf>
    <xf numFmtId="0" fontId="3" fillId="35" borderId="101" xfId="1820" applyFont="1" applyFill="1" applyBorder="1"/>
    <xf numFmtId="0" fontId="6" fillId="0" borderId="121" xfId="1820" applyBorder="1" applyAlignment="1">
      <alignment horizontal="center" vertical="center"/>
    </xf>
    <xf numFmtId="0" fontId="19" fillId="0" borderId="12" xfId="1820" applyFont="1" applyBorder="1" applyAlignment="1">
      <alignment horizontal="center"/>
    </xf>
    <xf numFmtId="2" fontId="19" fillId="51" borderId="55" xfId="1820" applyNumberFormat="1" applyFont="1" applyFill="1" applyBorder="1" applyAlignment="1" applyProtection="1">
      <alignment horizontal="center"/>
      <protection locked="0"/>
    </xf>
    <xf numFmtId="2" fontId="19" fillId="0" borderId="55" xfId="1820" applyNumberFormat="1" applyFont="1" applyBorder="1" applyAlignment="1" applyProtection="1">
      <alignment horizontal="center"/>
      <protection locked="0"/>
    </xf>
    <xf numFmtId="0" fontId="3" fillId="0" borderId="70" xfId="1820" applyFont="1" applyBorder="1" applyProtection="1">
      <protection locked="0"/>
    </xf>
    <xf numFmtId="0" fontId="6" fillId="0" borderId="122" xfId="1820" applyBorder="1" applyAlignment="1">
      <alignment horizontal="center" vertical="center"/>
    </xf>
    <xf numFmtId="168" fontId="61" fillId="44" borderId="24" xfId="1820" applyNumberFormat="1" applyFont="1" applyFill="1" applyBorder="1" applyAlignment="1" applyProtection="1">
      <alignment horizontal="center"/>
      <protection locked="0"/>
    </xf>
    <xf numFmtId="0" fontId="0" fillId="0" borderId="55" xfId="0" applyBorder="1"/>
    <xf numFmtId="0" fontId="0" fillId="0" borderId="56" xfId="0" applyBorder="1"/>
    <xf numFmtId="2" fontId="0" fillId="0" borderId="70" xfId="0" applyNumberFormat="1" applyBorder="1"/>
    <xf numFmtId="4" fontId="3" fillId="39" borderId="7" xfId="1820" applyNumberFormat="1" applyFont="1" applyFill="1" applyBorder="1" applyAlignment="1">
      <alignment horizontal="center" vertical="center"/>
    </xf>
    <xf numFmtId="0" fontId="71" fillId="39" borderId="24" xfId="1820" applyFont="1" applyFill="1" applyBorder="1" applyAlignment="1">
      <alignment horizontal="center"/>
    </xf>
    <xf numFmtId="0" fontId="0" fillId="0" borderId="87" xfId="0" applyBorder="1"/>
    <xf numFmtId="0" fontId="3" fillId="0" borderId="9" xfId="1820" applyFont="1" applyBorder="1" applyAlignment="1">
      <alignment horizontal="center" vertical="center"/>
    </xf>
    <xf numFmtId="0" fontId="5" fillId="0" borderId="9" xfId="1820" applyFont="1" applyBorder="1" applyAlignment="1">
      <alignment horizontal="center" vertical="center"/>
    </xf>
    <xf numFmtId="0" fontId="3" fillId="0" borderId="9" xfId="1820" applyFont="1" applyBorder="1" applyAlignment="1">
      <alignment horizontal="center"/>
    </xf>
    <xf numFmtId="4" fontId="19" fillId="0" borderId="105" xfId="1820" applyNumberFormat="1" applyFont="1" applyBorder="1" applyAlignment="1">
      <alignment horizontal="center" vertical="center"/>
    </xf>
    <xf numFmtId="0" fontId="6" fillId="0" borderId="87" xfId="1820" applyBorder="1" applyAlignment="1">
      <alignment horizontal="center"/>
    </xf>
    <xf numFmtId="0" fontId="3" fillId="0" borderId="98" xfId="1820" applyFont="1" applyBorder="1" applyAlignment="1">
      <alignment horizontal="center" vertical="center"/>
    </xf>
    <xf numFmtId="4" fontId="19" fillId="0" borderId="123" xfId="1820" applyNumberFormat="1" applyFont="1" applyBorder="1" applyAlignment="1">
      <alignment horizontal="center" vertical="center"/>
    </xf>
    <xf numFmtId="4" fontId="6" fillId="0" borderId="56" xfId="1820" applyNumberFormat="1" applyBorder="1" applyAlignment="1">
      <alignment horizontal="center" vertical="center"/>
    </xf>
    <xf numFmtId="0" fontId="0" fillId="0" borderId="98" xfId="0" applyBorder="1"/>
    <xf numFmtId="0" fontId="6" fillId="0" borderId="70" xfId="1820" applyBorder="1" applyAlignment="1">
      <alignment horizontal="center"/>
    </xf>
    <xf numFmtId="0" fontId="0" fillId="0" borderId="0" xfId="0" applyAlignment="1">
      <alignment horizontal="center"/>
    </xf>
    <xf numFmtId="0" fontId="3" fillId="0" borderId="55" xfId="1820" applyFont="1" applyBorder="1" applyAlignment="1">
      <alignment horizontal="center" vertical="center"/>
    </xf>
    <xf numFmtId="0" fontId="5" fillId="0" borderId="55" xfId="1820" applyFont="1" applyBorder="1" applyAlignment="1">
      <alignment horizontal="center" vertical="center"/>
    </xf>
    <xf numFmtId="168" fontId="5" fillId="36" borderId="55" xfId="1820" applyNumberFormat="1" applyFont="1" applyFill="1" applyBorder="1" applyAlignment="1">
      <alignment horizontal="center" vertical="center"/>
    </xf>
    <xf numFmtId="0" fontId="6" fillId="0" borderId="0" xfId="1820" applyAlignment="1">
      <alignment horizontal="center" vertical="center"/>
    </xf>
    <xf numFmtId="0" fontId="19" fillId="0" borderId="0" xfId="1820" applyFont="1" applyAlignment="1">
      <alignment horizontal="center" vertical="center"/>
    </xf>
    <xf numFmtId="0" fontId="19" fillId="0" borderId="9" xfId="1820" applyFont="1" applyBorder="1" applyAlignment="1">
      <alignment horizontal="center" vertical="center"/>
    </xf>
    <xf numFmtId="0" fontId="19" fillId="0" borderId="56" xfId="1820" applyFont="1" applyBorder="1" applyAlignment="1">
      <alignment horizontal="center" vertical="center"/>
    </xf>
    <xf numFmtId="0" fontId="19" fillId="0" borderId="12" xfId="1820" applyFont="1" applyBorder="1" applyAlignment="1">
      <alignment horizontal="center" vertical="center"/>
    </xf>
    <xf numFmtId="0" fontId="19" fillId="0" borderId="73" xfId="1820" applyFont="1" applyBorder="1" applyAlignment="1">
      <alignment horizontal="center" vertical="center"/>
    </xf>
    <xf numFmtId="168" fontId="3" fillId="0" borderId="43" xfId="1820" applyNumberFormat="1" applyFont="1" applyBorder="1" applyAlignment="1" applyProtection="1">
      <alignment horizontal="center" vertical="center"/>
      <protection locked="0"/>
    </xf>
    <xf numFmtId="0" fontId="19" fillId="29" borderId="124" xfId="1820" applyFont="1" applyFill="1" applyBorder="1" applyAlignment="1">
      <alignment horizontal="centerContinuous" vertical="center"/>
    </xf>
    <xf numFmtId="0" fontId="19" fillId="29" borderId="122" xfId="1820" applyFont="1" applyFill="1" applyBorder="1" applyAlignment="1">
      <alignment horizontal="center" vertical="center" wrapText="1"/>
    </xf>
    <xf numFmtId="0" fontId="19" fillId="29" borderId="125" xfId="1820" applyFont="1" applyFill="1" applyBorder="1" applyAlignment="1">
      <alignment horizontal="centerContinuous" vertical="center"/>
    </xf>
    <xf numFmtId="0" fontId="19" fillId="29" borderId="126" xfId="1820" applyFont="1" applyFill="1" applyBorder="1" applyAlignment="1">
      <alignment horizontal="center" vertical="center" wrapText="1"/>
    </xf>
    <xf numFmtId="4" fontId="19" fillId="29" borderId="127" xfId="1820" applyNumberFormat="1" applyFont="1" applyFill="1" applyBorder="1" applyAlignment="1">
      <alignment horizontal="center" vertical="center" wrapText="1"/>
    </xf>
    <xf numFmtId="0" fontId="19" fillId="29" borderId="128" xfId="1820" applyFont="1" applyFill="1" applyBorder="1" applyAlignment="1">
      <alignment horizontal="center" vertical="center"/>
    </xf>
    <xf numFmtId="0" fontId="19" fillId="29" borderId="84" xfId="1820" applyFont="1" applyFill="1" applyBorder="1" applyAlignment="1">
      <alignment horizontal="center" vertical="center"/>
    </xf>
    <xf numFmtId="4" fontId="19" fillId="29" borderId="128" xfId="1820" applyNumberFormat="1" applyFont="1" applyFill="1" applyBorder="1" applyAlignment="1">
      <alignment horizontal="center" vertical="center" wrapText="1"/>
    </xf>
    <xf numFmtId="4" fontId="19" fillId="29" borderId="129" xfId="1820" applyNumberFormat="1" applyFont="1" applyFill="1" applyBorder="1" applyAlignment="1">
      <alignment horizontal="center" vertical="center" wrapText="1"/>
    </xf>
    <xf numFmtId="0" fontId="19" fillId="29" borderId="128" xfId="1820" applyFont="1" applyFill="1" applyBorder="1" applyAlignment="1">
      <alignment horizontal="center" vertical="center" wrapText="1"/>
    </xf>
    <xf numFmtId="0" fontId="19" fillId="29" borderId="129" xfId="1820" applyFont="1" applyFill="1" applyBorder="1" applyAlignment="1">
      <alignment horizontal="center" vertical="center" wrapText="1"/>
    </xf>
    <xf numFmtId="4" fontId="19" fillId="52" borderId="128" xfId="1820" applyNumberFormat="1" applyFont="1" applyFill="1" applyBorder="1" applyAlignment="1">
      <alignment horizontal="center" vertical="center" wrapText="1"/>
    </xf>
    <xf numFmtId="4" fontId="19" fillId="52" borderId="129" xfId="1820" applyNumberFormat="1" applyFont="1" applyFill="1" applyBorder="1" applyAlignment="1">
      <alignment horizontal="center" vertical="center" wrapText="1"/>
    </xf>
    <xf numFmtId="0" fontId="19" fillId="29" borderId="130" xfId="1820" applyFont="1" applyFill="1" applyBorder="1" applyAlignment="1">
      <alignment horizontal="center" vertical="center"/>
    </xf>
    <xf numFmtId="0" fontId="5" fillId="29" borderId="131" xfId="1820" applyFont="1" applyFill="1" applyBorder="1" applyAlignment="1">
      <alignment horizontal="center" vertical="center"/>
    </xf>
    <xf numFmtId="0" fontId="5" fillId="29" borderId="129" xfId="1820" applyFont="1" applyFill="1" applyBorder="1" applyAlignment="1">
      <alignment horizontal="center" vertical="center" wrapText="1"/>
    </xf>
    <xf numFmtId="0" fontId="5" fillId="29" borderId="129" xfId="1820" applyFont="1" applyFill="1" applyBorder="1" applyAlignment="1">
      <alignment horizontal="center" vertical="center"/>
    </xf>
    <xf numFmtId="169" fontId="5" fillId="29" borderId="129" xfId="1820" applyNumberFormat="1" applyFont="1" applyFill="1" applyBorder="1" applyAlignment="1">
      <alignment horizontal="center" vertical="center"/>
    </xf>
    <xf numFmtId="0" fontId="68" fillId="5" borderId="43" xfId="1820" applyFont="1" applyFill="1" applyBorder="1" applyAlignment="1">
      <alignment horizontal="center" vertical="center"/>
    </xf>
    <xf numFmtId="0" fontId="68" fillId="53" borderId="43" xfId="1820" applyFont="1" applyFill="1" applyBorder="1" applyAlignment="1">
      <alignment horizontal="center" vertical="center"/>
    </xf>
    <xf numFmtId="168" fontId="73" fillId="53" borderId="43" xfId="1820" applyNumberFormat="1" applyFont="1" applyFill="1" applyBorder="1" applyAlignment="1">
      <alignment horizontal="center" vertical="center"/>
    </xf>
    <xf numFmtId="2" fontId="0" fillId="0" borderId="0" xfId="0" applyNumberFormat="1"/>
    <xf numFmtId="2" fontId="3" fillId="0" borderId="9" xfId="1820" applyNumberFormat="1" applyFont="1" applyBorder="1" applyAlignment="1">
      <alignment horizontal="center"/>
    </xf>
    <xf numFmtId="0" fontId="0" fillId="0" borderId="127" xfId="0" applyBorder="1"/>
    <xf numFmtId="0" fontId="5" fillId="29" borderId="132" xfId="1820" applyFont="1" applyFill="1" applyBorder="1" applyAlignment="1">
      <alignment horizontal="center" vertical="center" wrapText="1"/>
    </xf>
    <xf numFmtId="0" fontId="5" fillId="29" borderId="0" xfId="1820" applyFont="1" applyFill="1" applyAlignment="1">
      <alignment horizontal="center" vertical="center"/>
    </xf>
    <xf numFmtId="4" fontId="5" fillId="29" borderId="43" xfId="1820" applyNumberFormat="1" applyFont="1" applyFill="1" applyBorder="1" applyAlignment="1">
      <alignment horizontal="center" vertical="center" wrapText="1"/>
    </xf>
    <xf numFmtId="3" fontId="5" fillId="29" borderId="43" xfId="1820" applyNumberFormat="1" applyFont="1" applyFill="1" applyBorder="1" applyAlignment="1">
      <alignment horizontal="center" vertical="center" wrapText="1"/>
    </xf>
    <xf numFmtId="4" fontId="5" fillId="29" borderId="132" xfId="1820" applyNumberFormat="1" applyFont="1" applyFill="1" applyBorder="1" applyAlignment="1">
      <alignment horizontal="center" vertical="center"/>
    </xf>
    <xf numFmtId="169" fontId="5" fillId="29" borderId="132" xfId="1820" applyNumberFormat="1" applyFont="1" applyFill="1" applyBorder="1" applyAlignment="1">
      <alignment horizontal="center" vertical="center" wrapText="1"/>
    </xf>
    <xf numFmtId="169" fontId="64" fillId="50" borderId="71" xfId="1811" applyNumberFormat="1" applyFont="1" applyFill="1" applyBorder="1" applyAlignment="1">
      <alignment horizontal="center" vertical="center" wrapText="1"/>
    </xf>
    <xf numFmtId="0" fontId="3" fillId="35" borderId="133" xfId="1820" applyFont="1" applyFill="1" applyBorder="1"/>
    <xf numFmtId="0" fontId="3" fillId="35" borderId="127" xfId="1820" applyFont="1" applyFill="1" applyBorder="1"/>
    <xf numFmtId="0" fontId="3" fillId="35" borderId="134" xfId="1820" applyFont="1" applyFill="1" applyBorder="1"/>
    <xf numFmtId="0" fontId="3" fillId="35" borderId="135" xfId="1820" applyFont="1" applyFill="1" applyBorder="1"/>
    <xf numFmtId="0" fontId="3" fillId="35" borderId="136" xfId="1820" applyFont="1" applyFill="1" applyBorder="1"/>
    <xf numFmtId="0" fontId="6" fillId="0" borderId="137" xfId="1820" applyBorder="1"/>
    <xf numFmtId="0" fontId="23" fillId="43" borderId="93" xfId="1820" applyFont="1" applyFill="1" applyBorder="1"/>
    <xf numFmtId="2" fontId="23" fillId="39" borderId="94" xfId="1820" applyNumberFormat="1" applyFont="1" applyFill="1" applyBorder="1"/>
    <xf numFmtId="0" fontId="23" fillId="43" borderId="9" xfId="1820" applyFont="1" applyFill="1" applyBorder="1"/>
    <xf numFmtId="0" fontId="23" fillId="39" borderId="65" xfId="1820" applyFont="1" applyFill="1" applyBorder="1"/>
    <xf numFmtId="0" fontId="23" fillId="43" borderId="90" xfId="1820" applyFont="1" applyFill="1" applyBorder="1"/>
    <xf numFmtId="0" fontId="3" fillId="0" borderId="97" xfId="0" applyFont="1" applyBorder="1"/>
    <xf numFmtId="0" fontId="6" fillId="0" borderId="124" xfId="1820" applyBorder="1"/>
    <xf numFmtId="0" fontId="55" fillId="35" borderId="133" xfId="1820" applyFont="1" applyFill="1" applyBorder="1"/>
    <xf numFmtId="0" fontId="6" fillId="0" borderId="127" xfId="1820" applyBorder="1"/>
    <xf numFmtId="0" fontId="56" fillId="54" borderId="127" xfId="1820" applyFont="1" applyFill="1" applyBorder="1" applyAlignment="1" applyProtection="1">
      <alignment horizontal="left"/>
      <protection locked="0"/>
    </xf>
    <xf numFmtId="0" fontId="6" fillId="0" borderId="94" xfId="1820" applyBorder="1"/>
    <xf numFmtId="0" fontId="5" fillId="35" borderId="138" xfId="1820" applyFont="1" applyFill="1" applyBorder="1" applyAlignment="1">
      <alignment horizontal="center" vertical="center"/>
    </xf>
    <xf numFmtId="0" fontId="6" fillId="0" borderId="65" xfId="1820" applyBorder="1"/>
    <xf numFmtId="0" fontId="5" fillId="35" borderId="138" xfId="1820" applyFont="1" applyFill="1" applyBorder="1"/>
    <xf numFmtId="0" fontId="6" fillId="0" borderId="91" xfId="1820" applyBorder="1"/>
    <xf numFmtId="0" fontId="6" fillId="50" borderId="24" xfId="1820" applyFill="1" applyBorder="1" applyAlignment="1">
      <alignment horizontal="center"/>
    </xf>
    <xf numFmtId="168" fontId="3" fillId="55" borderId="24" xfId="1820" applyNumberFormat="1" applyFont="1" applyFill="1" applyBorder="1" applyAlignment="1" applyProtection="1">
      <alignment horizontal="center"/>
      <protection locked="0"/>
    </xf>
    <xf numFmtId="0" fontId="6" fillId="50" borderId="46" xfId="1820" applyFill="1" applyBorder="1" applyAlignment="1">
      <alignment horizontal="center" vertical="center"/>
    </xf>
    <xf numFmtId="168" fontId="3" fillId="55" borderId="46" xfId="1820" applyNumberFormat="1" applyFont="1" applyFill="1" applyBorder="1" applyAlignment="1" applyProtection="1">
      <alignment horizontal="center" vertical="center"/>
      <protection locked="0"/>
    </xf>
    <xf numFmtId="169" fontId="3" fillId="50" borderId="46" xfId="1820" applyNumberFormat="1" applyFont="1" applyFill="1" applyBorder="1" applyAlignment="1">
      <alignment horizontal="center" vertical="center"/>
    </xf>
    <xf numFmtId="169" fontId="61" fillId="50" borderId="46" xfId="1820" applyNumberFormat="1" applyFont="1" applyFill="1" applyBorder="1" applyAlignment="1">
      <alignment horizontal="center" vertical="center"/>
    </xf>
    <xf numFmtId="0" fontId="19" fillId="50" borderId="46" xfId="1820" applyFont="1" applyFill="1" applyBorder="1" applyAlignment="1">
      <alignment horizontal="center" vertical="center"/>
    </xf>
    <xf numFmtId="168" fontId="19" fillId="50" borderId="46" xfId="1820" applyNumberFormat="1" applyFont="1" applyFill="1" applyBorder="1" applyAlignment="1">
      <alignment horizontal="center" vertical="center"/>
    </xf>
    <xf numFmtId="0" fontId="6" fillId="50" borderId="24" xfId="1820" applyFill="1" applyBorder="1" applyAlignment="1">
      <alignment horizontal="center" vertical="center"/>
    </xf>
    <xf numFmtId="169" fontId="6" fillId="50" borderId="24" xfId="1820" applyNumberFormat="1" applyFill="1" applyBorder="1" applyAlignment="1">
      <alignment horizontal="center" vertical="center"/>
    </xf>
    <xf numFmtId="168" fontId="3" fillId="50" borderId="46" xfId="1820" applyNumberFormat="1" applyFont="1" applyFill="1" applyBorder="1" applyAlignment="1">
      <alignment horizontal="center" vertical="center"/>
    </xf>
    <xf numFmtId="0" fontId="19" fillId="0" borderId="122" xfId="1820" applyFont="1" applyBorder="1" applyAlignment="1">
      <alignment horizontal="center" vertical="center"/>
    </xf>
    <xf numFmtId="171" fontId="5" fillId="43" borderId="84" xfId="0" applyNumberFormat="1" applyFont="1" applyFill="1" applyBorder="1"/>
    <xf numFmtId="168" fontId="70" fillId="34" borderId="24" xfId="1820" applyNumberFormat="1" applyFont="1" applyFill="1" applyBorder="1" applyAlignment="1" applyProtection="1">
      <alignment horizontal="center"/>
      <protection locked="0"/>
    </xf>
    <xf numFmtId="2" fontId="5" fillId="0" borderId="41" xfId="0" applyNumberFormat="1" applyFont="1" applyBorder="1"/>
    <xf numFmtId="2" fontId="5" fillId="0" borderId="0" xfId="0" applyNumberFormat="1" applyFont="1"/>
    <xf numFmtId="2" fontId="64" fillId="0" borderId="0" xfId="1811" applyNumberFormat="1" applyFont="1" applyAlignment="1">
      <alignment wrapText="1"/>
    </xf>
    <xf numFmtId="2" fontId="66" fillId="0" borderId="0" xfId="1811" applyNumberFormat="1" applyFont="1" applyAlignment="1">
      <alignment wrapText="1"/>
    </xf>
    <xf numFmtId="2" fontId="0" fillId="0" borderId="41" xfId="0" applyNumberFormat="1" applyBorder="1"/>
    <xf numFmtId="2" fontId="5" fillId="0" borderId="73" xfId="0" applyNumberFormat="1" applyFont="1" applyBorder="1"/>
    <xf numFmtId="2" fontId="5" fillId="0" borderId="73" xfId="0" applyNumberFormat="1" applyFont="1" applyBorder="1" applyAlignment="1">
      <alignment horizontal="center" wrapText="1"/>
    </xf>
    <xf numFmtId="2" fontId="6" fillId="0" borderId="0" xfId="0" applyNumberFormat="1" applyFont="1"/>
    <xf numFmtId="2" fontId="64" fillId="0" borderId="73" xfId="1811" applyNumberFormat="1" applyFont="1" applyBorder="1" applyAlignment="1">
      <alignment wrapText="1"/>
    </xf>
    <xf numFmtId="2" fontId="64" fillId="0" borderId="87" xfId="1811" applyNumberFormat="1" applyFont="1" applyBorder="1" applyAlignment="1">
      <alignment wrapText="1"/>
    </xf>
    <xf numFmtId="2" fontId="64" fillId="0" borderId="41" xfId="1811" applyNumberFormat="1" applyFont="1" applyBorder="1" applyAlignment="1">
      <alignment wrapText="1"/>
    </xf>
    <xf numFmtId="2" fontId="64" fillId="0" borderId="0" xfId="1811" applyNumberFormat="1" applyFont="1"/>
    <xf numFmtId="2" fontId="19" fillId="56" borderId="0" xfId="0" applyNumberFormat="1" applyFont="1" applyFill="1"/>
    <xf numFmtId="2" fontId="64" fillId="0" borderId="73" xfId="1811" applyNumberFormat="1" applyFont="1" applyBorder="1"/>
    <xf numFmtId="2" fontId="5" fillId="57" borderId="41" xfId="0" applyNumberFormat="1" applyFont="1" applyFill="1" applyBorder="1"/>
    <xf numFmtId="164" fontId="6" fillId="0" borderId="0" xfId="1820" applyNumberFormat="1"/>
    <xf numFmtId="168" fontId="90" fillId="45" borderId="38" xfId="1820" applyNumberFormat="1" applyFont="1" applyFill="1" applyBorder="1" applyAlignment="1">
      <alignment horizontal="center"/>
    </xf>
    <xf numFmtId="168" fontId="3" fillId="0" borderId="119" xfId="1820" applyNumberFormat="1" applyFont="1" applyBorder="1" applyAlignment="1" applyProtection="1">
      <alignment horizontal="center" vertical="center"/>
      <protection locked="0"/>
    </xf>
    <xf numFmtId="0" fontId="0" fillId="39" borderId="73" xfId="0" applyFill="1" applyBorder="1"/>
    <xf numFmtId="4" fontId="3" fillId="0" borderId="111" xfId="1820" applyNumberFormat="1" applyFont="1" applyBorder="1" applyAlignment="1">
      <alignment horizontal="center"/>
    </xf>
    <xf numFmtId="168" fontId="90" fillId="44" borderId="38" xfId="1820" applyNumberFormat="1" applyFont="1" applyFill="1" applyBorder="1" applyAlignment="1">
      <alignment horizontal="center"/>
    </xf>
    <xf numFmtId="168" fontId="90" fillId="44" borderId="7" xfId="1820" applyNumberFormat="1" applyFont="1" applyFill="1" applyBorder="1" applyAlignment="1">
      <alignment horizontal="center" vertical="center"/>
    </xf>
    <xf numFmtId="0" fontId="3" fillId="36" borderId="139" xfId="1820" applyFont="1" applyFill="1" applyBorder="1" applyAlignment="1">
      <alignment horizontal="center" vertical="center"/>
    </xf>
    <xf numFmtId="0" fontId="3" fillId="0" borderId="140" xfId="1820" applyFont="1" applyBorder="1" applyAlignment="1">
      <alignment horizontal="center"/>
    </xf>
    <xf numFmtId="0" fontId="3" fillId="0" borderId="139" xfId="1820" applyFont="1" applyBorder="1" applyAlignment="1">
      <alignment horizontal="center" vertical="center"/>
    </xf>
    <xf numFmtId="4" fontId="3" fillId="0" borderId="141" xfId="1820" applyNumberFormat="1" applyFont="1" applyBorder="1" applyAlignment="1">
      <alignment horizontal="center"/>
    </xf>
    <xf numFmtId="4" fontId="3" fillId="0" borderId="0" xfId="1820" applyNumberFormat="1" applyFont="1" applyAlignment="1">
      <alignment horizontal="center"/>
    </xf>
    <xf numFmtId="0" fontId="3" fillId="35" borderId="9" xfId="1820" applyFont="1" applyFill="1" applyBorder="1"/>
    <xf numFmtId="169" fontId="3" fillId="35" borderId="9" xfId="1820" applyNumberFormat="1" applyFont="1" applyFill="1" applyBorder="1"/>
    <xf numFmtId="169" fontId="3" fillId="50" borderId="9" xfId="0" applyNumberFormat="1" applyFont="1" applyFill="1" applyBorder="1"/>
    <xf numFmtId="10" fontId="5" fillId="0" borderId="73" xfId="0" applyNumberFormat="1" applyFont="1" applyBorder="1"/>
    <xf numFmtId="2" fontId="23" fillId="39" borderId="91" xfId="1820" applyNumberFormat="1" applyFont="1" applyFill="1" applyBorder="1"/>
    <xf numFmtId="0" fontId="0" fillId="39" borderId="87" xfId="0" applyFill="1" applyBorder="1"/>
    <xf numFmtId="0" fontId="0" fillId="39" borderId="41" xfId="0" applyFill="1" applyBorder="1"/>
    <xf numFmtId="0" fontId="91" fillId="0" borderId="24" xfId="1820" applyFont="1" applyBorder="1" applyAlignment="1">
      <alignment horizontal="center"/>
    </xf>
    <xf numFmtId="0" fontId="91" fillId="0" borderId="46" xfId="1820" applyFont="1" applyBorder="1" applyAlignment="1">
      <alignment horizontal="center" vertical="center"/>
    </xf>
    <xf numFmtId="0" fontId="92" fillId="0" borderId="46" xfId="1820" applyFont="1" applyBorder="1" applyAlignment="1">
      <alignment horizontal="center" vertical="center"/>
    </xf>
    <xf numFmtId="0" fontId="6" fillId="58" borderId="44" xfId="1820" applyFill="1" applyBorder="1"/>
    <xf numFmtId="0" fontId="6" fillId="58" borderId="45" xfId="1820" applyFill="1" applyBorder="1"/>
    <xf numFmtId="4" fontId="6" fillId="58" borderId="45" xfId="1820" applyNumberFormat="1" applyFill="1" applyBorder="1" applyAlignment="1">
      <alignment horizontal="center" vertical="center"/>
    </xf>
    <xf numFmtId="0" fontId="6" fillId="58" borderId="73" xfId="1820" applyFill="1" applyBorder="1"/>
    <xf numFmtId="0" fontId="6" fillId="58" borderId="101" xfId="1820" applyFill="1" applyBorder="1"/>
    <xf numFmtId="0" fontId="6" fillId="58" borderId="106" xfId="1820" applyFill="1" applyBorder="1"/>
    <xf numFmtId="4" fontId="19" fillId="59" borderId="128" xfId="1820" quotePrefix="1" applyNumberFormat="1" applyFont="1" applyFill="1" applyBorder="1" applyAlignment="1">
      <alignment horizontal="center" vertical="center" wrapText="1"/>
    </xf>
    <xf numFmtId="4" fontId="19" fillId="59" borderId="12" xfId="1820" applyNumberFormat="1" applyFont="1" applyFill="1" applyBorder="1" applyAlignment="1">
      <alignment horizontal="center" vertical="center" wrapText="1"/>
    </xf>
    <xf numFmtId="4" fontId="19" fillId="59" borderId="24" xfId="1820" applyNumberFormat="1" applyFont="1" applyFill="1" applyBorder="1" applyAlignment="1">
      <alignment horizontal="center" vertical="center" wrapText="1"/>
    </xf>
    <xf numFmtId="4" fontId="19" fillId="59" borderId="129" xfId="1820" quotePrefix="1" applyNumberFormat="1" applyFont="1" applyFill="1" applyBorder="1" applyAlignment="1">
      <alignment horizontal="center" vertical="center" wrapText="1"/>
    </xf>
    <xf numFmtId="0" fontId="19" fillId="59" borderId="131" xfId="1820" applyFont="1" applyFill="1" applyBorder="1" applyAlignment="1">
      <alignment horizontal="center" vertical="center"/>
    </xf>
    <xf numFmtId="4" fontId="19" fillId="59" borderId="28" xfId="1820" applyNumberFormat="1" applyFont="1" applyFill="1" applyBorder="1" applyAlignment="1">
      <alignment horizontal="center" vertical="center" wrapText="1"/>
    </xf>
    <xf numFmtId="4" fontId="6" fillId="39" borderId="43" xfId="1820" applyNumberFormat="1" applyFill="1" applyBorder="1" applyAlignment="1">
      <alignment horizontal="center" vertical="center"/>
    </xf>
    <xf numFmtId="4" fontId="6" fillId="39" borderId="24" xfId="1820" applyNumberFormat="1" applyFill="1" applyBorder="1" applyAlignment="1">
      <alignment horizontal="center" vertical="center"/>
    </xf>
    <xf numFmtId="0" fontId="19" fillId="47" borderId="24" xfId="1820" applyFont="1" applyFill="1" applyBorder="1" applyAlignment="1">
      <alignment horizontal="center" vertical="center"/>
    </xf>
    <xf numFmtId="0" fontId="6" fillId="39" borderId="7" xfId="1820" applyFill="1" applyBorder="1" applyAlignment="1">
      <alignment horizontal="center"/>
    </xf>
    <xf numFmtId="4" fontId="62" fillId="39" borderId="7" xfId="1820" applyNumberFormat="1" applyFont="1" applyFill="1" applyBorder="1" applyAlignment="1">
      <alignment horizontal="center" vertical="center"/>
    </xf>
    <xf numFmtId="2" fontId="6" fillId="39" borderId="7" xfId="1820" applyNumberFormat="1" applyFill="1" applyBorder="1" applyAlignment="1">
      <alignment horizontal="center"/>
    </xf>
    <xf numFmtId="0" fontId="6" fillId="39" borderId="53" xfId="1820" applyFill="1" applyBorder="1" applyAlignment="1">
      <alignment horizontal="center"/>
    </xf>
    <xf numFmtId="4" fontId="6" fillId="39" borderId="7" xfId="1820" applyNumberFormat="1" applyFill="1" applyBorder="1" applyAlignment="1">
      <alignment horizontal="center"/>
    </xf>
    <xf numFmtId="4" fontId="19" fillId="47" borderId="46" xfId="1820" applyNumberFormat="1" applyFont="1" applyFill="1" applyBorder="1" applyAlignment="1">
      <alignment horizontal="center" vertical="center"/>
    </xf>
    <xf numFmtId="0" fontId="6" fillId="39" borderId="43" xfId="1820" applyFill="1" applyBorder="1" applyAlignment="1">
      <alignment horizontal="center"/>
    </xf>
    <xf numFmtId="4" fontId="19" fillId="47" borderId="24" xfId="1820" applyNumberFormat="1" applyFont="1" applyFill="1" applyBorder="1" applyAlignment="1">
      <alignment horizontal="center" vertical="center"/>
    </xf>
    <xf numFmtId="3" fontId="6" fillId="39" borderId="38" xfId="1820" applyNumberFormat="1" applyFill="1" applyBorder="1" applyAlignment="1">
      <alignment horizontal="center"/>
    </xf>
    <xf numFmtId="0" fontId="6" fillId="39" borderId="107" xfId="1820" applyFill="1" applyBorder="1" applyAlignment="1">
      <alignment horizontal="center"/>
    </xf>
    <xf numFmtId="4" fontId="19" fillId="47" borderId="105" xfId="1820" applyNumberFormat="1" applyFont="1" applyFill="1" applyBorder="1" applyAlignment="1">
      <alignment horizontal="center" vertical="center"/>
    </xf>
    <xf numFmtId="4" fontId="19" fillId="47" borderId="43" xfId="1820" applyNumberFormat="1" applyFont="1" applyFill="1" applyBorder="1" applyAlignment="1">
      <alignment horizontal="center" vertical="center"/>
    </xf>
    <xf numFmtId="2" fontId="62" fillId="39" borderId="7" xfId="1820" applyNumberFormat="1" applyFont="1" applyFill="1" applyBorder="1" applyAlignment="1">
      <alignment horizontal="center"/>
    </xf>
    <xf numFmtId="4" fontId="6" fillId="39" borderId="53" xfId="1820" applyNumberFormat="1" applyFill="1" applyBorder="1" applyAlignment="1">
      <alignment horizontal="center" vertical="center"/>
    </xf>
    <xf numFmtId="2" fontId="6" fillId="39" borderId="107" xfId="1820" applyNumberFormat="1" applyFill="1" applyBorder="1" applyAlignment="1">
      <alignment horizontal="center"/>
    </xf>
    <xf numFmtId="2" fontId="0" fillId="39" borderId="56" xfId="0" applyNumberFormat="1" applyFill="1" applyBorder="1"/>
    <xf numFmtId="0" fontId="6" fillId="39" borderId="56" xfId="1820" applyFill="1" applyBorder="1" applyAlignment="1">
      <alignment horizontal="center"/>
    </xf>
    <xf numFmtId="2" fontId="6" fillId="39" borderId="56" xfId="1820" applyNumberFormat="1" applyFill="1" applyBorder="1" applyAlignment="1">
      <alignment horizontal="center"/>
    </xf>
    <xf numFmtId="2" fontId="0" fillId="39" borderId="9" xfId="0" applyNumberFormat="1" applyFill="1" applyBorder="1"/>
    <xf numFmtId="0" fontId="6" fillId="39" borderId="9" xfId="1820" applyFill="1" applyBorder="1" applyAlignment="1">
      <alignment horizontal="center"/>
    </xf>
    <xf numFmtId="2" fontId="6" fillId="39" borderId="9" xfId="1820" applyNumberFormat="1" applyFill="1" applyBorder="1" applyAlignment="1">
      <alignment horizontal="center"/>
    </xf>
    <xf numFmtId="0" fontId="0" fillId="39" borderId="0" xfId="0" applyFill="1"/>
    <xf numFmtId="0" fontId="6" fillId="39" borderId="105" xfId="1820" applyFill="1" applyBorder="1" applyAlignment="1">
      <alignment horizontal="center"/>
    </xf>
    <xf numFmtId="4" fontId="6" fillId="39" borderId="107" xfId="1820" applyNumberFormat="1" applyFill="1" applyBorder="1" applyAlignment="1">
      <alignment horizontal="center" vertical="center"/>
    </xf>
    <xf numFmtId="0" fontId="6" fillId="39" borderId="109" xfId="1820" applyFill="1" applyBorder="1" applyAlignment="1">
      <alignment horizontal="center"/>
    </xf>
    <xf numFmtId="0" fontId="6" fillId="39" borderId="55" xfId="1820" applyFill="1" applyBorder="1" applyAlignment="1">
      <alignment horizontal="center"/>
    </xf>
    <xf numFmtId="0" fontId="6" fillId="39" borderId="81" xfId="1820" applyFill="1" applyBorder="1" applyAlignment="1">
      <alignment horizontal="center"/>
    </xf>
    <xf numFmtId="4" fontId="31" fillId="47" borderId="24" xfId="1820" applyNumberFormat="1" applyFont="1" applyFill="1" applyBorder="1" applyAlignment="1">
      <alignment horizontal="center" vertical="center"/>
    </xf>
    <xf numFmtId="0" fontId="35" fillId="39" borderId="53" xfId="1820" applyFont="1" applyFill="1" applyBorder="1" applyAlignment="1">
      <alignment horizontal="center"/>
    </xf>
    <xf numFmtId="4" fontId="6" fillId="47" borderId="24" xfId="1820" applyNumberFormat="1" applyFill="1" applyBorder="1" applyAlignment="1">
      <alignment horizontal="center" vertical="center"/>
    </xf>
    <xf numFmtId="4" fontId="19" fillId="39" borderId="7" xfId="1820" applyNumberFormat="1" applyFont="1" applyFill="1" applyBorder="1" applyAlignment="1">
      <alignment horizontal="center" vertical="center"/>
    </xf>
    <xf numFmtId="4" fontId="19" fillId="39" borderId="53" xfId="1820" applyNumberFormat="1" applyFont="1" applyFill="1" applyBorder="1" applyAlignment="1">
      <alignment horizontal="center" vertical="center"/>
    </xf>
    <xf numFmtId="4" fontId="60" fillId="47" borderId="43" xfId="1820" applyNumberFormat="1" applyFont="1" applyFill="1" applyBorder="1" applyAlignment="1">
      <alignment horizontal="center" vertical="center"/>
    </xf>
    <xf numFmtId="4" fontId="6" fillId="39" borderId="55" xfId="1820" applyNumberFormat="1" applyFill="1" applyBorder="1" applyAlignment="1" applyProtection="1">
      <alignment horizontal="center" vertical="center"/>
      <protection locked="0"/>
    </xf>
    <xf numFmtId="0" fontId="6" fillId="0" borderId="7" xfId="1820" applyBorder="1" applyAlignment="1">
      <alignment horizontal="center" vertical="center" wrapText="1"/>
    </xf>
    <xf numFmtId="0" fontId="6" fillId="0" borderId="38" xfId="1820" applyBorder="1" applyAlignment="1">
      <alignment horizontal="center" wrapText="1"/>
    </xf>
    <xf numFmtId="0" fontId="6" fillId="0" borderId="7" xfId="1820" applyBorder="1" applyAlignment="1">
      <alignment horizontal="center" wrapText="1"/>
    </xf>
    <xf numFmtId="0" fontId="33" fillId="60" borderId="45" xfId="1820" applyFont="1" applyFill="1" applyBorder="1" applyAlignment="1" applyProtection="1">
      <alignment horizontal="left"/>
      <protection locked="0"/>
    </xf>
    <xf numFmtId="3" fontId="6" fillId="58" borderId="45" xfId="1820" applyNumberFormat="1" applyFill="1" applyBorder="1" applyAlignment="1">
      <alignment horizontal="center" vertical="center"/>
    </xf>
    <xf numFmtId="3" fontId="19" fillId="59" borderId="142" xfId="1820" applyNumberFormat="1" applyFont="1" applyFill="1" applyBorder="1" applyAlignment="1">
      <alignment horizontal="center" vertical="center" wrapText="1"/>
    </xf>
    <xf numFmtId="3" fontId="19" fillId="59" borderId="143" xfId="1820" applyNumberFormat="1" applyFont="1" applyFill="1" applyBorder="1" applyAlignment="1">
      <alignment horizontal="center" vertical="center" wrapText="1"/>
    </xf>
    <xf numFmtId="168" fontId="3" fillId="44" borderId="43" xfId="1820" applyNumberFormat="1" applyFont="1" applyFill="1" applyBorder="1" applyAlignment="1" applyProtection="1">
      <alignment horizontal="center" vertical="center"/>
      <protection locked="0"/>
    </xf>
    <xf numFmtId="168" fontId="3" fillId="44" borderId="24" xfId="1820" applyNumberFormat="1" applyFont="1" applyFill="1" applyBorder="1" applyAlignment="1" applyProtection="1">
      <alignment horizontal="center" vertical="center"/>
      <protection locked="0"/>
    </xf>
    <xf numFmtId="168" fontId="19" fillId="44" borderId="24" xfId="1820" applyNumberFormat="1" applyFont="1" applyFill="1" applyBorder="1" applyAlignment="1">
      <alignment horizontal="center" vertical="center"/>
    </xf>
    <xf numFmtId="168" fontId="6" fillId="39" borderId="24" xfId="1820" applyNumberFormat="1" applyFill="1" applyBorder="1" applyAlignment="1">
      <alignment horizontal="center" vertical="center"/>
    </xf>
    <xf numFmtId="168" fontId="3" fillId="44" borderId="46" xfId="1820" applyNumberFormat="1" applyFont="1" applyFill="1" applyBorder="1" applyAlignment="1" applyProtection="1">
      <alignment horizontal="center" vertical="center"/>
      <protection locked="0"/>
    </xf>
    <xf numFmtId="168" fontId="3" fillId="39" borderId="46" xfId="1820" applyNumberFormat="1" applyFont="1" applyFill="1" applyBorder="1" applyAlignment="1">
      <alignment horizontal="center" vertical="center"/>
    </xf>
    <xf numFmtId="169" fontId="3" fillId="39" borderId="46" xfId="1820" applyNumberFormat="1" applyFont="1" applyFill="1" applyBorder="1" applyAlignment="1">
      <alignment horizontal="center" vertical="center"/>
    </xf>
    <xf numFmtId="168" fontId="19" fillId="39" borderId="46" xfId="1820" applyNumberFormat="1" applyFont="1" applyFill="1" applyBorder="1" applyAlignment="1">
      <alignment horizontal="center" vertical="center"/>
    </xf>
    <xf numFmtId="168" fontId="3" fillId="44" borderId="9" xfId="1820" applyNumberFormat="1" applyFont="1" applyFill="1" applyBorder="1" applyAlignment="1" applyProtection="1">
      <alignment horizontal="center"/>
      <protection locked="0"/>
    </xf>
    <xf numFmtId="168" fontId="3" fillId="39" borderId="43" xfId="1820" applyNumberFormat="1" applyFont="1" applyFill="1" applyBorder="1" applyAlignment="1">
      <alignment horizontal="center" vertical="center"/>
    </xf>
    <xf numFmtId="168" fontId="19" fillId="39" borderId="24" xfId="1820" applyNumberFormat="1" applyFont="1" applyFill="1" applyBorder="1" applyAlignment="1">
      <alignment horizontal="center" vertical="center"/>
    </xf>
    <xf numFmtId="168" fontId="19" fillId="44" borderId="43" xfId="1820" applyNumberFormat="1" applyFont="1" applyFill="1" applyBorder="1" applyAlignment="1">
      <alignment horizontal="center" vertical="center"/>
    </xf>
    <xf numFmtId="168" fontId="6" fillId="39" borderId="43" xfId="1820" applyNumberFormat="1" applyFill="1" applyBorder="1" applyAlignment="1">
      <alignment horizontal="center" vertical="center"/>
    </xf>
    <xf numFmtId="168" fontId="3" fillId="61" borderId="46" xfId="1820" applyNumberFormat="1" applyFont="1" applyFill="1" applyBorder="1" applyAlignment="1">
      <alignment horizontal="center" vertical="center"/>
    </xf>
    <xf numFmtId="168" fontId="19" fillId="61" borderId="46" xfId="1820" applyNumberFormat="1" applyFont="1" applyFill="1" applyBorder="1" applyAlignment="1">
      <alignment horizontal="center" vertical="center"/>
    </xf>
    <xf numFmtId="168" fontId="19" fillId="39" borderId="43" xfId="1820" applyNumberFormat="1" applyFont="1" applyFill="1" applyBorder="1" applyAlignment="1">
      <alignment horizontal="center" vertical="center"/>
    </xf>
    <xf numFmtId="168" fontId="19" fillId="44" borderId="105" xfId="1820" applyNumberFormat="1" applyFont="1" applyFill="1" applyBorder="1" applyAlignment="1">
      <alignment horizontal="center" vertical="center"/>
    </xf>
    <xf numFmtId="168" fontId="61" fillId="39" borderId="46" xfId="1820" applyNumberFormat="1" applyFont="1" applyFill="1" applyBorder="1" applyAlignment="1">
      <alignment horizontal="center" vertical="center"/>
    </xf>
    <xf numFmtId="168" fontId="90" fillId="44" borderId="24" xfId="1820" applyNumberFormat="1" applyFont="1" applyFill="1" applyBorder="1" applyAlignment="1" applyProtection="1">
      <alignment horizontal="center"/>
      <protection locked="0"/>
    </xf>
    <xf numFmtId="168" fontId="90" fillId="39" borderId="46" xfId="1820" applyNumberFormat="1" applyFont="1" applyFill="1" applyBorder="1" applyAlignment="1">
      <alignment horizontal="center" vertical="center"/>
    </xf>
    <xf numFmtId="168" fontId="92" fillId="39" borderId="46" xfId="1820" applyNumberFormat="1" applyFont="1" applyFill="1" applyBorder="1" applyAlignment="1">
      <alignment horizontal="center" vertical="center"/>
    </xf>
    <xf numFmtId="0" fontId="0" fillId="39" borderId="98" xfId="0" applyFill="1" applyBorder="1"/>
    <xf numFmtId="0" fontId="0" fillId="39" borderId="56" xfId="0" applyFill="1" applyBorder="1" applyAlignment="1">
      <alignment horizontal="center"/>
    </xf>
    <xf numFmtId="0" fontId="0" fillId="39" borderId="9" xfId="0" applyFill="1" applyBorder="1" applyAlignment="1">
      <alignment horizontal="center"/>
    </xf>
    <xf numFmtId="0" fontId="5" fillId="39" borderId="55" xfId="0" applyFont="1" applyFill="1" applyBorder="1" applyAlignment="1">
      <alignment horizontal="center"/>
    </xf>
    <xf numFmtId="168" fontId="19" fillId="39" borderId="98" xfId="1820" applyNumberFormat="1" applyFont="1" applyFill="1" applyBorder="1" applyAlignment="1">
      <alignment horizontal="center" vertical="center"/>
    </xf>
    <xf numFmtId="168" fontId="19" fillId="39" borderId="105" xfId="1820" applyNumberFormat="1" applyFont="1" applyFill="1" applyBorder="1" applyAlignment="1">
      <alignment horizontal="center" vertical="center"/>
    </xf>
    <xf numFmtId="168" fontId="19" fillId="39" borderId="55" xfId="1820" applyNumberFormat="1" applyFont="1" applyFill="1" applyBorder="1" applyAlignment="1">
      <alignment horizontal="center" vertical="center"/>
    </xf>
    <xf numFmtId="168" fontId="19" fillId="39" borderId="81" xfId="1820" applyNumberFormat="1" applyFont="1" applyFill="1" applyBorder="1" applyAlignment="1">
      <alignment horizontal="center" vertical="center"/>
    </xf>
    <xf numFmtId="168" fontId="31" fillId="44" borderId="24" xfId="1820" applyNumberFormat="1" applyFont="1" applyFill="1" applyBorder="1" applyAlignment="1">
      <alignment horizontal="center" vertical="center"/>
    </xf>
    <xf numFmtId="168" fontId="5" fillId="39" borderId="46" xfId="1820" applyNumberFormat="1" applyFont="1" applyFill="1" applyBorder="1" applyAlignment="1">
      <alignment horizontal="center" vertical="center"/>
    </xf>
    <xf numFmtId="168" fontId="3" fillId="39" borderId="24" xfId="1820" applyNumberFormat="1" applyFont="1" applyFill="1" applyBorder="1" applyAlignment="1" applyProtection="1">
      <alignment horizontal="center"/>
      <protection locked="0"/>
    </xf>
    <xf numFmtId="168" fontId="6" fillId="39" borderId="55" xfId="1820" applyNumberFormat="1" applyFill="1" applyBorder="1" applyProtection="1">
      <protection locked="0"/>
    </xf>
    <xf numFmtId="168" fontId="6" fillId="39" borderId="81" xfId="1820" applyNumberFormat="1" applyFill="1" applyBorder="1" applyAlignment="1">
      <alignment horizontal="center" vertical="center"/>
    </xf>
    <xf numFmtId="168" fontId="6" fillId="39" borderId="0" xfId="1820" applyNumberFormat="1" applyFill="1"/>
    <xf numFmtId="4" fontId="19" fillId="59" borderId="128" xfId="1820" applyNumberFormat="1" applyFont="1" applyFill="1" applyBorder="1" applyAlignment="1">
      <alignment horizontal="center" vertical="center" wrapText="1"/>
    </xf>
    <xf numFmtId="4" fontId="19" fillId="59" borderId="129" xfId="1820" applyNumberFormat="1" applyFont="1" applyFill="1" applyBorder="1" applyAlignment="1">
      <alignment horizontal="center" vertical="center" wrapText="1"/>
    </xf>
    <xf numFmtId="169" fontId="3" fillId="44" borderId="43" xfId="1820" applyNumberFormat="1" applyFont="1" applyFill="1" applyBorder="1" applyAlignment="1" applyProtection="1">
      <alignment horizontal="center" vertical="center"/>
      <protection locked="0"/>
    </xf>
    <xf numFmtId="169" fontId="3" fillId="44" borderId="24" xfId="1820" applyNumberFormat="1" applyFont="1" applyFill="1" applyBorder="1" applyAlignment="1" applyProtection="1">
      <alignment horizontal="center" vertical="center"/>
      <protection locked="0"/>
    </xf>
    <xf numFmtId="169" fontId="19" fillId="44" borderId="24" xfId="1820" applyNumberFormat="1" applyFont="1" applyFill="1" applyBorder="1" applyAlignment="1">
      <alignment horizontal="center" vertical="center"/>
    </xf>
    <xf numFmtId="169" fontId="6" fillId="39" borderId="24" xfId="1820" applyNumberFormat="1" applyFill="1" applyBorder="1" applyAlignment="1">
      <alignment horizontal="center" vertical="center"/>
    </xf>
    <xf numFmtId="169" fontId="3" fillId="39" borderId="24" xfId="1820" applyNumberFormat="1" applyFont="1" applyFill="1" applyBorder="1" applyAlignment="1">
      <alignment horizontal="center"/>
    </xf>
    <xf numFmtId="169" fontId="3" fillId="44" borderId="46" xfId="1820" applyNumberFormat="1" applyFont="1" applyFill="1" applyBorder="1" applyAlignment="1" applyProtection="1">
      <alignment horizontal="center" vertical="center"/>
      <protection locked="0"/>
    </xf>
    <xf numFmtId="169" fontId="19" fillId="39" borderId="46" xfId="1820" applyNumberFormat="1" applyFont="1" applyFill="1" applyBorder="1" applyAlignment="1">
      <alignment horizontal="center" vertical="center"/>
    </xf>
    <xf numFmtId="169" fontId="19" fillId="39" borderId="24" xfId="1820" applyNumberFormat="1" applyFont="1" applyFill="1" applyBorder="1" applyAlignment="1">
      <alignment horizontal="center" vertical="center"/>
    </xf>
    <xf numFmtId="169" fontId="19" fillId="44" borderId="43" xfId="1820" applyNumberFormat="1" applyFont="1" applyFill="1" applyBorder="1" applyAlignment="1">
      <alignment horizontal="center" vertical="center"/>
    </xf>
    <xf numFmtId="169" fontId="6" fillId="39" borderId="43" xfId="1820" applyNumberFormat="1" applyFill="1" applyBorder="1" applyAlignment="1">
      <alignment horizontal="center" vertical="center"/>
    </xf>
    <xf numFmtId="169" fontId="3" fillId="61" borderId="24" xfId="1820" applyNumberFormat="1" applyFont="1" applyFill="1" applyBorder="1" applyAlignment="1">
      <alignment horizontal="center"/>
    </xf>
    <xf numFmtId="169" fontId="3" fillId="61" borderId="46" xfId="1820" applyNumberFormat="1" applyFont="1" applyFill="1" applyBorder="1" applyAlignment="1">
      <alignment horizontal="center" vertical="center"/>
    </xf>
    <xf numFmtId="169" fontId="19" fillId="61" borderId="46" xfId="1820" applyNumberFormat="1" applyFont="1" applyFill="1" applyBorder="1" applyAlignment="1">
      <alignment horizontal="center" vertical="center"/>
    </xf>
    <xf numFmtId="169" fontId="19" fillId="39" borderId="43" xfId="1820" applyNumberFormat="1" applyFont="1" applyFill="1" applyBorder="1" applyAlignment="1">
      <alignment horizontal="center" vertical="center"/>
    </xf>
    <xf numFmtId="169" fontId="19" fillId="44" borderId="105" xfId="1820" applyNumberFormat="1" applyFont="1" applyFill="1" applyBorder="1" applyAlignment="1">
      <alignment horizontal="center" vertical="center"/>
    </xf>
    <xf numFmtId="169" fontId="90" fillId="39" borderId="24" xfId="1820" applyNumberFormat="1" applyFont="1" applyFill="1" applyBorder="1" applyAlignment="1">
      <alignment horizontal="center"/>
    </xf>
    <xf numFmtId="169" fontId="92" fillId="39" borderId="46" xfId="1820" applyNumberFormat="1" applyFont="1" applyFill="1" applyBorder="1" applyAlignment="1">
      <alignment horizontal="center" vertical="center"/>
    </xf>
    <xf numFmtId="169" fontId="19" fillId="39" borderId="105" xfId="1820" applyNumberFormat="1" applyFont="1" applyFill="1" applyBorder="1" applyAlignment="1">
      <alignment horizontal="center" vertical="center"/>
    </xf>
    <xf numFmtId="0" fontId="0" fillId="39" borderId="56" xfId="0" applyFill="1" applyBorder="1"/>
    <xf numFmtId="169" fontId="19" fillId="39" borderId="110" xfId="1820" applyNumberFormat="1" applyFont="1" applyFill="1" applyBorder="1" applyAlignment="1">
      <alignment horizontal="center" vertical="center"/>
    </xf>
    <xf numFmtId="169" fontId="19" fillId="39" borderId="9" xfId="1820" applyNumberFormat="1" applyFont="1" applyFill="1" applyBorder="1" applyAlignment="1">
      <alignment horizontal="center" vertical="center"/>
    </xf>
    <xf numFmtId="169" fontId="19" fillId="39" borderId="55" xfId="1820" applyNumberFormat="1" applyFont="1" applyFill="1" applyBorder="1" applyAlignment="1">
      <alignment horizontal="center" vertical="center"/>
    </xf>
    <xf numFmtId="169" fontId="19" fillId="39" borderId="81" xfId="1820" applyNumberFormat="1" applyFont="1" applyFill="1" applyBorder="1" applyAlignment="1">
      <alignment horizontal="center" vertical="center"/>
    </xf>
    <xf numFmtId="169" fontId="31" fillId="44" borderId="24" xfId="1820" applyNumberFormat="1" applyFont="1" applyFill="1" applyBorder="1" applyAlignment="1">
      <alignment horizontal="center" vertical="center"/>
    </xf>
    <xf numFmtId="169" fontId="5" fillId="39" borderId="46" xfId="1820" applyNumberFormat="1" applyFont="1" applyFill="1" applyBorder="1" applyAlignment="1">
      <alignment horizontal="center" vertical="center"/>
    </xf>
    <xf numFmtId="169" fontId="3" fillId="39" borderId="46" xfId="1820" applyNumberFormat="1" applyFont="1" applyFill="1" applyBorder="1" applyAlignment="1" applyProtection="1">
      <alignment horizontal="center" vertical="center"/>
      <protection locked="0"/>
    </xf>
    <xf numFmtId="169" fontId="90" fillId="39" borderId="46" xfId="1820" applyNumberFormat="1" applyFont="1" applyFill="1" applyBorder="1" applyAlignment="1" applyProtection="1">
      <alignment horizontal="center" vertical="center"/>
      <protection locked="0"/>
    </xf>
    <xf numFmtId="0" fontId="6" fillId="39" borderId="55" xfId="1820" applyFill="1" applyBorder="1" applyProtection="1">
      <protection locked="0"/>
    </xf>
    <xf numFmtId="4" fontId="60" fillId="41" borderId="43" xfId="1820" applyNumberFormat="1" applyFont="1" applyFill="1" applyBorder="1" applyAlignment="1">
      <alignment horizontal="center" vertical="center"/>
    </xf>
    <xf numFmtId="0" fontId="75" fillId="42" borderId="43" xfId="1820" applyFont="1" applyFill="1" applyBorder="1" applyAlignment="1">
      <alignment horizontal="center" vertical="center"/>
    </xf>
    <xf numFmtId="168" fontId="75" fillId="45" borderId="43" xfId="1820" applyNumberFormat="1" applyFont="1" applyFill="1" applyBorder="1" applyAlignment="1">
      <alignment horizontal="center" vertical="center"/>
    </xf>
    <xf numFmtId="169" fontId="75" fillId="45" borderId="43" xfId="1820" applyNumberFormat="1" applyFont="1" applyFill="1" applyBorder="1" applyAlignment="1">
      <alignment horizontal="center" vertical="center"/>
    </xf>
    <xf numFmtId="169" fontId="6" fillId="0" borderId="51" xfId="1820" applyNumberFormat="1" applyBorder="1" applyAlignment="1">
      <alignment horizontal="center" vertical="center"/>
    </xf>
    <xf numFmtId="0" fontId="3" fillId="0" borderId="38" xfId="1820" applyFont="1" applyBorder="1" applyAlignment="1">
      <alignment horizontal="center" wrapText="1"/>
    </xf>
    <xf numFmtId="0" fontId="3" fillId="58" borderId="133" xfId="1820" applyFont="1" applyFill="1" applyBorder="1"/>
    <xf numFmtId="4" fontId="3" fillId="58" borderId="45" xfId="1820" applyNumberFormat="1" applyFont="1" applyFill="1" applyBorder="1" applyAlignment="1">
      <alignment horizontal="center" vertical="center"/>
    </xf>
    <xf numFmtId="0" fontId="3" fillId="58" borderId="45" xfId="1820" applyFont="1" applyFill="1" applyBorder="1"/>
    <xf numFmtId="0" fontId="3" fillId="58" borderId="9" xfId="1820" applyFont="1" applyFill="1" applyBorder="1"/>
    <xf numFmtId="4" fontId="5" fillId="59" borderId="132" xfId="1820" applyNumberFormat="1" applyFont="1" applyFill="1" applyBorder="1" applyAlignment="1">
      <alignment horizontal="center" vertical="center"/>
    </xf>
    <xf numFmtId="0" fontId="5" fillId="59" borderId="129" xfId="1820" applyFont="1" applyFill="1" applyBorder="1" applyAlignment="1">
      <alignment horizontal="center" vertical="center"/>
    </xf>
    <xf numFmtId="0" fontId="3" fillId="62" borderId="133" xfId="1820" applyFont="1" applyFill="1" applyBorder="1"/>
    <xf numFmtId="4" fontId="3" fillId="62" borderId="45" xfId="1820" applyNumberFormat="1" applyFont="1" applyFill="1" applyBorder="1" applyAlignment="1">
      <alignment horizontal="center" vertical="center"/>
    </xf>
    <xf numFmtId="0" fontId="3" fillId="62" borderId="45" xfId="1820" applyFont="1" applyFill="1" applyBorder="1"/>
    <xf numFmtId="0" fontId="3" fillId="62" borderId="134" xfId="1820" applyFont="1" applyFill="1" applyBorder="1"/>
    <xf numFmtId="4" fontId="5" fillId="63" borderId="43" xfId="1820" applyNumberFormat="1" applyFont="1" applyFill="1" applyBorder="1" applyAlignment="1">
      <alignment horizontal="center" vertical="center" wrapText="1"/>
    </xf>
    <xf numFmtId="0" fontId="5" fillId="63" borderId="28" xfId="1820" applyFont="1" applyFill="1" applyBorder="1" applyAlignment="1">
      <alignment horizontal="center" vertical="center"/>
    </xf>
    <xf numFmtId="2" fontId="3" fillId="64" borderId="24" xfId="1820" applyNumberFormat="1" applyFont="1" applyFill="1" applyBorder="1" applyAlignment="1">
      <alignment horizontal="center" vertical="center"/>
    </xf>
    <xf numFmtId="0" fontId="5" fillId="4" borderId="24" xfId="1820" applyFont="1" applyFill="1" applyBorder="1" applyAlignment="1">
      <alignment horizontal="center" vertical="center"/>
    </xf>
    <xf numFmtId="0" fontId="3" fillId="65" borderId="24" xfId="1820" applyFont="1" applyFill="1" applyBorder="1" applyAlignment="1">
      <alignment horizontal="center"/>
    </xf>
    <xf numFmtId="0" fontId="3" fillId="65" borderId="38" xfId="1820" applyFont="1" applyFill="1" applyBorder="1" applyAlignment="1">
      <alignment horizontal="center"/>
    </xf>
    <xf numFmtId="0" fontId="3" fillId="65" borderId="7" xfId="1820" applyFont="1" applyFill="1" applyBorder="1" applyAlignment="1">
      <alignment horizontal="center"/>
    </xf>
    <xf numFmtId="4" fontId="3" fillId="65" borderId="139" xfId="1820" applyNumberFormat="1" applyFont="1" applyFill="1" applyBorder="1" applyAlignment="1">
      <alignment horizontal="center" vertical="center"/>
    </xf>
    <xf numFmtId="0" fontId="3" fillId="65" borderId="53" xfId="1820" applyFont="1" applyFill="1" applyBorder="1" applyAlignment="1">
      <alignment horizontal="center"/>
    </xf>
    <xf numFmtId="4" fontId="3" fillId="65" borderId="24" xfId="1820" applyNumberFormat="1" applyFont="1" applyFill="1" applyBorder="1" applyAlignment="1">
      <alignment horizontal="center" vertical="center"/>
    </xf>
    <xf numFmtId="4" fontId="3" fillId="65" borderId="7" xfId="1820" applyNumberFormat="1" applyFont="1" applyFill="1" applyBorder="1" applyAlignment="1">
      <alignment horizontal="center" vertical="center"/>
    </xf>
    <xf numFmtId="4" fontId="3" fillId="65" borderId="43" xfId="1820" applyNumberFormat="1" applyFont="1" applyFill="1" applyBorder="1" applyAlignment="1">
      <alignment horizontal="center" vertical="center"/>
    </xf>
    <xf numFmtId="0" fontId="3" fillId="65" borderId="43" xfId="1820" applyFont="1" applyFill="1" applyBorder="1" applyAlignment="1">
      <alignment horizontal="center"/>
    </xf>
    <xf numFmtId="4" fontId="5" fillId="4" borderId="24" xfId="1820" applyNumberFormat="1" applyFont="1" applyFill="1" applyBorder="1" applyAlignment="1">
      <alignment horizontal="center" vertical="center"/>
    </xf>
    <xf numFmtId="3" fontId="3" fillId="65" borderId="38" xfId="1820" applyNumberFormat="1" applyFont="1" applyFill="1" applyBorder="1" applyAlignment="1">
      <alignment horizontal="center"/>
    </xf>
    <xf numFmtId="0" fontId="3" fillId="65" borderId="109" xfId="1820" applyFont="1" applyFill="1" applyBorder="1" applyAlignment="1">
      <alignment horizontal="center"/>
    </xf>
    <xf numFmtId="2" fontId="3" fillId="65" borderId="0" xfId="1820" applyNumberFormat="1" applyFont="1" applyFill="1" applyAlignment="1">
      <alignment horizontal="center"/>
    </xf>
    <xf numFmtId="2" fontId="3" fillId="65" borderId="107" xfId="1820" applyNumberFormat="1" applyFont="1" applyFill="1" applyBorder="1" applyAlignment="1">
      <alignment horizontal="center"/>
    </xf>
    <xf numFmtId="2" fontId="3" fillId="65" borderId="115" xfId="1820" applyNumberFormat="1" applyFont="1" applyFill="1" applyBorder="1" applyAlignment="1">
      <alignment horizontal="center"/>
    </xf>
    <xf numFmtId="0" fontId="3" fillId="65" borderId="105" xfId="1820" applyFont="1" applyFill="1" applyBorder="1" applyAlignment="1">
      <alignment horizontal="center"/>
    </xf>
    <xf numFmtId="0" fontId="3" fillId="65" borderId="118" xfId="1820" applyFont="1" applyFill="1" applyBorder="1" applyAlignment="1">
      <alignment horizontal="center"/>
    </xf>
    <xf numFmtId="4" fontId="3" fillId="65" borderId="111" xfId="1820" applyNumberFormat="1" applyFont="1" applyFill="1" applyBorder="1" applyAlignment="1">
      <alignment horizontal="center" vertical="center"/>
    </xf>
    <xf numFmtId="4" fontId="3" fillId="65" borderId="38" xfId="1820" applyNumberFormat="1" applyFont="1" applyFill="1" applyBorder="1" applyAlignment="1">
      <alignment horizontal="center"/>
    </xf>
    <xf numFmtId="4" fontId="3" fillId="65" borderId="53" xfId="1820" applyNumberFormat="1" applyFont="1" applyFill="1" applyBorder="1" applyAlignment="1">
      <alignment horizontal="center" vertical="center"/>
    </xf>
    <xf numFmtId="4" fontId="3" fillId="65" borderId="46" xfId="1820" applyNumberFormat="1" applyFont="1" applyFill="1" applyBorder="1" applyAlignment="1">
      <alignment horizontal="center" vertical="center"/>
    </xf>
    <xf numFmtId="0" fontId="3" fillId="65" borderId="107" xfId="1820" applyFont="1" applyFill="1" applyBorder="1" applyAlignment="1">
      <alignment horizontal="center"/>
    </xf>
    <xf numFmtId="2" fontId="3" fillId="65" borderId="43" xfId="1820" applyNumberFormat="1" applyFont="1" applyFill="1" applyBorder="1" applyAlignment="1">
      <alignment horizontal="center"/>
    </xf>
    <xf numFmtId="4" fontId="36" fillId="4" borderId="105" xfId="1820" applyNumberFormat="1" applyFont="1" applyFill="1" applyBorder="1" applyAlignment="1">
      <alignment horizontal="center" vertical="center"/>
    </xf>
    <xf numFmtId="4" fontId="5" fillId="65" borderId="53" xfId="1820" applyNumberFormat="1" applyFont="1" applyFill="1" applyBorder="1" applyAlignment="1">
      <alignment horizontal="center" vertical="center"/>
    </xf>
    <xf numFmtId="0" fontId="3" fillId="65" borderId="24" xfId="1820" applyFont="1" applyFill="1" applyBorder="1" applyAlignment="1">
      <alignment horizontal="center" vertical="center"/>
    </xf>
    <xf numFmtId="0" fontId="68" fillId="4" borderId="43" xfId="1820" applyFont="1" applyFill="1" applyBorder="1" applyAlignment="1">
      <alignment horizontal="center" vertical="center"/>
    </xf>
    <xf numFmtId="4" fontId="3" fillId="65" borderId="55" xfId="1820" applyNumberFormat="1" applyFont="1" applyFill="1" applyBorder="1" applyAlignment="1" applyProtection="1">
      <alignment horizontal="center" vertical="center"/>
      <protection locked="0"/>
    </xf>
    <xf numFmtId="4" fontId="3" fillId="65" borderId="74" xfId="1820" applyNumberFormat="1" applyFont="1" applyFill="1" applyBorder="1" applyAlignment="1">
      <alignment horizontal="center" vertical="center"/>
    </xf>
    <xf numFmtId="0" fontId="3" fillId="65" borderId="0" xfId="1820" applyFont="1" applyFill="1"/>
    <xf numFmtId="2" fontId="3" fillId="65" borderId="0" xfId="1820" applyNumberFormat="1" applyFont="1" applyFill="1"/>
    <xf numFmtId="0" fontId="6" fillId="65" borderId="0" xfId="1820" applyFill="1"/>
    <xf numFmtId="2" fontId="0" fillId="39" borderId="9" xfId="0" applyNumberFormat="1" applyFill="1" applyBorder="1" applyAlignment="1">
      <alignment horizontal="center"/>
    </xf>
    <xf numFmtId="2" fontId="5" fillId="39" borderId="55" xfId="0" applyNumberFormat="1" applyFont="1" applyFill="1" applyBorder="1" applyAlignment="1">
      <alignment horizontal="center"/>
    </xf>
    <xf numFmtId="0" fontId="6" fillId="0" borderId="9" xfId="1820" applyBorder="1" applyAlignment="1">
      <alignment horizontal="center" vertical="center"/>
    </xf>
    <xf numFmtId="168" fontId="6" fillId="39" borderId="9" xfId="1820" applyNumberFormat="1" applyFill="1" applyBorder="1" applyAlignment="1">
      <alignment horizontal="center" vertical="center"/>
    </xf>
    <xf numFmtId="168" fontId="6" fillId="36" borderId="9" xfId="1820" applyNumberFormat="1" applyFill="1" applyBorder="1" applyAlignment="1">
      <alignment horizontal="center" vertical="center"/>
    </xf>
    <xf numFmtId="169" fontId="6" fillId="39" borderId="9" xfId="1820" applyNumberFormat="1" applyFill="1" applyBorder="1" applyAlignment="1">
      <alignment horizontal="center" vertical="center"/>
    </xf>
    <xf numFmtId="4" fontId="19" fillId="39" borderId="9" xfId="1820" applyNumberFormat="1" applyFont="1" applyFill="1" applyBorder="1" applyAlignment="1">
      <alignment horizontal="center" vertical="center"/>
    </xf>
    <xf numFmtId="0" fontId="36" fillId="47" borderId="124" xfId="1820" applyFont="1" applyFill="1" applyBorder="1" applyAlignment="1">
      <alignment horizontal="left" vertical="center"/>
    </xf>
    <xf numFmtId="0" fontId="36" fillId="47" borderId="122" xfId="1820" applyFont="1" applyFill="1" applyBorder="1" applyAlignment="1">
      <alignment horizontal="center" vertical="center"/>
    </xf>
    <xf numFmtId="168" fontId="36" fillId="44" borderId="122" xfId="1820" applyNumberFormat="1" applyFont="1" applyFill="1" applyBorder="1" applyAlignment="1">
      <alignment horizontal="center" vertical="center"/>
    </xf>
    <xf numFmtId="0" fontId="36" fillId="44" borderId="122" xfId="1820" applyFont="1" applyFill="1" applyBorder="1" applyAlignment="1">
      <alignment horizontal="center" vertical="center"/>
    </xf>
    <xf numFmtId="0" fontId="36" fillId="4" borderId="122" xfId="1820" applyFont="1" applyFill="1" applyBorder="1" applyAlignment="1">
      <alignment horizontal="center" vertical="center"/>
    </xf>
    <xf numFmtId="168" fontId="73" fillId="53" borderId="84" xfId="1820" applyNumberFormat="1" applyFont="1" applyFill="1" applyBorder="1" applyAlignment="1">
      <alignment horizontal="center" vertical="center"/>
    </xf>
    <xf numFmtId="0" fontId="65" fillId="0" borderId="9" xfId="1820" applyFont="1" applyBorder="1" applyAlignment="1">
      <alignment horizontal="center" vertical="center"/>
    </xf>
    <xf numFmtId="0" fontId="67" fillId="0" borderId="9" xfId="1820" applyFont="1" applyBorder="1" applyAlignment="1">
      <alignment horizontal="center" vertical="center"/>
    </xf>
    <xf numFmtId="0" fontId="65" fillId="36" borderId="9" xfId="1820" applyFont="1" applyFill="1" applyBorder="1" applyAlignment="1">
      <alignment horizontal="center" vertical="center"/>
    </xf>
    <xf numFmtId="0" fontId="65" fillId="65" borderId="9" xfId="1820" applyFont="1" applyFill="1" applyBorder="1" applyAlignment="1">
      <alignment horizontal="center" vertical="center"/>
    </xf>
    <xf numFmtId="2" fontId="5" fillId="0" borderId="9" xfId="1820" applyNumberFormat="1" applyFont="1" applyBorder="1" applyAlignment="1">
      <alignment horizontal="center" vertical="center"/>
    </xf>
    <xf numFmtId="0" fontId="3" fillId="0" borderId="116" xfId="1820" applyFont="1" applyBorder="1" applyAlignment="1">
      <alignment horizontal="center"/>
    </xf>
    <xf numFmtId="0" fontId="3" fillId="41" borderId="111" xfId="1820" applyFont="1" applyFill="1" applyBorder="1" applyAlignment="1">
      <alignment horizontal="center"/>
    </xf>
    <xf numFmtId="168" fontId="3" fillId="45" borderId="111" xfId="1820" applyNumberFormat="1" applyFont="1" applyFill="1" applyBorder="1" applyAlignment="1">
      <alignment horizontal="center"/>
    </xf>
    <xf numFmtId="0" fontId="3" fillId="65" borderId="111" xfId="1820" applyFont="1" applyFill="1" applyBorder="1" applyAlignment="1">
      <alignment horizontal="center"/>
    </xf>
    <xf numFmtId="0" fontId="5" fillId="4" borderId="124" xfId="1820" applyFont="1" applyFill="1" applyBorder="1" applyAlignment="1">
      <alignment horizontal="left" vertical="center"/>
    </xf>
    <xf numFmtId="0" fontId="5" fillId="4" borderId="122" xfId="1820" applyFont="1" applyFill="1" applyBorder="1" applyAlignment="1">
      <alignment horizontal="center" vertical="center"/>
    </xf>
    <xf numFmtId="168" fontId="5" fillId="38" borderId="122" xfId="1820" applyNumberFormat="1" applyFont="1" applyFill="1" applyBorder="1" applyAlignment="1">
      <alignment horizontal="center" vertical="center"/>
    </xf>
    <xf numFmtId="4" fontId="5" fillId="4" borderId="122" xfId="1820" applyNumberFormat="1" applyFont="1" applyFill="1" applyBorder="1" applyAlignment="1">
      <alignment horizontal="center" vertical="center"/>
    </xf>
    <xf numFmtId="0" fontId="5" fillId="0" borderId="144" xfId="1820" applyFont="1" applyBorder="1" applyAlignment="1">
      <alignment horizontal="center" vertical="center"/>
    </xf>
    <xf numFmtId="0" fontId="5" fillId="0" borderId="145" xfId="1820" applyFont="1" applyBorder="1" applyAlignment="1">
      <alignment horizontal="center" vertical="center"/>
    </xf>
    <xf numFmtId="0" fontId="3" fillId="0" borderId="145" xfId="1820" applyFont="1" applyBorder="1" applyAlignment="1">
      <alignment horizontal="center" vertical="center"/>
    </xf>
    <xf numFmtId="168" fontId="3" fillId="36" borderId="145" xfId="1820" applyNumberFormat="1" applyFont="1" applyFill="1" applyBorder="1" applyAlignment="1">
      <alignment horizontal="center" vertical="center"/>
    </xf>
    <xf numFmtId="4" fontId="3" fillId="0" borderId="145" xfId="1820" applyNumberFormat="1" applyFont="1" applyBorder="1" applyAlignment="1">
      <alignment horizontal="center" vertical="center"/>
    </xf>
    <xf numFmtId="4" fontId="3" fillId="65" borderId="145" xfId="1820" applyNumberFormat="1" applyFont="1" applyFill="1" applyBorder="1" applyAlignment="1">
      <alignment horizontal="center" vertical="center"/>
    </xf>
    <xf numFmtId="0" fontId="3" fillId="0" borderId="146" xfId="1820" applyFont="1" applyBorder="1" applyAlignment="1">
      <alignment horizontal="center"/>
    </xf>
    <xf numFmtId="0" fontId="3" fillId="0" borderId="12" xfId="1820" applyFont="1" applyBorder="1" applyAlignment="1">
      <alignment horizontal="center"/>
    </xf>
    <xf numFmtId="0" fontId="3" fillId="0" borderId="9" xfId="1820" applyFont="1" applyBorder="1" applyAlignment="1">
      <alignment horizontal="center" wrapText="1"/>
    </xf>
    <xf numFmtId="0" fontId="0" fillId="65" borderId="127" xfId="0" applyFill="1" applyBorder="1"/>
    <xf numFmtId="0" fontId="0" fillId="0" borderId="137" xfId="0" applyBorder="1"/>
    <xf numFmtId="0" fontId="0" fillId="65" borderId="137" xfId="0" applyFill="1" applyBorder="1"/>
    <xf numFmtId="2" fontId="3" fillId="65" borderId="9" xfId="1820" applyNumberFormat="1" applyFont="1" applyFill="1" applyBorder="1" applyAlignment="1">
      <alignment horizontal="center"/>
    </xf>
    <xf numFmtId="2" fontId="0" fillId="0" borderId="9" xfId="0" applyNumberFormat="1" applyBorder="1" applyAlignment="1">
      <alignment horizontal="center"/>
    </xf>
    <xf numFmtId="0" fontId="0" fillId="65" borderId="9" xfId="0" applyFill="1" applyBorder="1"/>
    <xf numFmtId="0" fontId="3" fillId="0" borderId="124" xfId="1820" applyFont="1" applyBorder="1" applyAlignment="1">
      <alignment horizontal="center" vertical="center"/>
    </xf>
    <xf numFmtId="0" fontId="19" fillId="39" borderId="93" xfId="1820" applyFont="1" applyFill="1" applyBorder="1" applyAlignment="1">
      <alignment horizontal="center" vertical="center"/>
    </xf>
    <xf numFmtId="0" fontId="19" fillId="39" borderId="147" xfId="1820" applyFont="1" applyFill="1" applyBorder="1" applyAlignment="1">
      <alignment horizontal="center" vertical="center"/>
    </xf>
    <xf numFmtId="168" fontId="3" fillId="36" borderId="94" xfId="1820" applyNumberFormat="1" applyFont="1" applyFill="1" applyBorder="1" applyAlignment="1">
      <alignment horizontal="center" vertical="center"/>
    </xf>
    <xf numFmtId="0" fontId="3" fillId="0" borderId="71" xfId="1820" applyFont="1" applyBorder="1" applyAlignment="1">
      <alignment horizontal="center" vertical="center"/>
    </xf>
    <xf numFmtId="168" fontId="5" fillId="36" borderId="65" xfId="1820" applyNumberFormat="1" applyFont="1" applyFill="1" applyBorder="1" applyAlignment="1">
      <alignment horizontal="center" vertical="center"/>
    </xf>
    <xf numFmtId="0" fontId="3" fillId="0" borderId="144" xfId="1820" applyFont="1" applyBorder="1" applyAlignment="1">
      <alignment horizontal="center" vertical="center"/>
    </xf>
    <xf numFmtId="168" fontId="5" fillId="36" borderId="90" xfId="1820" applyNumberFormat="1" applyFont="1" applyFill="1" applyBorder="1" applyAlignment="1">
      <alignment horizontal="center" vertical="center"/>
    </xf>
    <xf numFmtId="168" fontId="5" fillId="36" borderId="91" xfId="1820" applyNumberFormat="1" applyFont="1" applyFill="1" applyBorder="1" applyAlignment="1">
      <alignment horizontal="center" vertical="center"/>
    </xf>
    <xf numFmtId="4" fontId="6" fillId="39" borderId="140" xfId="1820" applyNumberFormat="1" applyFill="1" applyBorder="1" applyAlignment="1">
      <alignment horizontal="center" vertical="center"/>
    </xf>
    <xf numFmtId="0" fontId="3" fillId="0" borderId="107" xfId="1820" applyFont="1" applyBorder="1" applyAlignment="1">
      <alignment horizontal="center" vertical="center" wrapText="1"/>
    </xf>
    <xf numFmtId="0" fontId="3" fillId="0" borderId="0" xfId="1820" applyFont="1" applyAlignment="1">
      <alignment horizontal="center" wrapText="1"/>
    </xf>
    <xf numFmtId="4" fontId="3" fillId="0" borderId="140" xfId="1820" applyNumberFormat="1" applyFont="1" applyBorder="1" applyAlignment="1">
      <alignment horizontal="center" vertical="center"/>
    </xf>
    <xf numFmtId="4" fontId="3" fillId="0" borderId="12" xfId="1820" applyNumberFormat="1" applyFont="1" applyBorder="1" applyAlignment="1">
      <alignment horizontal="center" vertical="center"/>
    </xf>
    <xf numFmtId="4" fontId="3" fillId="0" borderId="110" xfId="1820" applyNumberFormat="1" applyFont="1" applyBorder="1" applyAlignment="1">
      <alignment horizontal="center" vertical="center"/>
    </xf>
    <xf numFmtId="0" fontId="3" fillId="66" borderId="133" xfId="1820" applyFont="1" applyFill="1" applyBorder="1"/>
    <xf numFmtId="4" fontId="3" fillId="66" borderId="45" xfId="1820" applyNumberFormat="1" applyFont="1" applyFill="1" applyBorder="1" applyAlignment="1">
      <alignment horizontal="center" vertical="center"/>
    </xf>
    <xf numFmtId="169" fontId="3" fillId="45" borderId="24" xfId="1820" applyNumberFormat="1" applyFont="1" applyFill="1" applyBorder="1" applyAlignment="1">
      <alignment horizontal="center" vertical="center"/>
    </xf>
    <xf numFmtId="169" fontId="5" fillId="45" borderId="24" xfId="1820" applyNumberFormat="1" applyFont="1" applyFill="1" applyBorder="1" applyAlignment="1">
      <alignment horizontal="center" vertical="center"/>
    </xf>
    <xf numFmtId="169" fontId="3" fillId="36" borderId="24" xfId="1820" applyNumberFormat="1" applyFont="1" applyFill="1" applyBorder="1" applyAlignment="1">
      <alignment horizontal="center" vertical="center"/>
    </xf>
    <xf numFmtId="169" fontId="3" fillId="36" borderId="38" xfId="1820" applyNumberFormat="1" applyFont="1" applyFill="1" applyBorder="1" applyAlignment="1">
      <alignment horizontal="center"/>
    </xf>
    <xf numFmtId="169" fontId="3" fillId="36" borderId="139" xfId="1820" applyNumberFormat="1" applyFont="1" applyFill="1" applyBorder="1" applyAlignment="1">
      <alignment horizontal="center" vertical="center"/>
    </xf>
    <xf numFmtId="169" fontId="3" fillId="45" borderId="7" xfId="1820" applyNumberFormat="1" applyFont="1" applyFill="1" applyBorder="1" applyAlignment="1">
      <alignment horizontal="center" vertical="center"/>
    </xf>
    <xf numFmtId="169" fontId="5" fillId="36" borderId="53" xfId="1820" applyNumberFormat="1" applyFont="1" applyFill="1" applyBorder="1" applyAlignment="1">
      <alignment horizontal="center" vertical="center"/>
    </xf>
    <xf numFmtId="169" fontId="3" fillId="36" borderId="43" xfId="1820" applyNumberFormat="1" applyFont="1" applyFill="1" applyBorder="1" applyAlignment="1">
      <alignment horizontal="center" vertical="center"/>
    </xf>
    <xf numFmtId="169" fontId="3" fillId="45" borderId="148" xfId="1820" applyNumberFormat="1" applyFont="1" applyFill="1" applyBorder="1" applyAlignment="1">
      <alignment horizontal="center"/>
    </xf>
    <xf numFmtId="169" fontId="3" fillId="45" borderId="139" xfId="1820" applyNumberFormat="1" applyFont="1" applyFill="1" applyBorder="1" applyAlignment="1">
      <alignment horizontal="center" vertical="center"/>
    </xf>
    <xf numFmtId="169" fontId="5" fillId="45" borderId="53" xfId="1820" applyNumberFormat="1" applyFont="1" applyFill="1" applyBorder="1" applyAlignment="1">
      <alignment horizontal="center" vertical="center"/>
    </xf>
    <xf numFmtId="169" fontId="5" fillId="45" borderId="122" xfId="1820" applyNumberFormat="1" applyFont="1" applyFill="1" applyBorder="1" applyAlignment="1">
      <alignment horizontal="center" vertical="center"/>
    </xf>
    <xf numFmtId="169" fontId="3" fillId="36" borderId="145" xfId="1820" applyNumberFormat="1" applyFont="1" applyFill="1" applyBorder="1" applyAlignment="1">
      <alignment horizontal="center" vertical="center"/>
    </xf>
    <xf numFmtId="169" fontId="3" fillId="45" borderId="111" xfId="1820" applyNumberFormat="1" applyFont="1" applyFill="1" applyBorder="1" applyAlignment="1">
      <alignment horizontal="center"/>
    </xf>
    <xf numFmtId="169" fontId="3" fillId="45" borderId="38" xfId="1820" applyNumberFormat="1" applyFont="1" applyFill="1" applyBorder="1" applyAlignment="1">
      <alignment horizontal="center"/>
    </xf>
    <xf numFmtId="169" fontId="5" fillId="45" borderId="43" xfId="1820" applyNumberFormat="1" applyFont="1" applyFill="1" applyBorder="1" applyAlignment="1">
      <alignment horizontal="center" vertical="center"/>
    </xf>
    <xf numFmtId="169" fontId="5" fillId="36" borderId="43" xfId="1820" applyNumberFormat="1" applyFont="1" applyFill="1" applyBorder="1" applyAlignment="1">
      <alignment horizontal="center" vertical="center"/>
    </xf>
    <xf numFmtId="169" fontId="3" fillId="45" borderId="107" xfId="1820" applyNumberFormat="1" applyFont="1" applyFill="1" applyBorder="1" applyAlignment="1">
      <alignment horizontal="center" vertical="center"/>
    </xf>
    <xf numFmtId="169" fontId="5" fillId="45" borderId="109" xfId="1820" applyNumberFormat="1" applyFont="1" applyFill="1" applyBorder="1" applyAlignment="1">
      <alignment horizontal="center" vertical="center"/>
    </xf>
    <xf numFmtId="169" fontId="5" fillId="45" borderId="107" xfId="1820" applyNumberFormat="1" applyFont="1" applyFill="1" applyBorder="1" applyAlignment="1">
      <alignment horizontal="center" vertical="center"/>
    </xf>
    <xf numFmtId="169" fontId="5" fillId="45" borderId="115" xfId="1820" applyNumberFormat="1" applyFont="1" applyFill="1" applyBorder="1" applyAlignment="1">
      <alignment horizontal="center" vertical="center"/>
    </xf>
    <xf numFmtId="169" fontId="5" fillId="45" borderId="105" xfId="1820" applyNumberFormat="1" applyFont="1" applyFill="1" applyBorder="1" applyAlignment="1">
      <alignment horizontal="center" vertical="center"/>
    </xf>
    <xf numFmtId="169" fontId="3" fillId="45" borderId="118" xfId="1820" applyNumberFormat="1" applyFont="1" applyFill="1" applyBorder="1" applyAlignment="1">
      <alignment horizontal="center"/>
    </xf>
    <xf numFmtId="169" fontId="3" fillId="45" borderId="111" xfId="1820" applyNumberFormat="1" applyFont="1" applyFill="1" applyBorder="1" applyAlignment="1">
      <alignment horizontal="center" vertical="center"/>
    </xf>
    <xf numFmtId="169" fontId="5" fillId="36" borderId="24" xfId="1820" applyNumberFormat="1" applyFont="1" applyFill="1" applyBorder="1" applyAlignment="1">
      <alignment horizontal="center" vertical="center"/>
    </xf>
    <xf numFmtId="169" fontId="5" fillId="36" borderId="107" xfId="1820" applyNumberFormat="1" applyFont="1" applyFill="1" applyBorder="1" applyAlignment="1">
      <alignment horizontal="center" vertical="center"/>
    </xf>
    <xf numFmtId="0" fontId="0" fillId="36" borderId="87" xfId="0" applyFill="1" applyBorder="1"/>
    <xf numFmtId="0" fontId="0" fillId="36" borderId="0" xfId="0" applyFill="1" applyAlignment="1">
      <alignment horizontal="center"/>
    </xf>
    <xf numFmtId="170" fontId="3" fillId="36" borderId="66" xfId="1820" applyNumberFormat="1" applyFont="1" applyFill="1" applyBorder="1" applyAlignment="1">
      <alignment horizontal="center" vertical="center"/>
    </xf>
    <xf numFmtId="169" fontId="3" fillId="36" borderId="60" xfId="1820" applyNumberFormat="1" applyFont="1" applyFill="1" applyBorder="1" applyAlignment="1">
      <alignment horizontal="center" vertical="center"/>
    </xf>
    <xf numFmtId="0" fontId="3" fillId="36" borderId="41" xfId="0" applyFont="1" applyFill="1" applyBorder="1" applyAlignment="1">
      <alignment horizontal="center"/>
    </xf>
    <xf numFmtId="169" fontId="36" fillId="45" borderId="105" xfId="1820" applyNumberFormat="1" applyFont="1" applyFill="1" applyBorder="1" applyAlignment="1">
      <alignment horizontal="center" vertical="center"/>
    </xf>
    <xf numFmtId="169" fontId="5" fillId="45" borderId="7" xfId="1820" applyNumberFormat="1" applyFont="1" applyFill="1" applyBorder="1" applyAlignment="1">
      <alignment horizontal="center" vertical="center"/>
    </xf>
    <xf numFmtId="169" fontId="5" fillId="33" borderId="53" xfId="1820" applyNumberFormat="1" applyFont="1" applyFill="1" applyBorder="1" applyAlignment="1">
      <alignment horizontal="center" vertical="center"/>
    </xf>
    <xf numFmtId="169" fontId="36" fillId="45" borderId="122" xfId="1820" applyNumberFormat="1" applyFont="1" applyFill="1" applyBorder="1" applyAlignment="1">
      <alignment horizontal="center" vertical="center"/>
    </xf>
    <xf numFmtId="169" fontId="3" fillId="36" borderId="9" xfId="1820" applyNumberFormat="1" applyFont="1" applyFill="1" applyBorder="1" applyAlignment="1">
      <alignment horizontal="center" vertical="center"/>
    </xf>
    <xf numFmtId="169" fontId="74" fillId="45" borderId="0" xfId="1820" applyNumberFormat="1" applyFont="1" applyFill="1" applyAlignment="1">
      <alignment horizontal="center" vertical="center"/>
    </xf>
    <xf numFmtId="0" fontId="3" fillId="36" borderId="55" xfId="1820" applyFont="1" applyFill="1" applyBorder="1" applyProtection="1">
      <protection locked="0"/>
    </xf>
    <xf numFmtId="4" fontId="5" fillId="36" borderId="81" xfId="1820" applyNumberFormat="1" applyFont="1" applyFill="1" applyBorder="1" applyAlignment="1">
      <alignment horizontal="center" vertical="center"/>
    </xf>
    <xf numFmtId="168" fontId="3" fillId="36" borderId="0" xfId="1820" applyNumberFormat="1" applyFont="1" applyFill="1"/>
    <xf numFmtId="2" fontId="3" fillId="36" borderId="0" xfId="1820" applyNumberFormat="1" applyFont="1" applyFill="1"/>
    <xf numFmtId="0" fontId="3" fillId="36" borderId="0" xfId="1820" applyFont="1" applyFill="1"/>
    <xf numFmtId="0" fontId="6" fillId="36" borderId="0" xfId="1820" applyFill="1"/>
    <xf numFmtId="169" fontId="19" fillId="38" borderId="43" xfId="1820" applyNumberFormat="1" applyFont="1" applyFill="1" applyBorder="1" applyAlignment="1">
      <alignment horizontal="center" vertical="center"/>
    </xf>
    <xf numFmtId="169" fontId="5" fillId="36" borderId="61" xfId="1820" applyNumberFormat="1" applyFont="1" applyFill="1" applyBorder="1" applyAlignment="1">
      <alignment horizontal="center" vertical="center"/>
    </xf>
    <xf numFmtId="169" fontId="58" fillId="36" borderId="68" xfId="1820" applyNumberFormat="1" applyFont="1" applyFill="1" applyBorder="1" applyAlignment="1">
      <alignment horizontal="center" vertical="center"/>
    </xf>
    <xf numFmtId="169" fontId="5" fillId="36" borderId="68" xfId="1820" applyNumberFormat="1" applyFont="1" applyFill="1" applyBorder="1" applyAlignment="1">
      <alignment horizontal="center" vertical="center"/>
    </xf>
    <xf numFmtId="169" fontId="5" fillId="36" borderId="149" xfId="1820" applyNumberFormat="1" applyFont="1" applyFill="1" applyBorder="1" applyAlignment="1">
      <alignment horizontal="center" vertical="center"/>
    </xf>
    <xf numFmtId="169" fontId="6" fillId="39" borderId="56" xfId="1820" applyNumberFormat="1" applyFill="1" applyBorder="1" applyAlignment="1">
      <alignment horizontal="center" vertical="center"/>
    </xf>
    <xf numFmtId="168" fontId="6" fillId="39" borderId="56" xfId="1820" applyNumberFormat="1" applyFill="1" applyBorder="1" applyAlignment="1">
      <alignment horizontal="center" vertical="center"/>
    </xf>
    <xf numFmtId="168" fontId="3" fillId="36" borderId="93" xfId="1820" applyNumberFormat="1" applyFont="1" applyFill="1" applyBorder="1" applyAlignment="1">
      <alignment horizontal="center" vertical="center"/>
    </xf>
    <xf numFmtId="168" fontId="3" fillId="0" borderId="46" xfId="1820" applyNumberFormat="1" applyFont="1" applyBorder="1" applyAlignment="1">
      <alignment horizontal="center" vertical="center"/>
    </xf>
    <xf numFmtId="2" fontId="76" fillId="0" borderId="94" xfId="0" applyNumberFormat="1" applyFont="1" applyBorder="1"/>
    <xf numFmtId="173" fontId="54" fillId="0" borderId="77" xfId="0" applyNumberFormat="1" applyFont="1" applyBorder="1"/>
    <xf numFmtId="173" fontId="54" fillId="0" borderId="56" xfId="0" applyNumberFormat="1" applyFont="1" applyBorder="1"/>
    <xf numFmtId="173" fontId="54" fillId="0" borderId="83" xfId="0" applyNumberFormat="1" applyFont="1" applyBorder="1"/>
    <xf numFmtId="4" fontId="76" fillId="0" borderId="56" xfId="1820" applyNumberFormat="1" applyFont="1" applyBorder="1"/>
    <xf numFmtId="0" fontId="76" fillId="0" borderId="83" xfId="1820" applyFont="1" applyBorder="1"/>
    <xf numFmtId="0" fontId="76" fillId="0" borderId="9" xfId="1820" applyFont="1" applyBorder="1"/>
    <xf numFmtId="2" fontId="76" fillId="0" borderId="65" xfId="0" applyNumberFormat="1" applyFont="1" applyBorder="1"/>
    <xf numFmtId="173" fontId="54" fillId="0" borderId="63" xfId="0" applyNumberFormat="1" applyFont="1" applyBorder="1"/>
    <xf numFmtId="173" fontId="54" fillId="0" borderId="9" xfId="0" applyNumberFormat="1" applyFont="1" applyBorder="1"/>
    <xf numFmtId="173" fontId="54" fillId="0" borderId="66" xfId="0" applyNumberFormat="1" applyFont="1" applyBorder="1"/>
    <xf numFmtId="4" fontId="76" fillId="0" borderId="9" xfId="1820" applyNumberFormat="1" applyFont="1" applyBorder="1"/>
    <xf numFmtId="0" fontId="76" fillId="0" borderId="66" xfId="1820" applyFont="1" applyBorder="1"/>
    <xf numFmtId="2" fontId="76" fillId="0" borderId="9" xfId="1820" applyNumberFormat="1" applyFont="1" applyBorder="1"/>
    <xf numFmtId="2" fontId="76" fillId="0" borderId="58" xfId="0" applyNumberFormat="1" applyFont="1" applyBorder="1"/>
    <xf numFmtId="173" fontId="54" fillId="0" borderId="59" xfId="0" applyNumberFormat="1" applyFont="1" applyBorder="1"/>
    <xf numFmtId="173" fontId="54" fillId="0" borderId="55" xfId="0" applyNumberFormat="1" applyFont="1" applyBorder="1"/>
    <xf numFmtId="169" fontId="54" fillId="39" borderId="150" xfId="0" applyNumberFormat="1" applyFont="1" applyFill="1" applyBorder="1"/>
    <xf numFmtId="173" fontId="54" fillId="39" borderId="94" xfId="0" applyNumberFormat="1" applyFont="1" applyFill="1" applyBorder="1"/>
    <xf numFmtId="169" fontId="54" fillId="39" borderId="63" xfId="0" applyNumberFormat="1" applyFont="1" applyFill="1" applyBorder="1"/>
    <xf numFmtId="2" fontId="76" fillId="0" borderId="91" xfId="0" applyNumberFormat="1" applyFont="1" applyBorder="1"/>
    <xf numFmtId="173" fontId="54" fillId="0" borderId="151" xfId="0" applyNumberFormat="1" applyFont="1" applyBorder="1"/>
    <xf numFmtId="173" fontId="54" fillId="0" borderId="91" xfId="0" applyNumberFormat="1" applyFont="1" applyBorder="1"/>
    <xf numFmtId="2" fontId="76" fillId="0" borderId="82" xfId="0" applyNumberFormat="1" applyFont="1" applyBorder="1"/>
    <xf numFmtId="173" fontId="54" fillId="36" borderId="9" xfId="0" applyNumberFormat="1" applyFont="1" applyFill="1" applyBorder="1"/>
    <xf numFmtId="173" fontId="54" fillId="36" borderId="66" xfId="0" applyNumberFormat="1" applyFont="1" applyFill="1" applyBorder="1"/>
    <xf numFmtId="4" fontId="76" fillId="36" borderId="9" xfId="1820" applyNumberFormat="1" applyFont="1" applyFill="1" applyBorder="1"/>
    <xf numFmtId="0" fontId="76" fillId="0" borderId="0" xfId="0" applyFont="1"/>
    <xf numFmtId="169" fontId="54" fillId="0" borderId="63" xfId="0" applyNumberFormat="1" applyFont="1" applyBorder="1"/>
    <xf numFmtId="173" fontId="54" fillId="39" borderId="66" xfId="0" applyNumberFormat="1" applyFont="1" applyFill="1" applyBorder="1"/>
    <xf numFmtId="169" fontId="54" fillId="0" borderId="59" xfId="0" applyNumberFormat="1" applyFont="1" applyBorder="1"/>
    <xf numFmtId="173" fontId="54" fillId="0" borderId="60" xfId="0" applyNumberFormat="1" applyFont="1" applyBorder="1"/>
    <xf numFmtId="4" fontId="76" fillId="0" borderId="55" xfId="1820" applyNumberFormat="1" applyFont="1" applyBorder="1"/>
    <xf numFmtId="0" fontId="76" fillId="0" borderId="60" xfId="1820" applyFont="1" applyBorder="1"/>
    <xf numFmtId="2" fontId="76" fillId="0" borderId="55" xfId="1820" applyNumberFormat="1" applyFont="1" applyBorder="1"/>
    <xf numFmtId="0" fontId="76" fillId="0" borderId="9" xfId="0" applyFont="1" applyBorder="1"/>
    <xf numFmtId="169" fontId="54" fillId="0" borderId="9" xfId="0" applyNumberFormat="1" applyFont="1" applyBorder="1"/>
    <xf numFmtId="0" fontId="76" fillId="0" borderId="56" xfId="0" applyFont="1" applyBorder="1"/>
    <xf numFmtId="0" fontId="76" fillId="0" borderId="56" xfId="1820" applyFont="1" applyBorder="1"/>
    <xf numFmtId="2" fontId="76" fillId="0" borderId="56" xfId="1820" applyNumberFormat="1" applyFont="1" applyBorder="1"/>
    <xf numFmtId="2" fontId="76" fillId="0" borderId="0" xfId="0" applyNumberFormat="1" applyFont="1"/>
    <xf numFmtId="0" fontId="76" fillId="0" borderId="66" xfId="0" applyFont="1" applyBorder="1"/>
    <xf numFmtId="0" fontId="76" fillId="0" borderId="55" xfId="0" applyFont="1" applyBorder="1"/>
    <xf numFmtId="2" fontId="76" fillId="39" borderId="87" xfId="0" applyNumberFormat="1" applyFont="1" applyFill="1" applyBorder="1"/>
    <xf numFmtId="2" fontId="76" fillId="39" borderId="79" xfId="0" applyNumberFormat="1" applyFont="1" applyFill="1" applyBorder="1"/>
    <xf numFmtId="2" fontId="76" fillId="39" borderId="81" xfId="0" applyNumberFormat="1" applyFont="1" applyFill="1" applyBorder="1"/>
    <xf numFmtId="2" fontId="54" fillId="39" borderId="75" xfId="0" applyNumberFormat="1" applyFont="1" applyFill="1" applyBorder="1"/>
    <xf numFmtId="2" fontId="54" fillId="39" borderId="73" xfId="0" applyNumberFormat="1" applyFont="1" applyFill="1" applyBorder="1"/>
    <xf numFmtId="2" fontId="54" fillId="39" borderId="41" xfId="0" applyNumberFormat="1" applyFont="1" applyFill="1" applyBorder="1"/>
    <xf numFmtId="2" fontId="54" fillId="39" borderId="79" xfId="1820" applyNumberFormat="1" applyFont="1" applyFill="1" applyBorder="1"/>
    <xf numFmtId="2" fontId="76" fillId="39" borderId="74" xfId="1820" applyNumberFormat="1" applyFont="1" applyFill="1" applyBorder="1"/>
    <xf numFmtId="2" fontId="76" fillId="0" borderId="56" xfId="0" applyNumberFormat="1" applyFont="1" applyBorder="1"/>
    <xf numFmtId="2" fontId="54" fillId="0" borderId="56" xfId="0" applyNumberFormat="1" applyFont="1" applyBorder="1"/>
    <xf numFmtId="2" fontId="54" fillId="0" borderId="77" xfId="0" applyNumberFormat="1" applyFont="1" applyBorder="1"/>
    <xf numFmtId="2" fontId="54" fillId="0" borderId="83" xfId="0" applyNumberFormat="1" applyFont="1" applyBorder="1"/>
    <xf numFmtId="2" fontId="76" fillId="0" borderId="83" xfId="1820" applyNumberFormat="1" applyFont="1" applyBorder="1"/>
    <xf numFmtId="2" fontId="76" fillId="0" borderId="9" xfId="0" applyNumberFormat="1" applyFont="1" applyBorder="1"/>
    <xf numFmtId="2" fontId="54" fillId="0" borderId="9" xfId="0" applyNumberFormat="1" applyFont="1" applyBorder="1"/>
    <xf numFmtId="2" fontId="54" fillId="0" borderId="63" xfId="0" applyNumberFormat="1" applyFont="1" applyBorder="1"/>
    <xf numFmtId="2" fontId="54" fillId="0" borderId="66" xfId="0" applyNumberFormat="1" applyFont="1" applyBorder="1"/>
    <xf numFmtId="2" fontId="76" fillId="0" borderId="66" xfId="1820" applyNumberFormat="1" applyFont="1" applyBorder="1"/>
    <xf numFmtId="2" fontId="54" fillId="36" borderId="9" xfId="0" applyNumberFormat="1" applyFont="1" applyFill="1" applyBorder="1"/>
    <xf numFmtId="2" fontId="54" fillId="36" borderId="66" xfId="0" applyNumberFormat="1" applyFont="1" applyFill="1" applyBorder="1"/>
    <xf numFmtId="2" fontId="54" fillId="39" borderId="63" xfId="0" applyNumberFormat="1" applyFont="1" applyFill="1" applyBorder="1"/>
    <xf numFmtId="2" fontId="54" fillId="39" borderId="9" xfId="0" applyNumberFormat="1" applyFont="1" applyFill="1" applyBorder="1"/>
    <xf numFmtId="2" fontId="54" fillId="0" borderId="65" xfId="0" applyNumberFormat="1" applyFont="1" applyBorder="1"/>
    <xf numFmtId="2" fontId="54" fillId="0" borderId="58" xfId="0" applyNumberFormat="1" applyFont="1" applyBorder="1"/>
    <xf numFmtId="2" fontId="54" fillId="0" borderId="61" xfId="0" applyNumberFormat="1" applyFont="1" applyBorder="1"/>
    <xf numFmtId="2" fontId="54" fillId="0" borderId="68" xfId="0" applyNumberFormat="1" applyFont="1" applyBorder="1"/>
    <xf numFmtId="2" fontId="76" fillId="0" borderId="68" xfId="0" applyNumberFormat="1" applyFont="1" applyBorder="1"/>
    <xf numFmtId="2" fontId="76" fillId="0" borderId="72" xfId="0" applyNumberFormat="1" applyFont="1" applyBorder="1"/>
    <xf numFmtId="2" fontId="54" fillId="0" borderId="59" xfId="0" applyNumberFormat="1" applyFont="1" applyBorder="1"/>
    <xf numFmtId="2" fontId="54" fillId="0" borderId="55" xfId="0" applyNumberFormat="1" applyFont="1" applyBorder="1"/>
    <xf numFmtId="2" fontId="54" fillId="0" borderId="60" xfId="0" applyNumberFormat="1" applyFont="1" applyBorder="1"/>
    <xf numFmtId="2" fontId="76" fillId="0" borderId="60" xfId="1820" applyNumberFormat="1" applyFont="1" applyBorder="1"/>
    <xf numFmtId="2" fontId="54" fillId="39" borderId="128" xfId="0" applyNumberFormat="1" applyFont="1" applyFill="1" applyBorder="1"/>
    <xf numFmtId="2" fontId="54" fillId="39" borderId="152" xfId="0" applyNumberFormat="1" applyFont="1" applyFill="1" applyBorder="1"/>
    <xf numFmtId="2" fontId="54" fillId="39" borderId="142" xfId="0" applyNumberFormat="1" applyFont="1" applyFill="1" applyBorder="1"/>
    <xf numFmtId="2" fontId="54" fillId="39" borderId="153" xfId="0" applyNumberFormat="1" applyFont="1" applyFill="1" applyBorder="1"/>
    <xf numFmtId="2" fontId="54" fillId="39" borderId="154" xfId="0" applyNumberFormat="1" applyFont="1" applyFill="1" applyBorder="1"/>
    <xf numFmtId="2" fontId="54" fillId="39" borderId="153" xfId="1820" applyNumberFormat="1" applyFont="1" applyFill="1" applyBorder="1"/>
    <xf numFmtId="2" fontId="54" fillId="39" borderId="154" xfId="1820" applyNumberFormat="1" applyFont="1" applyFill="1" applyBorder="1"/>
    <xf numFmtId="2" fontId="54" fillId="67" borderId="42" xfId="0" applyNumberFormat="1" applyFont="1" applyFill="1" applyBorder="1" applyAlignment="1">
      <alignment horizontal="right"/>
    </xf>
    <xf numFmtId="2" fontId="54" fillId="67" borderId="42" xfId="1820" applyNumberFormat="1" applyFont="1" applyFill="1" applyBorder="1" applyAlignment="1">
      <alignment horizontal="right"/>
    </xf>
    <xf numFmtId="2" fontId="54" fillId="67" borderId="155" xfId="1820" applyNumberFormat="1" applyFont="1" applyFill="1" applyBorder="1" applyAlignment="1">
      <alignment horizontal="right"/>
    </xf>
    <xf numFmtId="2" fontId="54" fillId="0" borderId="99" xfId="0" applyNumberFormat="1" applyFont="1" applyBorder="1" applyAlignment="1">
      <alignment vertical="center"/>
    </xf>
    <xf numFmtId="2" fontId="54" fillId="0" borderId="70" xfId="0" applyNumberFormat="1" applyFont="1" applyBorder="1"/>
    <xf numFmtId="2" fontId="54" fillId="0" borderId="156" xfId="0" applyNumberFormat="1" applyFont="1" applyBorder="1"/>
    <xf numFmtId="2" fontId="76" fillId="0" borderId="70" xfId="1820" applyNumberFormat="1" applyFont="1" applyBorder="1"/>
    <xf numFmtId="2" fontId="76" fillId="0" borderId="156" xfId="1820" applyNumberFormat="1" applyFont="1" applyBorder="1"/>
    <xf numFmtId="2" fontId="54" fillId="39" borderId="79" xfId="0" applyNumberFormat="1" applyFont="1" applyFill="1" applyBorder="1" applyAlignment="1">
      <alignment horizontal="center" vertical="center"/>
    </xf>
    <xf numFmtId="2" fontId="54" fillId="57" borderId="81" xfId="0" applyNumberFormat="1" applyFont="1" applyFill="1" applyBorder="1"/>
    <xf numFmtId="2" fontId="54" fillId="39" borderId="81" xfId="0" applyNumberFormat="1" applyFont="1" applyFill="1" applyBorder="1"/>
    <xf numFmtId="2" fontId="54" fillId="39" borderId="74" xfId="0" applyNumberFormat="1" applyFont="1" applyFill="1" applyBorder="1"/>
    <xf numFmtId="2" fontId="54" fillId="39" borderId="81" xfId="1820" applyNumberFormat="1" applyFont="1" applyFill="1" applyBorder="1"/>
    <xf numFmtId="2" fontId="54" fillId="39" borderId="74" xfId="1820" applyNumberFormat="1" applyFont="1" applyFill="1" applyBorder="1"/>
    <xf numFmtId="2" fontId="19" fillId="0" borderId="92" xfId="1820" applyNumberFormat="1" applyFont="1" applyBorder="1" applyAlignment="1">
      <alignment horizontal="center" vertical="center"/>
    </xf>
    <xf numFmtId="169" fontId="19" fillId="37" borderId="24" xfId="1820" applyNumberFormat="1" applyFont="1" applyFill="1" applyBorder="1" applyAlignment="1">
      <alignment horizontal="center" vertical="center"/>
    </xf>
    <xf numFmtId="169" fontId="19" fillId="47" borderId="24" xfId="1820" applyNumberFormat="1" applyFont="1" applyFill="1" applyBorder="1" applyAlignment="1">
      <alignment horizontal="center" vertical="center"/>
    </xf>
    <xf numFmtId="169" fontId="19" fillId="10" borderId="24" xfId="1820" applyNumberFormat="1" applyFont="1" applyFill="1" applyBorder="1" applyAlignment="1">
      <alignment horizontal="center" vertical="center"/>
    </xf>
    <xf numFmtId="169" fontId="19" fillId="39" borderId="53" xfId="1820" applyNumberFormat="1" applyFont="1" applyFill="1" applyBorder="1" applyAlignment="1">
      <alignment horizontal="center" vertical="center"/>
    </xf>
    <xf numFmtId="169" fontId="19" fillId="0" borderId="157" xfId="1820" applyNumberFormat="1" applyFont="1" applyBorder="1" applyAlignment="1">
      <alignment horizontal="center" vertical="center"/>
    </xf>
    <xf numFmtId="4" fontId="19" fillId="0" borderId="157" xfId="1820" applyNumberFormat="1" applyFont="1" applyBorder="1" applyAlignment="1">
      <alignment horizontal="center" vertical="center"/>
    </xf>
    <xf numFmtId="169" fontId="19" fillId="0" borderId="24" xfId="1820" applyNumberFormat="1" applyFont="1" applyBorder="1" applyAlignment="1">
      <alignment horizontal="center" vertical="center"/>
    </xf>
    <xf numFmtId="4" fontId="19" fillId="4" borderId="122" xfId="1820" applyNumberFormat="1" applyFont="1" applyFill="1" applyBorder="1" applyAlignment="1">
      <alignment horizontal="center" vertical="center"/>
    </xf>
    <xf numFmtId="169" fontId="19" fillId="44" borderId="122" xfId="1820" applyNumberFormat="1" applyFont="1" applyFill="1" applyBorder="1" applyAlignment="1">
      <alignment horizontal="center" vertical="center"/>
    </xf>
    <xf numFmtId="169" fontId="19" fillId="38" borderId="122" xfId="1820" applyNumberFormat="1" applyFont="1" applyFill="1" applyBorder="1" applyAlignment="1">
      <alignment horizontal="center" vertical="center"/>
    </xf>
    <xf numFmtId="169" fontId="19" fillId="47" borderId="43" xfId="1820" applyNumberFormat="1" applyFont="1" applyFill="1" applyBorder="1" applyAlignment="1">
      <alignment horizontal="center" vertical="center"/>
    </xf>
    <xf numFmtId="169" fontId="19" fillId="39" borderId="109" xfId="1820" applyNumberFormat="1" applyFont="1" applyFill="1" applyBorder="1" applyAlignment="1">
      <alignment horizontal="center" vertical="center"/>
    </xf>
    <xf numFmtId="4" fontId="19" fillId="49" borderId="105" xfId="1820" applyNumberFormat="1" applyFont="1" applyFill="1" applyBorder="1" applyAlignment="1">
      <alignment horizontal="center" vertical="center"/>
    </xf>
    <xf numFmtId="4" fontId="19" fillId="39" borderId="107" xfId="1820" applyNumberFormat="1" applyFont="1" applyFill="1" applyBorder="1" applyAlignment="1">
      <alignment horizontal="center" vertical="center"/>
    </xf>
    <xf numFmtId="4" fontId="19" fillId="0" borderId="46" xfId="1820" applyNumberFormat="1" applyFont="1" applyBorder="1" applyAlignment="1">
      <alignment horizontal="center" vertical="center"/>
    </xf>
    <xf numFmtId="4" fontId="19" fillId="39" borderId="115" xfId="1820" applyNumberFormat="1" applyFont="1" applyFill="1" applyBorder="1" applyAlignment="1">
      <alignment horizontal="center" vertical="center"/>
    </xf>
    <xf numFmtId="4" fontId="19" fillId="0" borderId="115" xfId="1820" applyNumberFormat="1" applyFont="1" applyBorder="1" applyAlignment="1">
      <alignment horizontal="center" vertical="center"/>
    </xf>
    <xf numFmtId="4" fontId="19" fillId="39" borderId="105" xfId="1820" applyNumberFormat="1" applyFont="1" applyFill="1" applyBorder="1" applyAlignment="1">
      <alignment horizontal="center" vertical="center"/>
    </xf>
    <xf numFmtId="4" fontId="19" fillId="39" borderId="24" xfId="1820" applyNumberFormat="1" applyFont="1" applyFill="1" applyBorder="1" applyAlignment="1">
      <alignment horizontal="center" vertical="center"/>
    </xf>
    <xf numFmtId="4" fontId="19" fillId="39" borderId="43" xfId="1820" applyNumberFormat="1" applyFont="1" applyFill="1" applyBorder="1" applyAlignment="1">
      <alignment horizontal="center" vertical="center"/>
    </xf>
    <xf numFmtId="169" fontId="19" fillId="0" borderId="43" xfId="1820" applyNumberFormat="1" applyFont="1" applyBorder="1" applyAlignment="1">
      <alignment horizontal="center" vertical="center"/>
    </xf>
    <xf numFmtId="4" fontId="77" fillId="47" borderId="105" xfId="1820" applyNumberFormat="1" applyFont="1" applyFill="1" applyBorder="1" applyAlignment="1">
      <alignment horizontal="center" vertical="center"/>
    </xf>
    <xf numFmtId="2" fontId="19" fillId="0" borderId="24" xfId="1820" applyNumberFormat="1" applyFont="1" applyBorder="1" applyAlignment="1">
      <alignment horizontal="center" vertical="center"/>
    </xf>
    <xf numFmtId="169" fontId="19" fillId="39" borderId="7" xfId="1820" applyNumberFormat="1" applyFont="1" applyFill="1" applyBorder="1" applyAlignment="1">
      <alignment horizontal="center" vertical="center"/>
    </xf>
    <xf numFmtId="2" fontId="19" fillId="4" borderId="43" xfId="1820" applyNumberFormat="1" applyFont="1" applyFill="1" applyBorder="1" applyAlignment="1">
      <alignment horizontal="center" vertical="center"/>
    </xf>
    <xf numFmtId="2" fontId="19" fillId="0" borderId="0" xfId="0" applyNumberFormat="1" applyFont="1"/>
    <xf numFmtId="169" fontId="77" fillId="44" borderId="122" xfId="1820" applyNumberFormat="1" applyFont="1" applyFill="1" applyBorder="1" applyAlignment="1">
      <alignment horizontal="center" vertical="center"/>
    </xf>
    <xf numFmtId="169" fontId="77" fillId="47" borderId="122" xfId="1820" applyNumberFormat="1" applyFont="1" applyFill="1" applyBorder="1" applyAlignment="1">
      <alignment horizontal="center" vertical="center"/>
    </xf>
    <xf numFmtId="4" fontId="77" fillId="47" borderId="122" xfId="1820" applyNumberFormat="1" applyFont="1" applyFill="1" applyBorder="1" applyAlignment="1">
      <alignment horizontal="center" vertical="center"/>
    </xf>
    <xf numFmtId="169" fontId="10" fillId="36" borderId="9" xfId="1820" applyNumberFormat="1" applyFont="1" applyFill="1" applyBorder="1" applyAlignment="1">
      <alignment horizontal="center" vertical="center"/>
    </xf>
    <xf numFmtId="169" fontId="78" fillId="53" borderId="43" xfId="1820" applyNumberFormat="1" applyFont="1" applyFill="1" applyBorder="1" applyAlignment="1">
      <alignment horizontal="center" vertical="center"/>
    </xf>
    <xf numFmtId="169" fontId="74" fillId="47" borderId="43" xfId="1820" applyNumberFormat="1" applyFont="1" applyFill="1" applyBorder="1" applyAlignment="1">
      <alignment horizontal="center" vertical="center"/>
    </xf>
    <xf numFmtId="4" fontId="74" fillId="5" borderId="43" xfId="1820" applyNumberFormat="1" applyFont="1" applyFill="1" applyBorder="1" applyAlignment="1">
      <alignment horizontal="center" vertical="center"/>
    </xf>
    <xf numFmtId="2" fontId="19" fillId="39" borderId="87" xfId="1820" applyNumberFormat="1" applyFont="1" applyFill="1" applyBorder="1" applyAlignment="1">
      <alignment horizontal="center" vertical="center"/>
    </xf>
    <xf numFmtId="2" fontId="66" fillId="39" borderId="98" xfId="1811" applyNumberFormat="1" applyFont="1" applyFill="1" applyBorder="1"/>
    <xf numFmtId="2" fontId="66" fillId="0" borderId="73" xfId="1811" applyNumberFormat="1" applyFont="1" applyBorder="1" applyAlignment="1">
      <alignment wrapText="1"/>
    </xf>
    <xf numFmtId="2" fontId="66" fillId="0" borderId="41" xfId="1811" applyNumberFormat="1" applyFont="1" applyBorder="1"/>
    <xf numFmtId="169" fontId="19" fillId="34" borderId="24" xfId="1820" applyNumberFormat="1" applyFont="1" applyFill="1" applyBorder="1" applyAlignment="1" applyProtection="1">
      <alignment horizontal="center" vertical="center"/>
      <protection locked="0"/>
    </xf>
    <xf numFmtId="169" fontId="19" fillId="36" borderId="24" xfId="1820" applyNumberFormat="1" applyFont="1" applyFill="1" applyBorder="1" applyAlignment="1">
      <alignment horizontal="center"/>
    </xf>
    <xf numFmtId="4" fontId="19" fillId="0" borderId="38" xfId="1820" applyNumberFormat="1" applyFont="1" applyBorder="1" applyAlignment="1">
      <alignment horizontal="center"/>
    </xf>
    <xf numFmtId="169" fontId="19" fillId="39" borderId="38" xfId="1820" applyNumberFormat="1" applyFont="1" applyFill="1" applyBorder="1" applyAlignment="1">
      <alignment horizontal="center"/>
    </xf>
    <xf numFmtId="169" fontId="19" fillId="0" borderId="148" xfId="1820" applyNumberFormat="1" applyFont="1" applyBorder="1" applyAlignment="1">
      <alignment horizontal="center"/>
    </xf>
    <xf numFmtId="0" fontId="19" fillId="0" borderId="7" xfId="1820" applyFont="1" applyBorder="1" applyAlignment="1">
      <alignment horizontal="center"/>
    </xf>
    <xf numFmtId="169" fontId="19" fillId="0" borderId="139" xfId="1820" applyNumberFormat="1" applyFont="1" applyBorder="1" applyAlignment="1">
      <alignment horizontal="center" vertical="center"/>
    </xf>
    <xf numFmtId="0" fontId="19" fillId="0" borderId="107" xfId="1820" applyFont="1" applyBorder="1" applyAlignment="1">
      <alignment horizontal="center"/>
    </xf>
    <xf numFmtId="169" fontId="19" fillId="34" borderId="0" xfId="1820" applyNumberFormat="1" applyFont="1" applyFill="1" applyAlignment="1" applyProtection="1">
      <alignment horizontal="center" vertical="center"/>
      <protection locked="0"/>
    </xf>
    <xf numFmtId="169" fontId="19" fillId="39" borderId="140" xfId="1820" applyNumberFormat="1" applyFont="1" applyFill="1" applyBorder="1" applyAlignment="1">
      <alignment horizontal="center" vertical="center"/>
    </xf>
    <xf numFmtId="4" fontId="19" fillId="0" borderId="139" xfId="1820" applyNumberFormat="1" applyFont="1" applyBorder="1" applyAlignment="1">
      <alignment horizontal="center" vertical="center"/>
    </xf>
    <xf numFmtId="169" fontId="19" fillId="34" borderId="43" xfId="1820" applyNumberFormat="1" applyFont="1" applyFill="1" applyBorder="1" applyAlignment="1" applyProtection="1">
      <alignment horizontal="center" vertical="center"/>
      <protection locked="0"/>
    </xf>
    <xf numFmtId="0" fontId="19" fillId="0" borderId="53" xfId="1820" applyFont="1" applyBorder="1" applyAlignment="1">
      <alignment horizontal="center"/>
    </xf>
    <xf numFmtId="0" fontId="19" fillId="0" borderId="38" xfId="1820" applyFont="1" applyBorder="1" applyAlignment="1">
      <alignment horizontal="center"/>
    </xf>
    <xf numFmtId="4" fontId="19" fillId="0" borderId="148" xfId="1820" applyNumberFormat="1" applyFont="1" applyBorder="1" applyAlignment="1">
      <alignment horizontal="center"/>
    </xf>
    <xf numFmtId="4" fontId="19" fillId="0" borderId="111" xfId="1820" applyNumberFormat="1" applyFont="1" applyBorder="1" applyAlignment="1">
      <alignment horizontal="center" vertical="center"/>
    </xf>
    <xf numFmtId="4" fontId="19" fillId="0" borderId="145" xfId="1820" applyNumberFormat="1" applyFont="1" applyBorder="1" applyAlignment="1">
      <alignment horizontal="center" vertical="center"/>
    </xf>
    <xf numFmtId="169" fontId="19" fillId="39" borderId="145" xfId="1820" applyNumberFormat="1" applyFont="1" applyFill="1" applyBorder="1" applyAlignment="1">
      <alignment horizontal="center" vertical="center"/>
    </xf>
    <xf numFmtId="0" fontId="19" fillId="0" borderId="111" xfId="1820" applyFont="1" applyBorder="1" applyAlignment="1">
      <alignment horizontal="center"/>
    </xf>
    <xf numFmtId="169" fontId="19" fillId="39" borderId="111" xfId="1820" applyNumberFormat="1" applyFont="1" applyFill="1" applyBorder="1" applyAlignment="1">
      <alignment horizontal="center"/>
    </xf>
    <xf numFmtId="4" fontId="19" fillId="0" borderId="158" xfId="1820" applyNumberFormat="1" applyFont="1" applyBorder="1" applyAlignment="1">
      <alignment horizontal="center"/>
    </xf>
    <xf numFmtId="0" fontId="19" fillId="39" borderId="0" xfId="1820" applyFont="1" applyFill="1"/>
    <xf numFmtId="0" fontId="19" fillId="0" borderId="43" xfId="1820" applyFont="1" applyBorder="1" applyAlignment="1">
      <alignment horizontal="center"/>
    </xf>
    <xf numFmtId="169" fontId="19" fillId="39" borderId="7" xfId="1820" applyNumberFormat="1" applyFont="1" applyFill="1" applyBorder="1" applyAlignment="1">
      <alignment horizontal="center"/>
    </xf>
    <xf numFmtId="169" fontId="19" fillId="39" borderId="107" xfId="1820" applyNumberFormat="1" applyFont="1" applyFill="1" applyBorder="1" applyAlignment="1">
      <alignment horizontal="center" vertical="center"/>
    </xf>
    <xf numFmtId="0" fontId="19" fillId="49" borderId="109" xfId="1820" applyFont="1" applyFill="1" applyBorder="1" applyAlignment="1">
      <alignment horizontal="center"/>
    </xf>
    <xf numFmtId="4" fontId="19" fillId="39" borderId="38" xfId="1820" applyNumberFormat="1" applyFont="1" applyFill="1" applyBorder="1" applyAlignment="1">
      <alignment horizontal="center"/>
    </xf>
    <xf numFmtId="0" fontId="19" fillId="0" borderId="115" xfId="1820" applyFont="1" applyBorder="1" applyAlignment="1">
      <alignment horizontal="center"/>
    </xf>
    <xf numFmtId="0" fontId="19" fillId="49" borderId="105" xfId="1820" applyFont="1" applyFill="1" applyBorder="1" applyAlignment="1">
      <alignment horizontal="center"/>
    </xf>
    <xf numFmtId="0" fontId="19" fillId="0" borderId="118" xfId="1820" applyFont="1" applyBorder="1" applyAlignment="1">
      <alignment horizontal="center"/>
    </xf>
    <xf numFmtId="4" fontId="19" fillId="39" borderId="118" xfId="1820" applyNumberFormat="1" applyFont="1" applyFill="1" applyBorder="1" applyAlignment="1">
      <alignment horizontal="center"/>
    </xf>
    <xf numFmtId="4" fontId="19" fillId="0" borderId="114" xfId="1820" applyNumberFormat="1" applyFont="1" applyBorder="1" applyAlignment="1">
      <alignment horizontal="center"/>
    </xf>
    <xf numFmtId="4" fontId="19" fillId="39" borderId="111" xfId="1820" applyNumberFormat="1" applyFont="1" applyFill="1" applyBorder="1" applyAlignment="1">
      <alignment horizontal="center" vertical="center"/>
    </xf>
    <xf numFmtId="4" fontId="19" fillId="0" borderId="158" xfId="1820" applyNumberFormat="1" applyFont="1" applyBorder="1" applyAlignment="1">
      <alignment horizontal="center" vertical="center"/>
    </xf>
    <xf numFmtId="0" fontId="19" fillId="0" borderId="141" xfId="1820" applyFont="1" applyBorder="1" applyAlignment="1">
      <alignment horizontal="center"/>
    </xf>
    <xf numFmtId="169" fontId="19" fillId="34" borderId="9" xfId="1820" applyNumberFormat="1" applyFont="1" applyFill="1" applyBorder="1" applyAlignment="1" applyProtection="1">
      <alignment horizontal="center" vertical="center"/>
      <protection locked="0"/>
    </xf>
    <xf numFmtId="169" fontId="19" fillId="39" borderId="0" xfId="1820" applyNumberFormat="1" applyFont="1" applyFill="1" applyAlignment="1">
      <alignment horizontal="center" vertical="center"/>
    </xf>
    <xf numFmtId="0" fontId="19" fillId="0" borderId="159" xfId="1820" applyFont="1" applyBorder="1" applyAlignment="1">
      <alignment horizontal="center"/>
    </xf>
    <xf numFmtId="2" fontId="19" fillId="39" borderId="0" xfId="0" applyNumberFormat="1" applyFont="1" applyFill="1" applyAlignment="1">
      <alignment horizontal="center"/>
    </xf>
    <xf numFmtId="0" fontId="19" fillId="0" borderId="127" xfId="0" applyFont="1" applyBorder="1"/>
    <xf numFmtId="0" fontId="19" fillId="39" borderId="127" xfId="0" applyFont="1" applyFill="1" applyBorder="1"/>
    <xf numFmtId="2" fontId="19" fillId="0" borderId="9" xfId="1820" applyNumberFormat="1" applyFont="1" applyBorder="1" applyAlignment="1">
      <alignment horizontal="center"/>
    </xf>
    <xf numFmtId="2" fontId="19" fillId="0" borderId="9" xfId="0" applyNumberFormat="1" applyFont="1" applyBorder="1"/>
    <xf numFmtId="0" fontId="19" fillId="0" borderId="9" xfId="0" applyFont="1" applyBorder="1"/>
    <xf numFmtId="0" fontId="19" fillId="39" borderId="9" xfId="0" applyFont="1" applyFill="1" applyBorder="1"/>
    <xf numFmtId="0" fontId="19" fillId="0" borderId="137" xfId="0" applyFont="1" applyBorder="1"/>
    <xf numFmtId="0" fontId="19" fillId="39" borderId="137" xfId="0" applyFont="1" applyFill="1" applyBorder="1"/>
    <xf numFmtId="4" fontId="19" fillId="0" borderId="38" xfId="1820" applyNumberFormat="1" applyFont="1" applyBorder="1" applyAlignment="1">
      <alignment horizontal="center" vertical="center"/>
    </xf>
    <xf numFmtId="2" fontId="19" fillId="0" borderId="43" xfId="1820" applyNumberFormat="1" applyFont="1" applyBorder="1" applyAlignment="1">
      <alignment horizontal="center"/>
    </xf>
    <xf numFmtId="0" fontId="19" fillId="0" borderId="0" xfId="0" applyFont="1"/>
    <xf numFmtId="2" fontId="19" fillId="0" borderId="73" xfId="0" applyNumberFormat="1" applyFont="1" applyBorder="1"/>
    <xf numFmtId="2" fontId="19" fillId="0" borderId="43" xfId="1820" applyNumberFormat="1" applyFont="1" applyBorder="1" applyAlignment="1">
      <alignment horizontal="center" vertical="center"/>
    </xf>
    <xf numFmtId="2" fontId="19" fillId="39" borderId="9" xfId="1820" applyNumberFormat="1" applyFont="1" applyFill="1" applyBorder="1"/>
    <xf numFmtId="4" fontId="19" fillId="0" borderId="55" xfId="1820" applyNumberFormat="1" applyFont="1" applyBorder="1" applyAlignment="1" applyProtection="1">
      <alignment horizontal="center" vertical="center"/>
      <protection locked="0"/>
    </xf>
    <xf numFmtId="0" fontId="19" fillId="39" borderId="55" xfId="1820" applyFont="1" applyFill="1" applyBorder="1"/>
    <xf numFmtId="2" fontId="19" fillId="39" borderId="55" xfId="1820" applyNumberFormat="1" applyFont="1" applyFill="1" applyBorder="1" applyAlignment="1" applyProtection="1">
      <alignment horizontal="center"/>
      <protection locked="0"/>
    </xf>
    <xf numFmtId="0" fontId="19" fillId="39" borderId="73" xfId="0" applyFont="1" applyFill="1" applyBorder="1"/>
    <xf numFmtId="2" fontId="19" fillId="39" borderId="73" xfId="0" applyNumberFormat="1" applyFont="1" applyFill="1" applyBorder="1" applyAlignment="1">
      <alignment horizontal="center" vertical="center"/>
    </xf>
    <xf numFmtId="0" fontId="19" fillId="0" borderId="56" xfId="0" applyFont="1" applyBorder="1"/>
    <xf numFmtId="2" fontId="19" fillId="39" borderId="56" xfId="0" applyNumberFormat="1" applyFont="1" applyFill="1" applyBorder="1"/>
    <xf numFmtId="2" fontId="19" fillId="0" borderId="56" xfId="0" applyNumberFormat="1" applyFont="1" applyBorder="1"/>
    <xf numFmtId="0" fontId="19" fillId="0" borderId="89" xfId="0" applyFont="1" applyBorder="1"/>
    <xf numFmtId="2" fontId="19" fillId="39" borderId="9" xfId="0" applyNumberFormat="1" applyFont="1" applyFill="1" applyBorder="1"/>
    <xf numFmtId="2" fontId="19" fillId="39" borderId="70" xfId="0" applyNumberFormat="1" applyFont="1" applyFill="1" applyBorder="1"/>
    <xf numFmtId="2" fontId="19" fillId="0" borderId="70" xfId="0" applyNumberFormat="1" applyFont="1" applyBorder="1"/>
    <xf numFmtId="169" fontId="19" fillId="0" borderId="0" xfId="1820" applyNumberFormat="1" applyFont="1"/>
    <xf numFmtId="0" fontId="19" fillId="0" borderId="87" xfId="0" applyFont="1" applyBorder="1"/>
    <xf numFmtId="2" fontId="19" fillId="0" borderId="41" xfId="0" applyNumberFormat="1" applyFont="1" applyBorder="1"/>
    <xf numFmtId="2" fontId="19" fillId="0" borderId="0" xfId="1820" applyNumberFormat="1" applyFont="1"/>
    <xf numFmtId="2" fontId="66" fillId="0" borderId="77" xfId="1811" applyNumberFormat="1" applyFont="1" applyBorder="1"/>
    <xf numFmtId="2" fontId="66" fillId="0" borderId="63" xfId="1811" applyNumberFormat="1" applyFont="1" applyBorder="1"/>
    <xf numFmtId="0" fontId="19" fillId="0" borderId="0" xfId="1820" applyFont="1"/>
    <xf numFmtId="43" fontId="19" fillId="39" borderId="0" xfId="0" applyNumberFormat="1" applyFont="1" applyFill="1"/>
    <xf numFmtId="43" fontId="19" fillId="0" borderId="0" xfId="0" applyNumberFormat="1" applyFont="1"/>
    <xf numFmtId="2" fontId="66" fillId="0" borderId="56" xfId="1811" applyNumberFormat="1" applyFont="1" applyBorder="1" applyAlignment="1">
      <alignment wrapText="1"/>
    </xf>
    <xf numFmtId="2" fontId="66" fillId="0" borderId="56" xfId="1811" applyNumberFormat="1" applyFont="1" applyBorder="1"/>
    <xf numFmtId="2" fontId="19" fillId="0" borderId="82" xfId="0" applyNumberFormat="1" applyFont="1" applyBorder="1"/>
    <xf numFmtId="2" fontId="66" fillId="0" borderId="9" xfId="1811" applyNumberFormat="1" applyFont="1" applyBorder="1" applyAlignment="1">
      <alignment wrapText="1"/>
    </xf>
    <xf numFmtId="2" fontId="19" fillId="0" borderId="65" xfId="0" applyNumberFormat="1" applyFont="1" applyBorder="1"/>
    <xf numFmtId="2" fontId="66" fillId="0" borderId="55" xfId="1811" applyNumberFormat="1" applyFont="1" applyBorder="1" applyAlignment="1">
      <alignment wrapText="1"/>
    </xf>
    <xf numFmtId="2" fontId="66" fillId="0" borderId="55" xfId="1811" applyNumberFormat="1" applyFont="1" applyBorder="1"/>
    <xf numFmtId="2" fontId="19" fillId="0" borderId="58" xfId="0" applyNumberFormat="1" applyFont="1" applyBorder="1"/>
    <xf numFmtId="43" fontId="5" fillId="0" borderId="0" xfId="0" applyNumberFormat="1" applyFont="1"/>
    <xf numFmtId="171" fontId="19" fillId="0" borderId="64" xfId="1820" applyNumberFormat="1" applyFont="1" applyBorder="1" applyAlignment="1">
      <alignment horizontal="center" vertical="center"/>
    </xf>
    <xf numFmtId="171" fontId="19" fillId="10" borderId="64" xfId="1820" applyNumberFormat="1" applyFont="1" applyFill="1" applyBorder="1" applyAlignment="1">
      <alignment horizontal="center" vertical="center"/>
    </xf>
    <xf numFmtId="171" fontId="19" fillId="0" borderId="64" xfId="1820" applyNumberFormat="1" applyFont="1" applyBorder="1" applyAlignment="1">
      <alignment horizontal="center"/>
    </xf>
    <xf numFmtId="171" fontId="19" fillId="0" borderId="57" xfId="1820" applyNumberFormat="1" applyFont="1" applyBorder="1" applyAlignment="1">
      <alignment horizontal="center" vertical="center"/>
    </xf>
    <xf numFmtId="171" fontId="19" fillId="38" borderId="92" xfId="1820" applyNumberFormat="1" applyFont="1" applyFill="1" applyBorder="1" applyAlignment="1">
      <alignment horizontal="center" vertical="center"/>
    </xf>
    <xf numFmtId="171" fontId="19" fillId="0" borderId="89" xfId="1820" applyNumberFormat="1" applyFont="1" applyBorder="1" applyAlignment="1">
      <alignment horizontal="center" vertical="center"/>
    </xf>
    <xf numFmtId="171" fontId="19" fillId="0" borderId="78" xfId="1820" applyNumberFormat="1" applyFont="1" applyBorder="1" applyAlignment="1">
      <alignment horizontal="center"/>
    </xf>
    <xf numFmtId="171" fontId="19" fillId="4" borderId="64" xfId="1820" applyNumberFormat="1" applyFont="1" applyFill="1" applyBorder="1" applyAlignment="1">
      <alignment horizontal="center" vertical="center"/>
    </xf>
    <xf numFmtId="171" fontId="19" fillId="39" borderId="64" xfId="0" applyNumberFormat="1" applyFont="1" applyFill="1" applyBorder="1"/>
    <xf numFmtId="171" fontId="19" fillId="0" borderId="64" xfId="0" applyNumberFormat="1" applyFont="1" applyBorder="1"/>
    <xf numFmtId="171" fontId="19" fillId="37" borderId="64" xfId="1820" applyNumberFormat="1" applyFont="1" applyFill="1" applyBorder="1" applyAlignment="1">
      <alignment horizontal="center" vertical="center"/>
    </xf>
    <xf numFmtId="171" fontId="19" fillId="38" borderId="43" xfId="1820" applyNumberFormat="1" applyFont="1" applyFill="1" applyBorder="1" applyAlignment="1">
      <alignment horizontal="center" vertical="center"/>
    </xf>
    <xf numFmtId="171" fontId="19" fillId="0" borderId="57" xfId="0" applyNumberFormat="1" applyFont="1" applyBorder="1"/>
    <xf numFmtId="171" fontId="19" fillId="0" borderId="9" xfId="0" applyNumberFormat="1" applyFont="1" applyBorder="1"/>
    <xf numFmtId="171" fontId="19" fillId="0" borderId="78" xfId="0" applyNumberFormat="1" applyFont="1" applyBorder="1"/>
    <xf numFmtId="171" fontId="19" fillId="0" borderId="0" xfId="0" applyNumberFormat="1" applyFont="1"/>
    <xf numFmtId="171" fontId="19" fillId="39" borderId="98" xfId="0" applyNumberFormat="1" applyFont="1" applyFill="1" applyBorder="1"/>
    <xf numFmtId="171" fontId="19" fillId="0" borderId="88" xfId="0" applyNumberFormat="1" applyFont="1" applyBorder="1"/>
    <xf numFmtId="171" fontId="19" fillId="0" borderId="88" xfId="1820" applyNumberFormat="1" applyFont="1" applyBorder="1" applyAlignment="1">
      <alignment horizontal="center"/>
    </xf>
    <xf numFmtId="171" fontId="19" fillId="0" borderId="88" xfId="1820" applyNumberFormat="1" applyFont="1" applyBorder="1" applyAlignment="1">
      <alignment horizontal="center" vertical="center"/>
    </xf>
    <xf numFmtId="171" fontId="19" fillId="10" borderId="88" xfId="1820" applyNumberFormat="1" applyFont="1" applyFill="1" applyBorder="1" applyAlignment="1">
      <alignment horizontal="center" vertical="center"/>
    </xf>
    <xf numFmtId="171" fontId="19" fillId="0" borderId="95" xfId="1820" applyNumberFormat="1" applyFont="1" applyBorder="1" applyAlignment="1">
      <alignment horizontal="center" vertical="center"/>
    </xf>
    <xf numFmtId="171" fontId="19" fillId="39" borderId="124" xfId="0" applyNumberFormat="1" applyFont="1" applyFill="1" applyBorder="1"/>
    <xf numFmtId="171" fontId="19" fillId="0" borderId="9" xfId="1820" applyNumberFormat="1" applyFont="1" applyBorder="1" applyAlignment="1">
      <alignment horizontal="center" vertical="center"/>
    </xf>
    <xf numFmtId="171" fontId="19" fillId="67" borderId="96" xfId="0" applyNumberFormat="1" applyFont="1" applyFill="1" applyBorder="1" applyAlignment="1">
      <alignment horizontal="right"/>
    </xf>
    <xf numFmtId="171" fontId="19" fillId="0" borderId="156" xfId="1820" applyNumberFormat="1" applyFont="1" applyBorder="1" applyAlignment="1" applyProtection="1">
      <alignment horizontal="center" vertical="center"/>
      <protection locked="0"/>
    </xf>
    <xf numFmtId="171" fontId="19" fillId="39" borderId="98" xfId="1820" applyNumberFormat="1" applyFont="1" applyFill="1" applyBorder="1" applyAlignment="1">
      <alignment horizontal="center" vertical="center"/>
    </xf>
    <xf numFmtId="169" fontId="79" fillId="43" borderId="105" xfId="1820" applyNumberFormat="1" applyFont="1" applyFill="1" applyBorder="1" applyAlignment="1">
      <alignment horizontal="center" vertical="center"/>
    </xf>
    <xf numFmtId="0" fontId="19" fillId="39" borderId="0" xfId="0" applyFont="1" applyFill="1" applyAlignment="1">
      <alignment horizontal="center"/>
    </xf>
    <xf numFmtId="0" fontId="3" fillId="35" borderId="137" xfId="1820" applyFont="1" applyFill="1" applyBorder="1"/>
    <xf numFmtId="4" fontId="3" fillId="0" borderId="0" xfId="1820" applyNumberFormat="1" applyFont="1" applyAlignment="1">
      <alignment horizontal="center" vertical="center"/>
    </xf>
    <xf numFmtId="4" fontId="5" fillId="29" borderId="0" xfId="1820" applyNumberFormat="1" applyFont="1" applyFill="1" applyAlignment="1">
      <alignment horizontal="center" vertical="center" wrapText="1"/>
    </xf>
    <xf numFmtId="168" fontId="3" fillId="34" borderId="43" xfId="1820" applyNumberFormat="1" applyFont="1" applyFill="1" applyBorder="1" applyAlignment="1" applyProtection="1">
      <alignment horizontal="center" vertical="center"/>
      <protection locked="0"/>
    </xf>
    <xf numFmtId="0" fontId="3" fillId="66" borderId="106" xfId="1820" applyFont="1" applyFill="1" applyBorder="1"/>
    <xf numFmtId="0" fontId="3" fillId="35" borderId="106" xfId="1820" applyFont="1" applyFill="1" applyBorder="1"/>
    <xf numFmtId="0" fontId="3" fillId="35" borderId="132" xfId="1820" applyFont="1" applyFill="1" applyBorder="1"/>
    <xf numFmtId="169" fontId="3" fillId="45" borderId="43" xfId="1820" applyNumberFormat="1" applyFont="1" applyFill="1" applyBorder="1" applyAlignment="1">
      <alignment horizontal="center" vertical="center"/>
    </xf>
    <xf numFmtId="1" fontId="72" fillId="36" borderId="56" xfId="1821" applyNumberFormat="1" applyFont="1" applyFill="1" applyBorder="1" applyAlignment="1">
      <alignment horizontal="center" vertical="center" wrapText="1"/>
    </xf>
    <xf numFmtId="4" fontId="5" fillId="29" borderId="9" xfId="1820" applyNumberFormat="1" applyFont="1" applyFill="1" applyBorder="1" applyAlignment="1">
      <alignment horizontal="center" vertical="center" wrapText="1"/>
    </xf>
    <xf numFmtId="0" fontId="5" fillId="29" borderId="9" xfId="1820" applyFont="1" applyFill="1" applyBorder="1" applyAlignment="1">
      <alignment horizontal="center" vertical="center"/>
    </xf>
    <xf numFmtId="0" fontId="3" fillId="0" borderId="41" xfId="1820" applyFont="1" applyBorder="1" applyAlignment="1">
      <alignment horizontal="center"/>
    </xf>
    <xf numFmtId="0" fontId="3" fillId="0" borderId="139" xfId="1820" applyFont="1" applyBorder="1" applyAlignment="1">
      <alignment horizontal="center"/>
    </xf>
    <xf numFmtId="0" fontId="3" fillId="0" borderId="128" xfId="1820" applyFont="1" applyBorder="1" applyAlignment="1">
      <alignment horizontal="center"/>
    </xf>
    <xf numFmtId="4" fontId="3" fillId="36" borderId="9" xfId="1820" applyNumberFormat="1" applyFont="1" applyFill="1" applyBorder="1" applyAlignment="1">
      <alignment horizontal="center"/>
    </xf>
    <xf numFmtId="4" fontId="3" fillId="0" borderId="9" xfId="1820" applyNumberFormat="1" applyFont="1" applyBorder="1" applyAlignment="1">
      <alignment horizontal="center"/>
    </xf>
    <xf numFmtId="4" fontId="3" fillId="0" borderId="24" xfId="1820" applyNumberFormat="1" applyFont="1" applyBorder="1" applyAlignment="1">
      <alignment horizontal="center"/>
    </xf>
    <xf numFmtId="4" fontId="3" fillId="0" borderId="158" xfId="1820" applyNumberFormat="1" applyFont="1" applyBorder="1" applyAlignment="1">
      <alignment horizontal="center"/>
    </xf>
    <xf numFmtId="4" fontId="3" fillId="0" borderId="146" xfId="1820" applyNumberFormat="1" applyFont="1" applyBorder="1" applyAlignment="1">
      <alignment horizontal="center"/>
    </xf>
    <xf numFmtId="4" fontId="3" fillId="0" borderId="73" xfId="1820" applyNumberFormat="1" applyFont="1" applyBorder="1" applyAlignment="1">
      <alignment horizontal="center" vertical="center"/>
    </xf>
    <xf numFmtId="0" fontId="3" fillId="36" borderId="158" xfId="1820" applyFont="1" applyFill="1" applyBorder="1" applyAlignment="1">
      <alignment horizontal="center"/>
    </xf>
    <xf numFmtId="0" fontId="3" fillId="0" borderId="98" xfId="1820" applyFont="1" applyBorder="1" applyAlignment="1">
      <alignment horizontal="center"/>
    </xf>
    <xf numFmtId="0" fontId="3" fillId="68" borderId="0" xfId="1820" applyFont="1" applyFill="1" applyAlignment="1">
      <alignment horizontal="center" vertical="center"/>
    </xf>
    <xf numFmtId="168" fontId="3" fillId="34" borderId="9" xfId="1820" applyNumberFormat="1" applyFont="1" applyFill="1" applyBorder="1" applyAlignment="1" applyProtection="1">
      <alignment horizontal="center" vertical="center"/>
      <protection locked="0"/>
    </xf>
    <xf numFmtId="4" fontId="6" fillId="39" borderId="148" xfId="1820" applyNumberFormat="1" applyFill="1" applyBorder="1" applyAlignment="1">
      <alignment horizontal="center"/>
    </xf>
    <xf numFmtId="4" fontId="6" fillId="39" borderId="139" xfId="1820" applyNumberFormat="1" applyFill="1" applyBorder="1" applyAlignment="1">
      <alignment horizontal="center" vertical="center"/>
    </xf>
    <xf numFmtId="4" fontId="6" fillId="39" borderId="160" xfId="1820" applyNumberFormat="1" applyFill="1" applyBorder="1" applyAlignment="1">
      <alignment horizontal="center" vertical="center"/>
    </xf>
    <xf numFmtId="0" fontId="6" fillId="0" borderId="111" xfId="1820" applyBorder="1" applyAlignment="1">
      <alignment horizontal="center" vertical="center" wrapText="1"/>
    </xf>
    <xf numFmtId="4" fontId="54" fillId="0" borderId="139" xfId="1820" applyNumberFormat="1" applyFont="1" applyBorder="1" applyAlignment="1">
      <alignment horizontal="center" vertical="center"/>
    </xf>
    <xf numFmtId="4" fontId="3" fillId="0" borderId="140" xfId="1820" applyNumberFormat="1" applyFont="1" applyBorder="1" applyAlignment="1">
      <alignment horizontal="center"/>
    </xf>
    <xf numFmtId="0" fontId="6" fillId="0" borderId="141" xfId="1820" applyBorder="1" applyAlignment="1">
      <alignment horizontal="center"/>
    </xf>
    <xf numFmtId="4" fontId="3" fillId="0" borderId="161" xfId="1820" applyNumberFormat="1" applyFont="1" applyBorder="1" applyAlignment="1">
      <alignment horizontal="center" vertical="center"/>
    </xf>
    <xf numFmtId="0" fontId="6" fillId="0" borderId="0" xfId="1820" applyAlignment="1">
      <alignment horizontal="center" vertical="center" wrapText="1"/>
    </xf>
    <xf numFmtId="4" fontId="19" fillId="29" borderId="142" xfId="1820" applyNumberFormat="1" applyFont="1" applyFill="1" applyBorder="1" applyAlignment="1">
      <alignment horizontal="center" vertical="center" wrapText="1"/>
    </xf>
    <xf numFmtId="0" fontId="19" fillId="0" borderId="87" xfId="1820" applyFont="1" applyBorder="1" applyAlignment="1">
      <alignment horizontal="center" vertical="center"/>
    </xf>
    <xf numFmtId="0" fontId="19" fillId="0" borderId="80" xfId="1820" applyFont="1" applyBorder="1" applyAlignment="1">
      <alignment horizontal="center" vertical="center"/>
    </xf>
    <xf numFmtId="0" fontId="92" fillId="10" borderId="24" xfId="1820" applyFont="1" applyFill="1" applyBorder="1" applyAlignment="1">
      <alignment horizontal="center" vertical="center"/>
    </xf>
    <xf numFmtId="0" fontId="81" fillId="0" borderId="0" xfId="0" applyFont="1"/>
    <xf numFmtId="0" fontId="81" fillId="0" borderId="0" xfId="0" applyFont="1" applyAlignment="1">
      <alignment horizontal="center"/>
    </xf>
    <xf numFmtId="0" fontId="81" fillId="0" borderId="9" xfId="0" applyFont="1" applyBorder="1" applyAlignment="1">
      <alignment horizontal="center"/>
    </xf>
    <xf numFmtId="0" fontId="81" fillId="0" borderId="9" xfId="0" applyFont="1" applyBorder="1"/>
    <xf numFmtId="0" fontId="81" fillId="0" borderId="9" xfId="0" quotePrefix="1" applyFont="1" applyBorder="1"/>
    <xf numFmtId="0" fontId="80" fillId="0" borderId="9" xfId="0" applyFont="1" applyBorder="1"/>
    <xf numFmtId="0" fontId="81" fillId="69" borderId="0" xfId="0" applyFont="1" applyFill="1"/>
    <xf numFmtId="0" fontId="82" fillId="25" borderId="9" xfId="0" applyFont="1" applyFill="1" applyBorder="1" applyAlignment="1">
      <alignment horizontal="center"/>
    </xf>
    <xf numFmtId="0" fontId="82" fillId="25" borderId="9" xfId="0" applyFont="1" applyFill="1" applyBorder="1"/>
    <xf numFmtId="0" fontId="82" fillId="25" borderId="9" xfId="0" applyFont="1" applyFill="1" applyBorder="1" applyAlignment="1">
      <alignment horizontal="right"/>
    </xf>
    <xf numFmtId="2" fontId="81" fillId="0" borderId="9" xfId="0" applyNumberFormat="1" applyFont="1" applyBorder="1"/>
    <xf numFmtId="1" fontId="81" fillId="0" borderId="9" xfId="0" applyNumberFormat="1" applyFont="1" applyBorder="1"/>
    <xf numFmtId="1" fontId="82" fillId="25" borderId="9" xfId="0" applyNumberFormat="1" applyFont="1" applyFill="1" applyBorder="1"/>
    <xf numFmtId="2" fontId="82" fillId="25" borderId="9" xfId="0" applyNumberFormat="1" applyFont="1" applyFill="1" applyBorder="1"/>
    <xf numFmtId="2" fontId="93" fillId="0" borderId="9" xfId="0" applyNumberFormat="1" applyFont="1" applyBorder="1"/>
    <xf numFmtId="0" fontId="82" fillId="0" borderId="9" xfId="0" applyFont="1" applyBorder="1" applyAlignment="1">
      <alignment horizontal="center"/>
    </xf>
    <xf numFmtId="0" fontId="82" fillId="0" borderId="9" xfId="0" applyFont="1" applyBorder="1"/>
    <xf numFmtId="0" fontId="82" fillId="0" borderId="9" xfId="0" applyFont="1" applyBorder="1" applyAlignment="1">
      <alignment horizontal="right"/>
    </xf>
    <xf numFmtId="2" fontId="82" fillId="0" borderId="9" xfId="0" applyNumberFormat="1" applyFont="1" applyBorder="1"/>
    <xf numFmtId="2" fontId="81" fillId="69" borderId="0" xfId="0" applyNumberFormat="1" applyFont="1" applyFill="1"/>
    <xf numFmtId="2" fontId="93" fillId="25" borderId="9" xfId="0" applyNumberFormat="1" applyFont="1" applyFill="1" applyBorder="1"/>
    <xf numFmtId="10" fontId="0" fillId="0" borderId="0" xfId="1916" applyNumberFormat="1" applyFont="1"/>
    <xf numFmtId="1" fontId="0" fillId="0" borderId="0" xfId="0" applyNumberFormat="1"/>
    <xf numFmtId="166" fontId="0" fillId="0" borderId="0" xfId="0" applyNumberFormat="1"/>
    <xf numFmtId="0" fontId="88" fillId="0" borderId="0" xfId="0" applyFont="1"/>
    <xf numFmtId="10" fontId="88" fillId="0" borderId="0" xfId="1916" applyNumberFormat="1" applyFont="1"/>
    <xf numFmtId="1" fontId="88" fillId="0" borderId="0" xfId="0" applyNumberFormat="1" applyFont="1"/>
    <xf numFmtId="2" fontId="88" fillId="0" borderId="0" xfId="0" applyNumberFormat="1" applyFont="1"/>
    <xf numFmtId="0" fontId="89" fillId="0" borderId="0" xfId="0" applyFont="1"/>
    <xf numFmtId="2" fontId="81" fillId="0" borderId="9" xfId="0" applyNumberFormat="1" applyFont="1" applyBorder="1" applyAlignment="1">
      <alignment horizontal="left"/>
    </xf>
    <xf numFmtId="0" fontId="82" fillId="25" borderId="55" xfId="0" applyFont="1" applyFill="1" applyBorder="1" applyAlignment="1">
      <alignment horizontal="center"/>
    </xf>
    <xf numFmtId="0" fontId="82" fillId="25" borderId="60" xfId="0" applyFont="1" applyFill="1" applyBorder="1" applyAlignment="1">
      <alignment horizontal="center"/>
    </xf>
    <xf numFmtId="0" fontId="83" fillId="25" borderId="55" xfId="0" applyFont="1" applyFill="1" applyBorder="1" applyAlignment="1">
      <alignment horizontal="center"/>
    </xf>
    <xf numFmtId="0" fontId="82" fillId="25" borderId="56" xfId="0" applyFont="1" applyFill="1" applyBorder="1" applyAlignment="1">
      <alignment horizontal="center"/>
    </xf>
    <xf numFmtId="0" fontId="82" fillId="25" borderId="83" xfId="0" applyFont="1" applyFill="1" applyBorder="1" applyAlignment="1">
      <alignment horizontal="center"/>
    </xf>
    <xf numFmtId="2" fontId="94" fillId="0" borderId="9" xfId="0" applyNumberFormat="1" applyFont="1" applyBorder="1"/>
    <xf numFmtId="2" fontId="93" fillId="70" borderId="9" xfId="0" applyNumberFormat="1" applyFont="1" applyFill="1" applyBorder="1"/>
    <xf numFmtId="0" fontId="93" fillId="70" borderId="9" xfId="0" applyFont="1" applyFill="1" applyBorder="1" applyAlignment="1">
      <alignment horizontal="center"/>
    </xf>
    <xf numFmtId="0" fontId="93" fillId="70" borderId="9" xfId="0" applyFont="1" applyFill="1" applyBorder="1"/>
    <xf numFmtId="1" fontId="93" fillId="70" borderId="9" xfId="0" applyNumberFormat="1" applyFont="1" applyFill="1" applyBorder="1"/>
    <xf numFmtId="0" fontId="95" fillId="32" borderId="9" xfId="0" applyFont="1" applyFill="1" applyBorder="1" applyAlignment="1">
      <alignment horizontal="center"/>
    </xf>
    <xf numFmtId="2" fontId="81" fillId="56" borderId="9" xfId="0" applyNumberFormat="1" applyFont="1" applyFill="1" applyBorder="1"/>
    <xf numFmtId="0" fontId="96" fillId="32" borderId="9" xfId="0" applyFont="1" applyFill="1" applyBorder="1" applyAlignment="1">
      <alignment horizontal="center"/>
    </xf>
    <xf numFmtId="0" fontId="82" fillId="56" borderId="55" xfId="0" applyFont="1" applyFill="1" applyBorder="1" applyAlignment="1">
      <alignment horizontal="center"/>
    </xf>
    <xf numFmtId="0" fontId="82" fillId="56" borderId="56" xfId="0" applyFont="1" applyFill="1" applyBorder="1" applyAlignment="1">
      <alignment horizontal="center"/>
    </xf>
    <xf numFmtId="2" fontId="81" fillId="0" borderId="66" xfId="0" applyNumberFormat="1" applyFont="1" applyBorder="1"/>
    <xf numFmtId="2" fontId="82" fillId="0" borderId="66" xfId="0" applyNumberFormat="1" applyFont="1" applyBorder="1"/>
    <xf numFmtId="2" fontId="82" fillId="25" borderId="66" xfId="0" applyNumberFormat="1" applyFont="1" applyFill="1" applyBorder="1"/>
    <xf numFmtId="2" fontId="93" fillId="70" borderId="66" xfId="0" applyNumberFormat="1" applyFont="1" applyFill="1" applyBorder="1"/>
    <xf numFmtId="0" fontId="83" fillId="25" borderId="59" xfId="0" applyFont="1" applyFill="1" applyBorder="1" applyAlignment="1">
      <alignment horizontal="center"/>
    </xf>
    <xf numFmtId="0" fontId="82" fillId="25" borderId="77" xfId="0" applyFont="1" applyFill="1" applyBorder="1" applyAlignment="1">
      <alignment horizontal="center"/>
    </xf>
    <xf numFmtId="2" fontId="81" fillId="0" borderId="63" xfId="0" applyNumberFormat="1" applyFont="1" applyBorder="1"/>
    <xf numFmtId="2" fontId="82" fillId="0" borderId="63" xfId="0" applyNumberFormat="1" applyFont="1" applyBorder="1"/>
    <xf numFmtId="2" fontId="82" fillId="25" borderId="63" xfId="0" applyNumberFormat="1" applyFont="1" applyFill="1" applyBorder="1"/>
    <xf numFmtId="2" fontId="93" fillId="70" borderId="63" xfId="0" applyNumberFormat="1" applyFont="1" applyFill="1" applyBorder="1"/>
    <xf numFmtId="2" fontId="81" fillId="56" borderId="156" xfId="0" applyNumberFormat="1" applyFont="1" applyFill="1" applyBorder="1"/>
    <xf numFmtId="2" fontId="81" fillId="56" borderId="100" xfId="0" applyNumberFormat="1" applyFont="1" applyFill="1" applyBorder="1"/>
    <xf numFmtId="2" fontId="82" fillId="56" borderId="156" xfId="0" applyNumberFormat="1" applyFont="1" applyFill="1" applyBorder="1"/>
    <xf numFmtId="2" fontId="82" fillId="56" borderId="100" xfId="0" applyNumberFormat="1" applyFont="1" applyFill="1" applyBorder="1"/>
    <xf numFmtId="2" fontId="81" fillId="56" borderId="156" xfId="0" applyNumberFormat="1" applyFont="1" applyFill="1" applyBorder="1" applyAlignment="1">
      <alignment horizontal="left"/>
    </xf>
    <xf numFmtId="2" fontId="93" fillId="56" borderId="156" xfId="0" applyNumberFormat="1" applyFont="1" applyFill="1" applyBorder="1"/>
    <xf numFmtId="2" fontId="93" fillId="56" borderId="100" xfId="0" applyNumberFormat="1" applyFont="1" applyFill="1" applyBorder="1"/>
    <xf numFmtId="2" fontId="93" fillId="56" borderId="83" xfId="0" applyNumberFormat="1" applyFont="1" applyFill="1" applyBorder="1"/>
    <xf numFmtId="2" fontId="93" fillId="56" borderId="77" xfId="0" applyNumberFormat="1" applyFont="1" applyFill="1" applyBorder="1"/>
    <xf numFmtId="1" fontId="81" fillId="0" borderId="0" xfId="0" applyNumberFormat="1" applyFont="1"/>
    <xf numFmtId="0" fontId="0" fillId="56" borderId="0" xfId="0" applyFill="1"/>
    <xf numFmtId="171" fontId="81" fillId="0" borderId="0" xfId="0" applyNumberFormat="1" applyFont="1"/>
    <xf numFmtId="2" fontId="81" fillId="0" borderId="0" xfId="0" applyNumberFormat="1" applyFont="1"/>
    <xf numFmtId="0" fontId="82" fillId="71" borderId="55" xfId="0" applyFont="1" applyFill="1" applyBorder="1" applyAlignment="1">
      <alignment horizontal="center"/>
    </xf>
    <xf numFmtId="0" fontId="82" fillId="71" borderId="56" xfId="0" applyFont="1" applyFill="1" applyBorder="1" applyAlignment="1">
      <alignment horizontal="center"/>
    </xf>
    <xf numFmtId="164" fontId="81" fillId="0" borderId="0" xfId="0" applyNumberFormat="1" applyFont="1"/>
    <xf numFmtId="164" fontId="82" fillId="0" borderId="9" xfId="0" applyNumberFormat="1" applyFont="1" applyBorder="1" applyAlignment="1">
      <alignment horizontal="center"/>
    </xf>
    <xf numFmtId="164" fontId="82" fillId="0" borderId="9" xfId="0" applyNumberFormat="1" applyFont="1" applyBorder="1"/>
    <xf numFmtId="164" fontId="81" fillId="0" borderId="69" xfId="0" applyNumberFormat="1" applyFont="1" applyBorder="1"/>
    <xf numFmtId="164" fontId="81" fillId="0" borderId="63" xfId="0" applyNumberFormat="1" applyFont="1" applyBorder="1"/>
    <xf numFmtId="164" fontId="82" fillId="25" borderId="55" xfId="0" applyNumberFormat="1" applyFont="1" applyFill="1" applyBorder="1" applyAlignment="1">
      <alignment horizontal="center"/>
    </xf>
    <xf numFmtId="164" fontId="82" fillId="25" borderId="60" xfId="0" applyNumberFormat="1" applyFont="1" applyFill="1" applyBorder="1" applyAlignment="1">
      <alignment horizontal="center"/>
    </xf>
    <xf numFmtId="164" fontId="83" fillId="25" borderId="55" xfId="0" applyNumberFormat="1" applyFont="1" applyFill="1" applyBorder="1" applyAlignment="1">
      <alignment horizontal="center"/>
    </xf>
    <xf numFmtId="164" fontId="82" fillId="25" borderId="56" xfId="0" applyNumberFormat="1" applyFont="1" applyFill="1" applyBorder="1" applyAlignment="1">
      <alignment horizontal="center"/>
    </xf>
    <xf numFmtId="164" fontId="82" fillId="25" borderId="83" xfId="0" applyNumberFormat="1" applyFont="1" applyFill="1" applyBorder="1" applyAlignment="1">
      <alignment horizontal="center"/>
    </xf>
    <xf numFmtId="164" fontId="93" fillId="0" borderId="9" xfId="0" applyNumberFormat="1" applyFont="1" applyBorder="1" applyAlignment="1">
      <alignment horizontal="center"/>
    </xf>
    <xf numFmtId="164" fontId="93" fillId="0" borderId="9" xfId="0" applyNumberFormat="1" applyFont="1" applyBorder="1"/>
    <xf numFmtId="164" fontId="81" fillId="0" borderId="9" xfId="0" applyNumberFormat="1" applyFont="1" applyBorder="1" applyAlignment="1">
      <alignment horizontal="center"/>
    </xf>
    <xf numFmtId="164" fontId="81" fillId="0" borderId="9" xfId="0" applyNumberFormat="1" applyFont="1" applyBorder="1"/>
    <xf numFmtId="164" fontId="93" fillId="70" borderId="9" xfId="0" applyNumberFormat="1" applyFont="1" applyFill="1" applyBorder="1" applyAlignment="1">
      <alignment horizontal="center"/>
    </xf>
    <xf numFmtId="164" fontId="93" fillId="70" borderId="9" xfId="0" applyNumberFormat="1" applyFont="1" applyFill="1" applyBorder="1"/>
    <xf numFmtId="164" fontId="81" fillId="69" borderId="0" xfId="0" applyNumberFormat="1" applyFont="1" applyFill="1"/>
    <xf numFmtId="164" fontId="81" fillId="0" borderId="0" xfId="0" applyNumberFormat="1" applyFont="1" applyAlignment="1">
      <alignment horizontal="center"/>
    </xf>
    <xf numFmtId="164" fontId="85" fillId="0" borderId="0" xfId="0" applyNumberFormat="1" applyFont="1"/>
    <xf numFmtId="174" fontId="82" fillId="0" borderId="9" xfId="0" applyNumberFormat="1" applyFont="1" applyBorder="1"/>
    <xf numFmtId="174" fontId="93" fillId="0" borderId="9" xfId="0" applyNumberFormat="1" applyFont="1" applyBorder="1"/>
    <xf numFmtId="174" fontId="93" fillId="70" borderId="9" xfId="0" applyNumberFormat="1" applyFont="1" applyFill="1" applyBorder="1"/>
    <xf numFmtId="174" fontId="82" fillId="0" borderId="9" xfId="0" applyNumberFormat="1" applyFont="1" applyBorder="1" applyAlignment="1">
      <alignment horizontal="right"/>
    </xf>
    <xf numFmtId="164" fontId="95" fillId="72" borderId="9" xfId="0" applyNumberFormat="1" applyFont="1" applyFill="1" applyBorder="1" applyAlignment="1">
      <alignment horizontal="center"/>
    </xf>
    <xf numFmtId="164" fontId="83" fillId="25" borderId="60" xfId="0" applyNumberFormat="1" applyFont="1" applyFill="1" applyBorder="1" applyAlignment="1">
      <alignment horizontal="center"/>
    </xf>
    <xf numFmtId="174" fontId="82" fillId="0" borderId="56" xfId="0" applyNumberFormat="1" applyFont="1" applyBorder="1" applyAlignment="1">
      <alignment horizontal="right"/>
    </xf>
    <xf numFmtId="164" fontId="97" fillId="25" borderId="55" xfId="0" applyNumberFormat="1" applyFont="1" applyFill="1" applyBorder="1" applyAlignment="1">
      <alignment horizontal="center"/>
    </xf>
    <xf numFmtId="164" fontId="97" fillId="25" borderId="70" xfId="0" applyNumberFormat="1" applyFont="1" applyFill="1" applyBorder="1" applyAlignment="1">
      <alignment horizontal="center"/>
    </xf>
    <xf numFmtId="164" fontId="93" fillId="25" borderId="56" xfId="0" applyNumberFormat="1" applyFont="1" applyFill="1" applyBorder="1" applyAlignment="1">
      <alignment horizontal="center"/>
    </xf>
    <xf numFmtId="0" fontId="99" fillId="0" borderId="0" xfId="1815" applyFont="1"/>
    <xf numFmtId="0" fontId="83" fillId="0" borderId="0" xfId="1815" applyFont="1"/>
    <xf numFmtId="0" fontId="100" fillId="0" borderId="0" xfId="1815" applyFont="1"/>
    <xf numFmtId="2" fontId="100" fillId="0" borderId="0" xfId="1815" applyNumberFormat="1" applyFont="1"/>
    <xf numFmtId="0" fontId="83" fillId="0" borderId="0" xfId="2073" applyFont="1" applyAlignment="1">
      <alignment vertical="top"/>
    </xf>
    <xf numFmtId="0" fontId="86" fillId="0" borderId="0" xfId="2073" applyFont="1" applyAlignment="1">
      <alignment vertical="top"/>
    </xf>
    <xf numFmtId="0" fontId="81" fillId="0" borderId="0" xfId="1815" applyFont="1"/>
    <xf numFmtId="0" fontId="82" fillId="0" borderId="0" xfId="1815" applyFont="1"/>
    <xf numFmtId="0" fontId="81" fillId="0" borderId="9" xfId="1815" applyFont="1" applyBorder="1" applyAlignment="1">
      <alignment horizontal="center"/>
    </xf>
    <xf numFmtId="0" fontId="81" fillId="0" borderId="9" xfId="1815" applyFont="1" applyBorder="1"/>
    <xf numFmtId="1" fontId="81" fillId="0" borderId="9" xfId="1815" applyNumberFormat="1" applyFont="1" applyBorder="1" applyAlignment="1">
      <alignment horizontal="right"/>
    </xf>
    <xf numFmtId="2" fontId="81" fillId="0" borderId="9" xfId="1815" applyNumberFormat="1" applyFont="1" applyBorder="1" applyAlignment="1">
      <alignment horizontal="right"/>
    </xf>
    <xf numFmtId="1" fontId="99" fillId="0" borderId="0" xfId="1815" applyNumberFormat="1" applyFont="1"/>
    <xf numFmtId="0" fontId="22" fillId="0" borderId="9" xfId="1815" applyFont="1" applyBorder="1"/>
    <xf numFmtId="0" fontId="99" fillId="0" borderId="0" xfId="1815" applyFont="1" applyAlignment="1">
      <alignment horizontal="center"/>
    </xf>
    <xf numFmtId="0" fontId="81" fillId="0" borderId="0" xfId="1815" applyFont="1" applyAlignment="1">
      <alignment horizontal="center"/>
    </xf>
    <xf numFmtId="1" fontId="81" fillId="0" borderId="0" xfId="1815" applyNumberFormat="1" applyFont="1" applyAlignment="1">
      <alignment horizontal="right"/>
    </xf>
    <xf numFmtId="2" fontId="81" fillId="0" borderId="0" xfId="1815" applyNumberFormat="1" applyFont="1" applyAlignment="1">
      <alignment horizontal="right"/>
    </xf>
    <xf numFmtId="0" fontId="81" fillId="0" borderId="93" xfId="1815" applyFont="1" applyBorder="1"/>
    <xf numFmtId="1" fontId="81" fillId="0" borderId="93" xfId="1815" applyNumberFormat="1" applyFont="1" applyBorder="1" applyAlignment="1">
      <alignment horizontal="right"/>
    </xf>
    <xf numFmtId="0" fontId="81" fillId="0" borderId="93" xfId="1815" applyFont="1" applyBorder="1" applyAlignment="1">
      <alignment horizontal="center"/>
    </xf>
    <xf numFmtId="1" fontId="81" fillId="0" borderId="94" xfId="1815" applyNumberFormat="1" applyFont="1" applyBorder="1" applyAlignment="1">
      <alignment horizontal="right"/>
    </xf>
    <xf numFmtId="1" fontId="81" fillId="0" borderId="65" xfId="1815" applyNumberFormat="1" applyFont="1" applyBorder="1" applyAlignment="1">
      <alignment horizontal="right"/>
    </xf>
    <xf numFmtId="2" fontId="81" fillId="0" borderId="65" xfId="1815" applyNumberFormat="1" applyFont="1" applyBorder="1" applyAlignment="1">
      <alignment horizontal="right"/>
    </xf>
    <xf numFmtId="2" fontId="81" fillId="0" borderId="162" xfId="1815" applyNumberFormat="1" applyFont="1" applyBorder="1" applyAlignment="1">
      <alignment horizontal="right"/>
    </xf>
    <xf numFmtId="0" fontId="81" fillId="0" borderId="90" xfId="1815" applyFont="1" applyBorder="1"/>
    <xf numFmtId="1" fontId="81" fillId="0" borderId="90" xfId="1815" applyNumberFormat="1" applyFont="1" applyBorder="1" applyAlignment="1">
      <alignment horizontal="right"/>
    </xf>
    <xf numFmtId="0" fontId="81" fillId="0" borderId="90" xfId="1815" applyFont="1" applyBorder="1" applyAlignment="1">
      <alignment horizontal="center"/>
    </xf>
    <xf numFmtId="2" fontId="81" fillId="0" borderId="91" xfId="1815" applyNumberFormat="1" applyFont="1" applyBorder="1" applyAlignment="1">
      <alignment horizontal="right"/>
    </xf>
    <xf numFmtId="1" fontId="81" fillId="0" borderId="91" xfId="1815" applyNumberFormat="1" applyFont="1" applyBorder="1" applyAlignment="1">
      <alignment horizontal="right"/>
    </xf>
    <xf numFmtId="0" fontId="81" fillId="0" borderId="0" xfId="1815" applyFont="1" applyAlignment="1">
      <alignment horizontal="left"/>
    </xf>
    <xf numFmtId="2" fontId="81" fillId="0" borderId="94" xfId="1815" applyNumberFormat="1" applyFont="1" applyBorder="1" applyAlignment="1">
      <alignment horizontal="right"/>
    </xf>
    <xf numFmtId="0" fontId="82" fillId="75" borderId="90" xfId="1815" applyFont="1" applyFill="1" applyBorder="1" applyAlignment="1">
      <alignment horizontal="center"/>
    </xf>
    <xf numFmtId="0" fontId="101" fillId="0" borderId="0" xfId="1815" applyFont="1"/>
    <xf numFmtId="0" fontId="82" fillId="0" borderId="9" xfId="1815" applyFont="1" applyBorder="1" applyAlignment="1">
      <alignment horizontal="center" wrapText="1"/>
    </xf>
    <xf numFmtId="0" fontId="83" fillId="0" borderId="9" xfId="1815" applyFont="1" applyBorder="1" applyAlignment="1">
      <alignment horizontal="center" wrapText="1"/>
    </xf>
    <xf numFmtId="0" fontId="81" fillId="0" borderId="90" xfId="0" applyFont="1" applyBorder="1"/>
    <xf numFmtId="0" fontId="81" fillId="0" borderId="162" xfId="1815" applyFont="1" applyBorder="1" applyAlignment="1">
      <alignment horizontal="center"/>
    </xf>
    <xf numFmtId="0" fontId="81" fillId="0" borderId="137" xfId="1815" applyFont="1" applyBorder="1" applyAlignment="1">
      <alignment horizontal="center"/>
    </xf>
    <xf numFmtId="0" fontId="81" fillId="0" borderId="85" xfId="1815" applyFont="1" applyBorder="1" applyAlignment="1">
      <alignment horizontal="center"/>
    </xf>
    <xf numFmtId="0" fontId="81" fillId="0" borderId="137" xfId="1815" applyFont="1" applyBorder="1"/>
    <xf numFmtId="1" fontId="81" fillId="0" borderId="137" xfId="1815" applyNumberFormat="1" applyFont="1" applyBorder="1" applyAlignment="1">
      <alignment horizontal="right"/>
    </xf>
    <xf numFmtId="2" fontId="81" fillId="0" borderId="85" xfId="1815" applyNumberFormat="1" applyFont="1" applyBorder="1" applyAlignment="1">
      <alignment horizontal="right"/>
    </xf>
    <xf numFmtId="0" fontId="100" fillId="0" borderId="90" xfId="1815" applyFont="1" applyBorder="1"/>
    <xf numFmtId="0" fontId="82" fillId="0" borderId="93" xfId="1815" applyFont="1" applyBorder="1" applyAlignment="1">
      <alignment horizontal="left"/>
    </xf>
    <xf numFmtId="0" fontId="99" fillId="0" borderId="127" xfId="1815" applyFont="1" applyBorder="1"/>
    <xf numFmtId="0" fontId="99" fillId="0" borderId="142" xfId="1815" applyFont="1" applyBorder="1"/>
    <xf numFmtId="0" fontId="81" fillId="0" borderId="162" xfId="1815" applyFont="1" applyBorder="1"/>
    <xf numFmtId="0" fontId="82" fillId="74" borderId="9" xfId="1815" applyFont="1" applyFill="1" applyBorder="1" applyAlignment="1">
      <alignment horizontal="center" wrapText="1"/>
    </xf>
    <xf numFmtId="0" fontId="83" fillId="74" borderId="9" xfId="1815" applyFont="1" applyFill="1" applyBorder="1" applyAlignment="1">
      <alignment horizontal="center" wrapText="1"/>
    </xf>
    <xf numFmtId="0" fontId="81" fillId="74" borderId="9" xfId="1815" applyFont="1" applyFill="1" applyBorder="1" applyAlignment="1">
      <alignment horizontal="center"/>
    </xf>
    <xf numFmtId="0" fontId="81" fillId="74" borderId="9" xfId="1815" applyFont="1" applyFill="1" applyBorder="1"/>
    <xf numFmtId="1" fontId="81" fillId="74" borderId="9" xfId="1815" applyNumberFormat="1" applyFont="1" applyFill="1" applyBorder="1" applyAlignment="1">
      <alignment horizontal="right"/>
    </xf>
    <xf numFmtId="0" fontId="81" fillId="74" borderId="0" xfId="1815" applyFont="1" applyFill="1" applyAlignment="1">
      <alignment horizontal="center"/>
    </xf>
    <xf numFmtId="0" fontId="81" fillId="74" borderId="0" xfId="1815" applyFont="1" applyFill="1"/>
    <xf numFmtId="1" fontId="81" fillId="74" borderId="0" xfId="1815" applyNumberFormat="1" applyFont="1" applyFill="1" applyAlignment="1">
      <alignment horizontal="right"/>
    </xf>
    <xf numFmtId="2" fontId="81" fillId="74" borderId="0" xfId="1815" applyNumberFormat="1" applyFont="1" applyFill="1" applyAlignment="1">
      <alignment horizontal="right"/>
    </xf>
    <xf numFmtId="0" fontId="81" fillId="74" borderId="92" xfId="1815" applyFont="1" applyFill="1" applyBorder="1" applyAlignment="1">
      <alignment horizontal="center"/>
    </xf>
    <xf numFmtId="0" fontId="81" fillId="74" borderId="93" xfId="1815" applyFont="1" applyFill="1" applyBorder="1"/>
    <xf numFmtId="1" fontId="81" fillId="74" borderId="93" xfId="1815" applyNumberFormat="1" applyFont="1" applyFill="1" applyBorder="1" applyAlignment="1">
      <alignment horizontal="right"/>
    </xf>
    <xf numFmtId="0" fontId="81" fillId="74" borderId="93" xfId="1815" applyFont="1" applyFill="1" applyBorder="1" applyAlignment="1">
      <alignment horizontal="right"/>
    </xf>
    <xf numFmtId="0" fontId="81" fillId="74" borderId="64" xfId="1815" applyFont="1" applyFill="1" applyBorder="1" applyAlignment="1">
      <alignment horizontal="center"/>
    </xf>
    <xf numFmtId="0" fontId="81" fillId="74" borderId="9" xfId="1815" applyFont="1" applyFill="1" applyBorder="1" applyAlignment="1">
      <alignment horizontal="right"/>
    </xf>
    <xf numFmtId="0" fontId="81" fillId="74" borderId="71" xfId="1815" applyFont="1" applyFill="1" applyBorder="1" applyAlignment="1">
      <alignment horizontal="center"/>
    </xf>
    <xf numFmtId="0" fontId="81" fillId="74" borderId="64" xfId="1815" applyFont="1" applyFill="1" applyBorder="1"/>
    <xf numFmtId="0" fontId="81" fillId="74" borderId="89" xfId="1815" applyFont="1" applyFill="1" applyBorder="1" applyAlignment="1">
      <alignment horizontal="center"/>
    </xf>
    <xf numFmtId="0" fontId="81" fillId="74" borderId="90" xfId="1815" applyFont="1" applyFill="1" applyBorder="1"/>
    <xf numFmtId="1" fontId="81" fillId="74" borderId="90" xfId="1815" applyNumberFormat="1" applyFont="1" applyFill="1" applyBorder="1" applyAlignment="1">
      <alignment horizontal="right"/>
    </xf>
    <xf numFmtId="2" fontId="81" fillId="74" borderId="9" xfId="1815" applyNumberFormat="1" applyFont="1" applyFill="1" applyBorder="1" applyAlignment="1">
      <alignment horizontal="right"/>
    </xf>
    <xf numFmtId="0" fontId="99" fillId="74" borderId="0" xfId="1815" applyFont="1" applyFill="1"/>
    <xf numFmtId="2" fontId="81" fillId="74" borderId="90" xfId="1815" applyNumberFormat="1" applyFont="1" applyFill="1" applyBorder="1" applyAlignment="1">
      <alignment horizontal="right"/>
    </xf>
    <xf numFmtId="0" fontId="80" fillId="74" borderId="0" xfId="1815" applyFont="1" applyFill="1"/>
    <xf numFmtId="0" fontId="22" fillId="74" borderId="9" xfId="1815" applyFont="1" applyFill="1" applyBorder="1"/>
    <xf numFmtId="0" fontId="22" fillId="74" borderId="90" xfId="1815" applyFont="1" applyFill="1" applyBorder="1"/>
    <xf numFmtId="0" fontId="81" fillId="74" borderId="9" xfId="0" applyFont="1" applyFill="1" applyBorder="1"/>
    <xf numFmtId="0" fontId="81" fillId="74" borderId="90" xfId="0" applyFont="1" applyFill="1" applyBorder="1"/>
    <xf numFmtId="2" fontId="81" fillId="74" borderId="93" xfId="1815" applyNumberFormat="1" applyFont="1" applyFill="1" applyBorder="1" applyAlignment="1">
      <alignment horizontal="right"/>
    </xf>
    <xf numFmtId="0" fontId="81" fillId="74" borderId="89" xfId="1815" applyFont="1" applyFill="1" applyBorder="1" applyAlignment="1">
      <alignment horizontal="left"/>
    </xf>
    <xf numFmtId="0" fontId="81" fillId="74" borderId="0" xfId="1815" applyFont="1" applyFill="1" applyAlignment="1">
      <alignment horizontal="left"/>
    </xf>
    <xf numFmtId="0" fontId="81" fillId="74" borderId="9" xfId="1815" applyFont="1" applyFill="1" applyBorder="1" applyAlignment="1">
      <alignment horizontal="left"/>
    </xf>
    <xf numFmtId="0" fontId="81" fillId="74" borderId="92" xfId="1815" applyFont="1" applyFill="1" applyBorder="1" applyAlignment="1">
      <alignment horizontal="left"/>
    </xf>
    <xf numFmtId="0" fontId="81" fillId="74" borderId="124" xfId="1815" applyFont="1" applyFill="1" applyBorder="1" applyAlignment="1">
      <alignment horizontal="center"/>
    </xf>
    <xf numFmtId="0" fontId="81" fillId="74" borderId="127" xfId="1815" applyFont="1" applyFill="1" applyBorder="1" applyAlignment="1">
      <alignment horizontal="center"/>
    </xf>
    <xf numFmtId="0" fontId="81" fillId="74" borderId="66" xfId="1815" applyFont="1" applyFill="1" applyBorder="1"/>
    <xf numFmtId="1" fontId="81" fillId="74" borderId="56" xfId="1815" applyNumberFormat="1" applyFont="1" applyFill="1" applyBorder="1" applyAlignment="1">
      <alignment horizontal="right"/>
    </xf>
    <xf numFmtId="0" fontId="81" fillId="74" borderId="127" xfId="1815" applyFont="1" applyFill="1" applyBorder="1"/>
    <xf numFmtId="1" fontId="81" fillId="74" borderId="127" xfId="1815" applyNumberFormat="1" applyFont="1" applyFill="1" applyBorder="1" applyAlignment="1">
      <alignment horizontal="right"/>
    </xf>
    <xf numFmtId="1" fontId="82" fillId="76" borderId="9" xfId="1815" applyNumberFormat="1" applyFont="1" applyFill="1" applyBorder="1" applyAlignment="1">
      <alignment horizontal="right"/>
    </xf>
    <xf numFmtId="0" fontId="87" fillId="0" borderId="0" xfId="1815" applyFont="1" applyAlignment="1">
      <alignment horizontal="left"/>
    </xf>
    <xf numFmtId="0" fontId="80" fillId="74" borderId="9" xfId="1815" applyFont="1" applyFill="1" applyBorder="1"/>
    <xf numFmtId="0" fontId="81" fillId="74" borderId="147" xfId="1815" applyFont="1" applyFill="1" applyBorder="1"/>
    <xf numFmtId="0" fontId="81" fillId="74" borderId="166" xfId="1815" applyFont="1" applyFill="1" applyBorder="1"/>
    <xf numFmtId="1" fontId="81" fillId="74" borderId="150" xfId="1815" applyNumberFormat="1" applyFont="1" applyFill="1" applyBorder="1" applyAlignment="1">
      <alignment horizontal="right"/>
    </xf>
    <xf numFmtId="1" fontId="81" fillId="74" borderId="63" xfId="1815" applyNumberFormat="1" applyFont="1" applyFill="1" applyBorder="1" applyAlignment="1">
      <alignment horizontal="right"/>
    </xf>
    <xf numFmtId="1" fontId="81" fillId="74" borderId="151" xfId="1815" applyNumberFormat="1" applyFont="1" applyFill="1" applyBorder="1" applyAlignment="1">
      <alignment horizontal="right"/>
    </xf>
    <xf numFmtId="1" fontId="81" fillId="0" borderId="62" xfId="1815" applyNumberFormat="1" applyFont="1" applyBorder="1" applyAlignment="1">
      <alignment horizontal="right"/>
    </xf>
    <xf numFmtId="1" fontId="81" fillId="0" borderId="67" xfId="1815" applyNumberFormat="1" applyFont="1" applyBorder="1" applyAlignment="1">
      <alignment horizontal="right"/>
    </xf>
    <xf numFmtId="0" fontId="81" fillId="0" borderId="94" xfId="1815" applyFont="1" applyBorder="1"/>
    <xf numFmtId="0" fontId="81" fillId="0" borderId="65" xfId="1815" applyFont="1" applyBorder="1"/>
    <xf numFmtId="0" fontId="81" fillId="0" borderId="85" xfId="1815" applyFont="1" applyBorder="1"/>
    <xf numFmtId="0" fontId="81" fillId="74" borderId="0" xfId="1815" applyFont="1" applyFill="1" applyAlignment="1">
      <alignment horizontal="right"/>
    </xf>
    <xf numFmtId="1" fontId="81" fillId="74" borderId="137" xfId="1815" applyNumberFormat="1" applyFont="1" applyFill="1" applyBorder="1" applyAlignment="1">
      <alignment horizontal="right"/>
    </xf>
    <xf numFmtId="2" fontId="81" fillId="74" borderId="137" xfId="1815" applyNumberFormat="1" applyFont="1" applyFill="1" applyBorder="1" applyAlignment="1">
      <alignment horizontal="right"/>
    </xf>
    <xf numFmtId="0" fontId="81" fillId="0" borderId="150" xfId="1815" applyFont="1" applyBorder="1" applyAlignment="1">
      <alignment horizontal="center"/>
    </xf>
    <xf numFmtId="0" fontId="81" fillId="0" borderId="63" xfId="1815" applyFont="1" applyBorder="1" applyAlignment="1">
      <alignment horizontal="center"/>
    </xf>
    <xf numFmtId="0" fontId="81" fillId="74" borderId="69" xfId="1815" applyFont="1" applyFill="1" applyBorder="1"/>
    <xf numFmtId="0" fontId="22" fillId="74" borderId="9" xfId="1815" applyFont="1" applyFill="1" applyBorder="1" applyAlignment="1">
      <alignment horizontal="right"/>
    </xf>
    <xf numFmtId="0" fontId="81" fillId="74" borderId="90" xfId="1815" applyFont="1" applyFill="1" applyBorder="1" applyAlignment="1">
      <alignment horizontal="right"/>
    </xf>
    <xf numFmtId="1" fontId="81" fillId="74" borderId="93" xfId="1815" applyNumberFormat="1" applyFont="1" applyFill="1" applyBorder="1" applyAlignment="1">
      <alignment horizontal="left"/>
    </xf>
    <xf numFmtId="1" fontId="81" fillId="74" borderId="9" xfId="1815" applyNumberFormat="1" applyFont="1" applyFill="1" applyBorder="1" applyAlignment="1">
      <alignment horizontal="left"/>
    </xf>
    <xf numFmtId="1" fontId="81" fillId="74" borderId="166" xfId="1815" applyNumberFormat="1" applyFont="1" applyFill="1" applyBorder="1" applyAlignment="1">
      <alignment horizontal="right"/>
    </xf>
    <xf numFmtId="0" fontId="82" fillId="74" borderId="9" xfId="1815" applyFont="1" applyFill="1" applyBorder="1" applyAlignment="1">
      <alignment horizontal="center"/>
    </xf>
    <xf numFmtId="0" fontId="82" fillId="0" borderId="9" xfId="1815" applyFont="1" applyBorder="1" applyAlignment="1">
      <alignment horizontal="center"/>
    </xf>
    <xf numFmtId="2" fontId="81" fillId="74" borderId="9" xfId="1815" applyNumberFormat="1" applyFont="1" applyFill="1" applyBorder="1" applyAlignment="1">
      <alignment horizontal="left"/>
    </xf>
    <xf numFmtId="0" fontId="81" fillId="0" borderId="93" xfId="1815" applyFont="1" applyBorder="1" applyAlignment="1">
      <alignment wrapText="1"/>
    </xf>
    <xf numFmtId="0" fontId="81" fillId="0" borderId="9" xfId="1815" applyFont="1" applyBorder="1" applyAlignment="1">
      <alignment wrapText="1"/>
    </xf>
    <xf numFmtId="0" fontId="81" fillId="0" borderId="90" xfId="0" applyFont="1" applyBorder="1" applyAlignment="1">
      <alignment wrapText="1"/>
    </xf>
    <xf numFmtId="0" fontId="81" fillId="0" borderId="90" xfId="1815" applyFont="1" applyBorder="1" applyAlignment="1">
      <alignment wrapText="1"/>
    </xf>
    <xf numFmtId="0" fontId="82" fillId="0" borderId="65" xfId="1815" applyFont="1" applyBorder="1" applyAlignment="1">
      <alignment horizontal="center"/>
    </xf>
    <xf numFmtId="0" fontId="83" fillId="0" borderId="65" xfId="1815" applyFont="1" applyBorder="1" applyAlignment="1">
      <alignment horizontal="center" wrapText="1"/>
    </xf>
    <xf numFmtId="1" fontId="82" fillId="76" borderId="65" xfId="1815" applyNumberFormat="1" applyFont="1" applyFill="1" applyBorder="1" applyAlignment="1">
      <alignment horizontal="right"/>
    </xf>
    <xf numFmtId="0" fontId="0" fillId="0" borderId="162" xfId="0" applyBorder="1"/>
    <xf numFmtId="0" fontId="99" fillId="0" borderId="162" xfId="1815" applyFont="1" applyBorder="1"/>
    <xf numFmtId="0" fontId="99" fillId="0" borderId="137" xfId="1815" applyFont="1" applyBorder="1"/>
    <xf numFmtId="0" fontId="99" fillId="0" borderId="85" xfId="1815" applyFont="1" applyBorder="1"/>
    <xf numFmtId="0" fontId="0" fillId="77" borderId="0" xfId="0" applyFill="1"/>
    <xf numFmtId="0" fontId="82" fillId="77" borderId="64" xfId="1815" applyFont="1" applyFill="1" applyBorder="1" applyAlignment="1">
      <alignment horizontal="center"/>
    </xf>
    <xf numFmtId="0" fontId="82" fillId="77" borderId="64" xfId="1815" applyFont="1" applyFill="1" applyBorder="1" applyAlignment="1">
      <alignment horizontal="center" wrapText="1"/>
    </xf>
    <xf numFmtId="0" fontId="82" fillId="77" borderId="9" xfId="1815" applyFont="1" applyFill="1" applyBorder="1" applyAlignment="1">
      <alignment horizontal="center" wrapText="1"/>
    </xf>
    <xf numFmtId="0" fontId="82" fillId="77" borderId="9" xfId="1815" applyFont="1" applyFill="1" applyBorder="1" applyAlignment="1">
      <alignment horizontal="center"/>
    </xf>
    <xf numFmtId="0" fontId="83" fillId="77" borderId="9" xfId="1815" applyFont="1" applyFill="1" applyBorder="1" applyAlignment="1">
      <alignment horizontal="center" wrapText="1"/>
    </xf>
    <xf numFmtId="0" fontId="81" fillId="77" borderId="64" xfId="1815" applyFont="1" applyFill="1" applyBorder="1" applyAlignment="1">
      <alignment horizontal="center"/>
    </xf>
    <xf numFmtId="0" fontId="81" fillId="77" borderId="9" xfId="1815" applyFont="1" applyFill="1" applyBorder="1"/>
    <xf numFmtId="1" fontId="81" fillId="77" borderId="9" xfId="1815" applyNumberFormat="1" applyFont="1" applyFill="1" applyBorder="1" applyAlignment="1">
      <alignment horizontal="right"/>
    </xf>
    <xf numFmtId="1" fontId="82" fillId="77" borderId="9" xfId="1815" applyNumberFormat="1" applyFont="1" applyFill="1" applyBorder="1" applyAlignment="1">
      <alignment horizontal="right"/>
    </xf>
    <xf numFmtId="0" fontId="81" fillId="77" borderId="71" xfId="1815" applyFont="1" applyFill="1" applyBorder="1" applyAlignment="1">
      <alignment horizontal="center"/>
    </xf>
    <xf numFmtId="0" fontId="81" fillId="77" borderId="0" xfId="1815" applyFont="1" applyFill="1"/>
    <xf numFmtId="1" fontId="81" fillId="77" borderId="0" xfId="1815" applyNumberFormat="1" applyFont="1" applyFill="1" applyAlignment="1">
      <alignment horizontal="right"/>
    </xf>
    <xf numFmtId="2" fontId="81" fillId="77" borderId="0" xfId="1815" applyNumberFormat="1" applyFont="1" applyFill="1" applyAlignment="1">
      <alignment horizontal="right"/>
    </xf>
    <xf numFmtId="0" fontId="81" fillId="77" borderId="92" xfId="1815" applyFont="1" applyFill="1" applyBorder="1" applyAlignment="1">
      <alignment horizontal="center"/>
    </xf>
    <xf numFmtId="0" fontId="81" fillId="77" borderId="93" xfId="1815" applyFont="1" applyFill="1" applyBorder="1"/>
    <xf numFmtId="1" fontId="81" fillId="77" borderId="93" xfId="1815" applyNumberFormat="1" applyFont="1" applyFill="1" applyBorder="1" applyAlignment="1">
      <alignment horizontal="right"/>
    </xf>
    <xf numFmtId="0" fontId="81" fillId="77" borderId="93" xfId="1815" applyFont="1" applyFill="1" applyBorder="1" applyAlignment="1">
      <alignment horizontal="right"/>
    </xf>
    <xf numFmtId="0" fontId="81" fillId="77" borderId="9" xfId="1815" applyFont="1" applyFill="1" applyBorder="1" applyAlignment="1">
      <alignment horizontal="right"/>
    </xf>
    <xf numFmtId="0" fontId="81" fillId="77" borderId="64" xfId="1815" applyFont="1" applyFill="1" applyBorder="1"/>
    <xf numFmtId="0" fontId="81" fillId="77" borderId="89" xfId="1815" applyFont="1" applyFill="1" applyBorder="1" applyAlignment="1">
      <alignment horizontal="center"/>
    </xf>
    <xf numFmtId="0" fontId="81" fillId="77" borderId="90" xfId="1815" applyFont="1" applyFill="1" applyBorder="1"/>
    <xf numFmtId="1" fontId="81" fillId="77" borderId="90" xfId="1815" applyNumberFormat="1" applyFont="1" applyFill="1" applyBorder="1" applyAlignment="1">
      <alignment horizontal="right"/>
    </xf>
    <xf numFmtId="2" fontId="81" fillId="77" borderId="9" xfId="1815" applyNumberFormat="1" applyFont="1" applyFill="1" applyBorder="1" applyAlignment="1">
      <alignment horizontal="right"/>
    </xf>
    <xf numFmtId="0" fontId="99" fillId="77" borderId="0" xfId="1815" applyFont="1" applyFill="1"/>
    <xf numFmtId="2" fontId="81" fillId="77" borderId="90" xfId="1815" applyNumberFormat="1" applyFont="1" applyFill="1" applyBorder="1" applyAlignment="1">
      <alignment horizontal="right"/>
    </xf>
    <xf numFmtId="0" fontId="80" fillId="77" borderId="0" xfId="1815" applyFont="1" applyFill="1"/>
    <xf numFmtId="0" fontId="22" fillId="77" borderId="9" xfId="1815" applyFont="1" applyFill="1" applyBorder="1"/>
    <xf numFmtId="0" fontId="22" fillId="77" borderId="90" xfId="1815" applyFont="1" applyFill="1" applyBorder="1"/>
    <xf numFmtId="0" fontId="81" fillId="77" borderId="66" xfId="1815" applyFont="1" applyFill="1" applyBorder="1"/>
    <xf numFmtId="1" fontId="81" fillId="77" borderId="56" xfId="1815" applyNumberFormat="1" applyFont="1" applyFill="1" applyBorder="1" applyAlignment="1">
      <alignment horizontal="right"/>
    </xf>
    <xf numFmtId="0" fontId="81" fillId="77" borderId="9" xfId="0" applyFont="1" applyFill="1" applyBorder="1"/>
    <xf numFmtId="0" fontId="81" fillId="77" borderId="90" xfId="0" applyFont="1" applyFill="1" applyBorder="1"/>
    <xf numFmtId="2" fontId="81" fillId="77" borderId="93" xfId="1815" applyNumberFormat="1" applyFont="1" applyFill="1" applyBorder="1" applyAlignment="1">
      <alignment horizontal="right"/>
    </xf>
    <xf numFmtId="0" fontId="81" fillId="77" borderId="89" xfId="1815" applyFont="1" applyFill="1" applyBorder="1" applyAlignment="1">
      <alignment horizontal="left"/>
    </xf>
    <xf numFmtId="0" fontId="81" fillId="77" borderId="71" xfId="1815" applyFont="1" applyFill="1" applyBorder="1" applyAlignment="1">
      <alignment horizontal="left"/>
    </xf>
    <xf numFmtId="0" fontId="81" fillId="77" borderId="64" xfId="1815" applyFont="1" applyFill="1" applyBorder="1" applyAlignment="1">
      <alignment horizontal="left"/>
    </xf>
    <xf numFmtId="0" fontId="87" fillId="77" borderId="71" xfId="1815" applyFont="1" applyFill="1" applyBorder="1" applyAlignment="1">
      <alignment horizontal="left"/>
    </xf>
    <xf numFmtId="0" fontId="81" fillId="77" borderId="147" xfId="1815" applyFont="1" applyFill="1" applyBorder="1"/>
    <xf numFmtId="1" fontId="81" fillId="77" borderId="150" xfId="1815" applyNumberFormat="1" applyFont="1" applyFill="1" applyBorder="1" applyAlignment="1">
      <alignment horizontal="right"/>
    </xf>
    <xf numFmtId="1" fontId="81" fillId="77" borderId="63" xfId="1815" applyNumberFormat="1" applyFont="1" applyFill="1" applyBorder="1" applyAlignment="1">
      <alignment horizontal="right"/>
    </xf>
    <xf numFmtId="0" fontId="80" fillId="77" borderId="9" xfId="1815" applyFont="1" applyFill="1" applyBorder="1"/>
    <xf numFmtId="0" fontId="81" fillId="77" borderId="166" xfId="1815" applyFont="1" applyFill="1" applyBorder="1"/>
    <xf numFmtId="1" fontId="81" fillId="77" borderId="151" xfId="1815" applyNumberFormat="1" applyFont="1" applyFill="1" applyBorder="1" applyAlignment="1">
      <alignment horizontal="right"/>
    </xf>
    <xf numFmtId="1" fontId="81" fillId="77" borderId="94" xfId="1815" applyNumberFormat="1" applyFont="1" applyFill="1" applyBorder="1" applyAlignment="1">
      <alignment horizontal="right"/>
    </xf>
    <xf numFmtId="1" fontId="81" fillId="77" borderId="65" xfId="1815" applyNumberFormat="1" applyFont="1" applyFill="1" applyBorder="1" applyAlignment="1">
      <alignment horizontal="right"/>
    </xf>
    <xf numFmtId="2" fontId="81" fillId="77" borderId="65" xfId="1815" applyNumberFormat="1" applyFont="1" applyFill="1" applyBorder="1" applyAlignment="1">
      <alignment horizontal="right"/>
    </xf>
    <xf numFmtId="2" fontId="81" fillId="77" borderId="162" xfId="1815" applyNumberFormat="1" applyFont="1" applyFill="1" applyBorder="1" applyAlignment="1">
      <alignment horizontal="right"/>
    </xf>
    <xf numFmtId="2" fontId="81" fillId="77" borderId="91" xfId="1815" applyNumberFormat="1" applyFont="1" applyFill="1" applyBorder="1" applyAlignment="1">
      <alignment horizontal="right"/>
    </xf>
    <xf numFmtId="0" fontId="81" fillId="0" borderId="92" xfId="1815" applyFont="1" applyBorder="1" applyAlignment="1">
      <alignment horizontal="center"/>
    </xf>
    <xf numFmtId="0" fontId="81" fillId="0" borderId="64" xfId="1815" applyFont="1" applyBorder="1" applyAlignment="1">
      <alignment horizontal="center"/>
    </xf>
    <xf numFmtId="0" fontId="81" fillId="0" borderId="71" xfId="1815" applyFont="1" applyBorder="1" applyAlignment="1">
      <alignment horizontal="center"/>
    </xf>
    <xf numFmtId="0" fontId="81" fillId="0" borderId="144" xfId="1815" applyFont="1" applyBorder="1" applyAlignment="1">
      <alignment horizontal="center"/>
    </xf>
    <xf numFmtId="0" fontId="99" fillId="0" borderId="71" xfId="1815" applyFont="1" applyBorder="1" applyAlignment="1">
      <alignment horizontal="center"/>
    </xf>
    <xf numFmtId="0" fontId="0" fillId="0" borderId="71" xfId="0" applyBorder="1"/>
    <xf numFmtId="0" fontId="99" fillId="0" borderId="144" xfId="1815" applyFont="1" applyBorder="1" applyAlignment="1">
      <alignment horizontal="center"/>
    </xf>
    <xf numFmtId="2" fontId="81" fillId="0" borderId="137" xfId="1815" applyNumberFormat="1" applyFont="1" applyBorder="1" applyAlignment="1">
      <alignment horizontal="right"/>
    </xf>
    <xf numFmtId="1" fontId="81" fillId="0" borderId="147" xfId="1815" applyNumberFormat="1" applyFont="1" applyBorder="1" applyAlignment="1">
      <alignment horizontal="right"/>
    </xf>
    <xf numFmtId="1" fontId="81" fillId="0" borderId="66" xfId="1815" applyNumberFormat="1" applyFont="1" applyBorder="1" applyAlignment="1">
      <alignment horizontal="right"/>
    </xf>
    <xf numFmtId="0" fontId="87" fillId="77" borderId="124" xfId="1815" applyFont="1" applyFill="1" applyBorder="1" applyAlignment="1">
      <alignment horizontal="left"/>
    </xf>
    <xf numFmtId="0" fontId="99" fillId="77" borderId="127" xfId="1815" applyFont="1" applyFill="1" applyBorder="1"/>
    <xf numFmtId="1" fontId="99" fillId="77" borderId="127" xfId="1815" applyNumberFormat="1" applyFont="1" applyFill="1" applyBorder="1"/>
    <xf numFmtId="0" fontId="99" fillId="0" borderId="127" xfId="1815" applyFont="1" applyBorder="1" applyAlignment="1">
      <alignment horizontal="center"/>
    </xf>
    <xf numFmtId="1" fontId="99" fillId="0" borderId="127" xfId="1815" applyNumberFormat="1" applyFont="1" applyBorder="1"/>
    <xf numFmtId="0" fontId="0" fillId="0" borderId="142" xfId="0" applyBorder="1"/>
    <xf numFmtId="1" fontId="81" fillId="0" borderId="85" xfId="1815" applyNumberFormat="1" applyFont="1" applyBorder="1" applyAlignment="1">
      <alignment horizontal="right"/>
    </xf>
    <xf numFmtId="0" fontId="81" fillId="74" borderId="9" xfId="1815" applyFont="1" applyFill="1" applyBorder="1" applyAlignment="1">
      <alignment wrapText="1"/>
    </xf>
    <xf numFmtId="0" fontId="81" fillId="74" borderId="93" xfId="1815" applyFont="1" applyFill="1" applyBorder="1" applyAlignment="1">
      <alignment wrapText="1"/>
    </xf>
    <xf numFmtId="1" fontId="82" fillId="0" borderId="9" xfId="1815" applyNumberFormat="1" applyFont="1" applyBorder="1" applyAlignment="1">
      <alignment horizontal="right"/>
    </xf>
    <xf numFmtId="0" fontId="81" fillId="0" borderId="93" xfId="1815" applyFont="1" applyBorder="1" applyAlignment="1">
      <alignment horizontal="right"/>
    </xf>
    <xf numFmtId="0" fontId="81" fillId="0" borderId="9" xfId="1815" applyFont="1" applyBorder="1" applyAlignment="1">
      <alignment horizontal="right"/>
    </xf>
    <xf numFmtId="0" fontId="81" fillId="0" borderId="9" xfId="1815" applyFont="1" applyBorder="1" applyAlignment="1">
      <alignment horizontal="left"/>
    </xf>
    <xf numFmtId="0" fontId="81" fillId="0" borderId="64" xfId="1815" applyFont="1" applyBorder="1"/>
    <xf numFmtId="0" fontId="81" fillId="0" borderId="89" xfId="1815" applyFont="1" applyBorder="1" applyAlignment="1">
      <alignment horizontal="center"/>
    </xf>
    <xf numFmtId="2" fontId="81" fillId="0" borderId="90" xfId="1815" applyNumberFormat="1" applyFont="1" applyBorder="1" applyAlignment="1">
      <alignment horizontal="right"/>
    </xf>
    <xf numFmtId="0" fontId="80" fillId="0" borderId="0" xfId="1815" applyFont="1"/>
    <xf numFmtId="0" fontId="81" fillId="0" borderId="66" xfId="1815" applyFont="1" applyBorder="1"/>
    <xf numFmtId="2" fontId="81" fillId="0" borderId="93" xfId="1815" applyNumberFormat="1" applyFont="1" applyBorder="1" applyAlignment="1">
      <alignment horizontal="right"/>
    </xf>
    <xf numFmtId="0" fontId="81" fillId="0" borderId="89" xfId="1815" applyFont="1" applyBorder="1" applyAlignment="1">
      <alignment horizontal="left"/>
    </xf>
    <xf numFmtId="0" fontId="81" fillId="0" borderId="147" xfId="1815" applyFont="1" applyBorder="1"/>
    <xf numFmtId="1" fontId="81" fillId="0" borderId="150" xfId="1815" applyNumberFormat="1" applyFont="1" applyBorder="1" applyAlignment="1">
      <alignment horizontal="right"/>
    </xf>
    <xf numFmtId="1" fontId="81" fillId="0" borderId="63" xfId="1815" applyNumberFormat="1" applyFont="1" applyBorder="1" applyAlignment="1">
      <alignment horizontal="right"/>
    </xf>
    <xf numFmtId="0" fontId="80" fillId="0" borderId="9" xfId="1815" applyFont="1" applyBorder="1"/>
    <xf numFmtId="0" fontId="81" fillId="0" borderId="166" xfId="1815" applyFont="1" applyBorder="1"/>
    <xf numFmtId="1" fontId="81" fillId="0" borderId="151" xfId="1815" applyNumberFormat="1" applyFont="1" applyBorder="1" applyAlignment="1">
      <alignment horizontal="right"/>
    </xf>
    <xf numFmtId="0" fontId="81" fillId="0" borderId="0" xfId="1815" applyFont="1" applyAlignment="1">
      <alignment horizontal="right"/>
    </xf>
    <xf numFmtId="0" fontId="81" fillId="0" borderId="69" xfId="1815" applyFont="1" applyBorder="1"/>
    <xf numFmtId="0" fontId="22" fillId="0" borderId="90" xfId="1815" applyFont="1" applyBorder="1"/>
    <xf numFmtId="1" fontId="81" fillId="0" borderId="166" xfId="1815" applyNumberFormat="1" applyFont="1" applyBorder="1" applyAlignment="1">
      <alignment horizontal="right"/>
    </xf>
    <xf numFmtId="0" fontId="22" fillId="0" borderId="9" xfId="1815" applyFont="1" applyBorder="1" applyAlignment="1">
      <alignment horizontal="right"/>
    </xf>
    <xf numFmtId="0" fontId="81" fillId="0" borderId="90" xfId="1815" applyFont="1" applyBorder="1" applyAlignment="1">
      <alignment horizontal="right"/>
    </xf>
    <xf numFmtId="1" fontId="81" fillId="0" borderId="93" xfId="1815" applyNumberFormat="1" applyFont="1" applyBorder="1" applyAlignment="1">
      <alignment horizontal="left"/>
    </xf>
    <xf numFmtId="0" fontId="82" fillId="0" borderId="90" xfId="1815" applyFont="1" applyBorder="1" applyAlignment="1">
      <alignment horizontal="center"/>
    </xf>
    <xf numFmtId="0" fontId="81" fillId="0" borderId="92" xfId="1815" applyFont="1" applyBorder="1" applyAlignment="1">
      <alignment horizontal="left"/>
    </xf>
    <xf numFmtId="1" fontId="81" fillId="0" borderId="9" xfId="1815" applyNumberFormat="1" applyFont="1" applyBorder="1" applyAlignment="1">
      <alignment horizontal="left"/>
    </xf>
    <xf numFmtId="2" fontId="81" fillId="0" borderId="9" xfId="1815" applyNumberFormat="1" applyFont="1" applyBorder="1" applyAlignment="1">
      <alignment horizontal="left"/>
    </xf>
    <xf numFmtId="0" fontId="81" fillId="0" borderId="79" xfId="1815" applyFont="1" applyBorder="1" applyAlignment="1">
      <alignment horizontal="center"/>
    </xf>
    <xf numFmtId="0" fontId="81" fillId="0" borderId="81" xfId="1815" applyFont="1" applyBorder="1"/>
    <xf numFmtId="1" fontId="81" fillId="0" borderId="81" xfId="1815" applyNumberFormat="1" applyFont="1" applyBorder="1" applyAlignment="1">
      <alignment horizontal="right"/>
    </xf>
    <xf numFmtId="1" fontId="82" fillId="0" borderId="75" xfId="1815" applyNumberFormat="1" applyFont="1" applyBorder="1" applyAlignment="1">
      <alignment horizontal="right"/>
    </xf>
    <xf numFmtId="0" fontId="81" fillId="0" borderId="81" xfId="1815" applyFont="1" applyBorder="1" applyAlignment="1">
      <alignment wrapText="1"/>
    </xf>
    <xf numFmtId="1" fontId="81" fillId="0" borderId="75" xfId="1815" applyNumberFormat="1" applyFont="1" applyBorder="1" applyAlignment="1">
      <alignment horizontal="right"/>
    </xf>
    <xf numFmtId="0" fontId="81" fillId="0" borderId="79" xfId="1815" applyFont="1" applyBorder="1" applyAlignment="1">
      <alignment horizontal="left"/>
    </xf>
    <xf numFmtId="0" fontId="81" fillId="0" borderId="71" xfId="1815" applyFont="1" applyBorder="1" applyAlignment="1">
      <alignment horizontal="left"/>
    </xf>
    <xf numFmtId="1" fontId="81" fillId="0" borderId="162" xfId="1815" applyNumberFormat="1" applyFont="1" applyBorder="1" applyAlignment="1">
      <alignment horizontal="right"/>
    </xf>
    <xf numFmtId="0" fontId="87" fillId="0" borderId="71" xfId="1815" applyFont="1" applyBorder="1" applyAlignment="1">
      <alignment horizontal="left"/>
    </xf>
    <xf numFmtId="0" fontId="82" fillId="78" borderId="79" xfId="1815" applyFont="1" applyFill="1" applyBorder="1" applyAlignment="1">
      <alignment horizontal="center" wrapText="1"/>
    </xf>
    <xf numFmtId="0" fontId="82" fillId="78" borderId="81" xfId="1815" applyFont="1" applyFill="1" applyBorder="1" applyAlignment="1">
      <alignment horizontal="center" wrapText="1"/>
    </xf>
    <xf numFmtId="0" fontId="82" fillId="78" borderId="81" xfId="1815" applyFont="1" applyFill="1" applyBorder="1" applyAlignment="1">
      <alignment horizontal="center"/>
    </xf>
    <xf numFmtId="0" fontId="83" fillId="78" borderId="75" xfId="1815" applyFont="1" applyFill="1" applyBorder="1" applyAlignment="1">
      <alignment horizontal="center" wrapText="1"/>
    </xf>
    <xf numFmtId="0" fontId="81" fillId="0" borderId="94" xfId="1815" applyFont="1" applyBorder="1" applyAlignment="1">
      <alignment horizontal="right"/>
    </xf>
    <xf numFmtId="0" fontId="81" fillId="0" borderId="65" xfId="1815" applyFont="1" applyBorder="1" applyAlignment="1">
      <alignment horizontal="right"/>
    </xf>
    <xf numFmtId="0" fontId="82" fillId="0" borderId="92" xfId="1815" applyFont="1" applyBorder="1" applyAlignment="1">
      <alignment horizontal="left"/>
    </xf>
    <xf numFmtId="0" fontId="82" fillId="0" borderId="89" xfId="1815" applyFont="1" applyBorder="1" applyAlignment="1">
      <alignment horizontal="center"/>
    </xf>
    <xf numFmtId="0" fontId="81" fillId="0" borderId="91" xfId="1815" applyFont="1" applyBorder="1" applyAlignment="1">
      <alignment horizontal="right"/>
    </xf>
    <xf numFmtId="0" fontId="81" fillId="0" borderId="124" xfId="1815" applyFont="1" applyBorder="1" applyAlignment="1">
      <alignment horizontal="center"/>
    </xf>
    <xf numFmtId="0" fontId="81" fillId="0" borderId="127" xfId="1815" applyFont="1" applyBorder="1"/>
    <xf numFmtId="1" fontId="81" fillId="0" borderId="127" xfId="1815" applyNumberFormat="1" applyFont="1" applyBorder="1" applyAlignment="1">
      <alignment horizontal="right"/>
    </xf>
    <xf numFmtId="0" fontId="22" fillId="0" borderId="81" xfId="1815" applyFont="1" applyBorder="1"/>
    <xf numFmtId="0" fontId="100" fillId="0" borderId="81" xfId="1815" applyFont="1" applyBorder="1"/>
    <xf numFmtId="2" fontId="81" fillId="0" borderId="75" xfId="1815" applyNumberFormat="1" applyFont="1" applyBorder="1" applyAlignment="1">
      <alignment horizontal="right"/>
    </xf>
    <xf numFmtId="2" fontId="81" fillId="0" borderId="142" xfId="1815" applyNumberFormat="1" applyFont="1" applyBorder="1" applyAlignment="1">
      <alignment horizontal="right"/>
    </xf>
    <xf numFmtId="0" fontId="81" fillId="0" borderId="91" xfId="1815" applyFont="1" applyBorder="1"/>
    <xf numFmtId="1" fontId="81" fillId="0" borderId="165" xfId="1815" applyNumberFormat="1" applyFont="1" applyBorder="1" applyAlignment="1">
      <alignment horizontal="right"/>
    </xf>
    <xf numFmtId="0" fontId="106" fillId="0" borderId="9" xfId="0" applyFont="1" applyBorder="1" applyAlignment="1">
      <alignment horizontal="center" vertical="center"/>
    </xf>
    <xf numFmtId="0" fontId="109" fillId="0" borderId="9" xfId="0" applyFont="1" applyBorder="1" applyAlignment="1">
      <alignment wrapText="1"/>
    </xf>
    <xf numFmtId="0" fontId="109" fillId="0" borderId="9" xfId="0" applyFont="1" applyBorder="1" applyAlignment="1">
      <alignment horizontal="justify" vertical="center" wrapText="1"/>
    </xf>
    <xf numFmtId="0" fontId="106" fillId="0" borderId="56" xfId="0" applyFont="1" applyBorder="1" applyAlignment="1">
      <alignment horizontal="center" vertical="center"/>
    </xf>
    <xf numFmtId="0" fontId="107" fillId="78" borderId="93" xfId="0" applyFont="1" applyFill="1" applyBorder="1" applyAlignment="1">
      <alignment horizontal="center" vertical="center"/>
    </xf>
    <xf numFmtId="0" fontId="104" fillId="78" borderId="90" xfId="0" applyFont="1" applyFill="1" applyBorder="1" applyAlignment="1">
      <alignment horizontal="center" vertical="center" wrapText="1"/>
    </xf>
    <xf numFmtId="0" fontId="109" fillId="0" borderId="90" xfId="0" applyFont="1" applyBorder="1" applyAlignment="1">
      <alignment horizontal="justify" vertical="center" wrapText="1"/>
    </xf>
    <xf numFmtId="0" fontId="106" fillId="0" borderId="78" xfId="0" applyFont="1" applyBorder="1" applyAlignment="1">
      <alignment horizontal="center" vertical="center" wrapText="1"/>
    </xf>
    <xf numFmtId="0" fontId="106" fillId="0" borderId="64" xfId="0" applyFont="1" applyBorder="1" applyAlignment="1">
      <alignment horizontal="center" vertical="center" wrapText="1"/>
    </xf>
    <xf numFmtId="0" fontId="104" fillId="78" borderId="0" xfId="0" applyFont="1" applyFill="1" applyAlignment="1">
      <alignment horizontal="center" vertical="center" wrapText="1"/>
    </xf>
    <xf numFmtId="0" fontId="105" fillId="78" borderId="0" xfId="0" applyFont="1" applyFill="1" applyAlignment="1">
      <alignment wrapText="1"/>
    </xf>
    <xf numFmtId="0" fontId="106" fillId="0" borderId="0" xfId="0" applyFont="1" applyAlignment="1">
      <alignment horizontal="center" vertical="center" wrapText="1"/>
    </xf>
    <xf numFmtId="0" fontId="106" fillId="0" borderId="0" xfId="0" applyFont="1" applyAlignment="1">
      <alignment horizontal="center" vertical="center"/>
    </xf>
    <xf numFmtId="0" fontId="109" fillId="0" borderId="0" xfId="0" applyFont="1" applyAlignment="1">
      <alignment horizontal="center"/>
    </xf>
    <xf numFmtId="0" fontId="81" fillId="0" borderId="153" xfId="1815" applyFont="1" applyBorder="1" applyAlignment="1">
      <alignment vertical="center"/>
    </xf>
    <xf numFmtId="0" fontId="81" fillId="0" borderId="42" xfId="1815" applyFont="1" applyBorder="1" applyAlignment="1">
      <alignment vertical="center"/>
    </xf>
    <xf numFmtId="0" fontId="3" fillId="39" borderId="98" xfId="0" applyFont="1" applyFill="1" applyBorder="1"/>
    <xf numFmtId="0" fontId="0" fillId="39" borderId="87" xfId="0" applyFill="1" applyBorder="1"/>
    <xf numFmtId="0" fontId="0" fillId="39" borderId="41" xfId="0" applyFill="1" applyBorder="1"/>
    <xf numFmtId="0" fontId="54" fillId="39" borderId="98" xfId="1820" applyFont="1" applyFill="1" applyBorder="1" applyAlignment="1">
      <alignment horizontal="center" vertical="center" wrapText="1"/>
    </xf>
    <xf numFmtId="0" fontId="54" fillId="39" borderId="87" xfId="1820" applyFont="1" applyFill="1" applyBorder="1" applyAlignment="1">
      <alignment horizontal="center" vertical="center" wrapText="1"/>
    </xf>
    <xf numFmtId="0" fontId="54" fillId="39" borderId="80" xfId="1820" applyFont="1" applyFill="1" applyBorder="1" applyAlignment="1">
      <alignment horizontal="center" vertical="center" wrapText="1"/>
    </xf>
    <xf numFmtId="0" fontId="32" fillId="33" borderId="107" xfId="1820" applyFont="1" applyFill="1" applyBorder="1" applyAlignment="1">
      <alignment horizontal="center" vertical="center" wrapText="1"/>
    </xf>
    <xf numFmtId="0" fontId="32" fillId="33" borderId="111" xfId="1820" applyFont="1" applyFill="1" applyBorder="1" applyAlignment="1">
      <alignment horizontal="center" vertical="center" wrapText="1"/>
    </xf>
    <xf numFmtId="0" fontId="6" fillId="0" borderId="107" xfId="1820" applyBorder="1" applyAlignment="1">
      <alignment horizontal="center" vertical="center" wrapText="1"/>
    </xf>
    <xf numFmtId="0" fontId="6" fillId="0" borderId="111" xfId="1820" applyBorder="1" applyAlignment="1">
      <alignment horizontal="center" vertical="center" wrapText="1"/>
    </xf>
    <xf numFmtId="0" fontId="6" fillId="39" borderId="9" xfId="1820" applyFill="1" applyBorder="1" applyAlignment="1">
      <alignment horizontal="center" wrapText="1"/>
    </xf>
    <xf numFmtId="0" fontId="3" fillId="46" borderId="70" xfId="1820" applyFont="1" applyFill="1" applyBorder="1" applyAlignment="1">
      <alignment horizontal="center" vertical="center" wrapText="1"/>
    </xf>
    <xf numFmtId="0" fontId="6" fillId="36" borderId="128" xfId="1816" applyFont="1" applyFill="1" applyBorder="1" applyAlignment="1">
      <alignment horizontal="left" vertical="center" wrapText="1"/>
    </xf>
    <xf numFmtId="0" fontId="6" fillId="36" borderId="132" xfId="1816" applyFont="1" applyFill="1" applyBorder="1" applyAlignment="1">
      <alignment horizontal="left" vertical="center" wrapText="1"/>
    </xf>
    <xf numFmtId="0" fontId="6" fillId="36" borderId="76" xfId="1816" applyFont="1" applyFill="1" applyBorder="1" applyAlignment="1">
      <alignment horizontal="left" vertical="center" wrapText="1"/>
    </xf>
    <xf numFmtId="0" fontId="6" fillId="36" borderId="9" xfId="1816" applyFont="1" applyFill="1" applyBorder="1" applyAlignment="1">
      <alignment horizontal="center" vertical="center" wrapText="1"/>
    </xf>
    <xf numFmtId="0" fontId="6" fillId="39" borderId="122" xfId="1820" applyFill="1" applyBorder="1" applyAlignment="1">
      <alignment horizontal="center" wrapText="1"/>
    </xf>
    <xf numFmtId="0" fontId="6" fillId="39" borderId="43" xfId="1820" applyFill="1" applyBorder="1" applyAlignment="1">
      <alignment horizontal="center" wrapText="1"/>
    </xf>
    <xf numFmtId="0" fontId="6" fillId="39" borderId="145" xfId="1820" applyFill="1" applyBorder="1" applyAlignment="1">
      <alignment horizontal="center" wrapText="1"/>
    </xf>
    <xf numFmtId="0" fontId="59" fillId="43" borderId="92" xfId="1820" applyFont="1" applyFill="1" applyBorder="1" applyAlignment="1">
      <alignment horizontal="center" wrapText="1"/>
    </xf>
    <xf numFmtId="0" fontId="59" fillId="43" borderId="93" xfId="1820" applyFont="1" applyFill="1" applyBorder="1" applyAlignment="1">
      <alignment horizontal="center" wrapText="1"/>
    </xf>
    <xf numFmtId="4" fontId="3" fillId="35" borderId="64" xfId="1820" applyNumberFormat="1" applyFont="1" applyFill="1" applyBorder="1" applyAlignment="1">
      <alignment horizontal="center" vertical="center"/>
    </xf>
    <xf numFmtId="4" fontId="3" fillId="35" borderId="9" xfId="1820" applyNumberFormat="1" applyFont="1" applyFill="1" applyBorder="1" applyAlignment="1">
      <alignment horizontal="center" vertical="center"/>
    </xf>
    <xf numFmtId="0" fontId="19" fillId="39" borderId="98" xfId="0" applyFont="1" applyFill="1" applyBorder="1" applyAlignment="1">
      <alignment horizontal="center"/>
    </xf>
    <xf numFmtId="0" fontId="19" fillId="39" borderId="87" xfId="0" applyFont="1" applyFill="1" applyBorder="1" applyAlignment="1">
      <alignment horizontal="center"/>
    </xf>
    <xf numFmtId="0" fontId="19" fillId="39" borderId="41" xfId="0" applyFont="1" applyFill="1" applyBorder="1" applyAlignment="1">
      <alignment horizontal="center"/>
    </xf>
    <xf numFmtId="0" fontId="3" fillId="35" borderId="89" xfId="1820" applyFont="1" applyFill="1" applyBorder="1" applyAlignment="1">
      <alignment horizontal="center"/>
    </xf>
    <xf numFmtId="0" fontId="3" fillId="35" borderId="90" xfId="1820" applyFont="1" applyFill="1" applyBorder="1" applyAlignment="1">
      <alignment horizontal="center"/>
    </xf>
    <xf numFmtId="0" fontId="5" fillId="49" borderId="132" xfId="1820" applyFont="1" applyFill="1" applyBorder="1" applyAlignment="1">
      <alignment horizontal="center" vertical="center" wrapText="1"/>
    </xf>
    <xf numFmtId="0" fontId="0" fillId="0" borderId="84" xfId="0" applyBorder="1"/>
    <xf numFmtId="0" fontId="5" fillId="39" borderId="132" xfId="1820" applyFont="1" applyFill="1" applyBorder="1" applyAlignment="1">
      <alignment horizontal="center" vertical="center" wrapText="1"/>
    </xf>
    <xf numFmtId="0" fontId="3" fillId="41" borderId="107" xfId="1820" applyFont="1" applyFill="1" applyBorder="1" applyAlignment="1">
      <alignment horizontal="center" vertical="center" wrapText="1"/>
    </xf>
    <xf numFmtId="0" fontId="3" fillId="41" borderId="111" xfId="1820" applyFont="1" applyFill="1" applyBorder="1" applyAlignment="1">
      <alignment horizontal="center" vertical="center" wrapText="1"/>
    </xf>
    <xf numFmtId="0" fontId="5" fillId="39" borderId="0" xfId="1820" applyFont="1" applyFill="1" applyAlignment="1">
      <alignment horizontal="center" vertical="center" wrapText="1"/>
    </xf>
    <xf numFmtId="0" fontId="0" fillId="0" borderId="0" xfId="0"/>
    <xf numFmtId="0" fontId="59" fillId="49" borderId="132" xfId="1820" applyFont="1" applyFill="1" applyBorder="1" applyAlignment="1">
      <alignment horizontal="center" vertical="center" wrapText="1"/>
    </xf>
    <xf numFmtId="0" fontId="59" fillId="49" borderId="0" xfId="1820" applyFont="1" applyFill="1" applyAlignment="1">
      <alignment horizontal="center" vertical="center" wrapText="1"/>
    </xf>
    <xf numFmtId="0" fontId="19" fillId="0" borderId="153" xfId="1820" applyFont="1" applyBorder="1" applyAlignment="1">
      <alignment horizontal="center" vertical="center" wrapText="1"/>
    </xf>
    <xf numFmtId="0" fontId="19" fillId="0" borderId="56" xfId="1820" applyFont="1" applyBorder="1" applyAlignment="1">
      <alignment horizontal="center" vertical="center" wrapText="1"/>
    </xf>
    <xf numFmtId="0" fontId="3" fillId="46" borderId="107" xfId="1820" applyFont="1" applyFill="1" applyBorder="1" applyAlignment="1">
      <alignment horizontal="center" vertical="center" wrapText="1"/>
    </xf>
    <xf numFmtId="0" fontId="3" fillId="46" borderId="159" xfId="1820" applyFont="1" applyFill="1" applyBorder="1" applyAlignment="1">
      <alignment horizontal="center" vertical="center" wrapText="1"/>
    </xf>
    <xf numFmtId="0" fontId="3" fillId="46" borderId="111" xfId="1820" applyFont="1" applyFill="1" applyBorder="1" applyAlignment="1">
      <alignment horizontal="center" vertical="center" wrapText="1"/>
    </xf>
    <xf numFmtId="4" fontId="5" fillId="29" borderId="9" xfId="1820" quotePrefix="1" applyNumberFormat="1" applyFont="1" applyFill="1" applyBorder="1" applyAlignment="1">
      <alignment horizontal="center" vertical="center" wrapText="1"/>
    </xf>
    <xf numFmtId="4" fontId="5" fillId="29" borderId="55" xfId="1820" quotePrefix="1" applyNumberFormat="1" applyFont="1" applyFill="1" applyBorder="1" applyAlignment="1">
      <alignment horizontal="center" vertical="center" wrapText="1"/>
    </xf>
    <xf numFmtId="4" fontId="5" fillId="29" borderId="56" xfId="1820" quotePrefix="1" applyNumberFormat="1" applyFont="1" applyFill="1" applyBorder="1" applyAlignment="1">
      <alignment horizontal="center" vertical="center" wrapText="1"/>
    </xf>
    <xf numFmtId="4" fontId="5" fillId="29" borderId="153" xfId="1820" quotePrefix="1" applyNumberFormat="1" applyFont="1" applyFill="1" applyBorder="1" applyAlignment="1">
      <alignment horizontal="center" vertical="center" wrapText="1"/>
    </xf>
    <xf numFmtId="4" fontId="5" fillId="73" borderId="55" xfId="1820" applyNumberFormat="1" applyFont="1" applyFill="1" applyBorder="1" applyAlignment="1">
      <alignment horizontal="center" vertical="center" wrapText="1"/>
    </xf>
    <xf numFmtId="4" fontId="5" fillId="73" borderId="56" xfId="1820" applyNumberFormat="1" applyFont="1" applyFill="1" applyBorder="1" applyAlignment="1">
      <alignment horizontal="center" vertical="center" wrapText="1"/>
    </xf>
    <xf numFmtId="4" fontId="5" fillId="29" borderId="9" xfId="1820" applyNumberFormat="1" applyFont="1" applyFill="1" applyBorder="1" applyAlignment="1">
      <alignment horizontal="center" vertical="center" wrapText="1"/>
    </xf>
    <xf numFmtId="0" fontId="3" fillId="0" borderId="141" xfId="1820" applyFont="1" applyBorder="1" applyAlignment="1">
      <alignment horizontal="center" wrapText="1"/>
    </xf>
    <xf numFmtId="0" fontId="3" fillId="0" borderId="111" xfId="1820" applyFont="1" applyBorder="1" applyAlignment="1">
      <alignment horizontal="center" wrapText="1"/>
    </xf>
    <xf numFmtId="0" fontId="5" fillId="39" borderId="98" xfId="1820" applyFont="1" applyFill="1" applyBorder="1" applyAlignment="1">
      <alignment horizontal="center" vertical="center" wrapText="1"/>
    </xf>
    <xf numFmtId="0" fontId="5" fillId="39" borderId="87" xfId="1820" applyFont="1" applyFill="1" applyBorder="1" applyAlignment="1">
      <alignment horizontal="center" vertical="center" wrapText="1"/>
    </xf>
    <xf numFmtId="0" fontId="5" fillId="39" borderId="80" xfId="1820" applyFont="1" applyFill="1" applyBorder="1" applyAlignment="1">
      <alignment horizontal="center" vertical="center" wrapText="1"/>
    </xf>
    <xf numFmtId="0" fontId="66" fillId="0" borderId="98" xfId="1811" applyFont="1" applyBorder="1" applyAlignment="1">
      <alignment horizontal="center"/>
    </xf>
    <xf numFmtId="0" fontId="66" fillId="0" borderId="41" xfId="1811" applyFont="1" applyBorder="1" applyAlignment="1">
      <alignment horizontal="center"/>
    </xf>
    <xf numFmtId="2" fontId="0" fillId="0" borderId="0" xfId="0" applyNumberFormat="1"/>
    <xf numFmtId="0" fontId="66" fillId="0" borderId="163" xfId="1811" applyFont="1" applyBorder="1" applyAlignment="1">
      <alignment horizontal="center"/>
    </xf>
    <xf numFmtId="0" fontId="66" fillId="0" borderId="62" xfId="1811" applyFont="1" applyBorder="1" applyAlignment="1">
      <alignment horizontal="center"/>
    </xf>
    <xf numFmtId="0" fontId="66" fillId="0" borderId="88" xfId="1811" applyFont="1" applyBorder="1" applyAlignment="1">
      <alignment horizontal="center"/>
    </xf>
    <xf numFmtId="0" fontId="66" fillId="0" borderId="67" xfId="1811" applyFont="1" applyBorder="1" applyAlignment="1">
      <alignment horizontal="center"/>
    </xf>
    <xf numFmtId="0" fontId="66" fillId="0" borderId="164" xfId="1811" applyFont="1" applyBorder="1" applyAlignment="1">
      <alignment horizontal="center"/>
    </xf>
    <xf numFmtId="0" fontId="66" fillId="0" borderId="165" xfId="1811" applyFont="1" applyBorder="1" applyAlignment="1">
      <alignment horizontal="center"/>
    </xf>
    <xf numFmtId="0" fontId="3" fillId="0" borderId="55" xfId="0" applyFont="1" applyBorder="1" applyAlignment="1">
      <alignment horizontal="center" vertical="center"/>
    </xf>
    <xf numFmtId="0" fontId="3" fillId="0" borderId="70" xfId="0" applyFont="1" applyBorder="1" applyAlignment="1">
      <alignment horizontal="center" vertical="center"/>
    </xf>
    <xf numFmtId="0" fontId="3" fillId="0" borderId="56" xfId="0" applyFont="1" applyBorder="1" applyAlignment="1">
      <alignment horizontal="center" vertical="center"/>
    </xf>
    <xf numFmtId="0" fontId="3" fillId="0" borderId="9" xfId="0" applyFont="1" applyBorder="1" applyAlignment="1">
      <alignment horizontal="center" vertical="center"/>
    </xf>
    <xf numFmtId="0" fontId="3" fillId="0" borderId="9" xfId="0" applyFont="1" applyBorder="1" applyAlignment="1">
      <alignment wrapText="1"/>
    </xf>
    <xf numFmtId="0" fontId="3" fillId="0" borderId="55" xfId="0" applyFont="1" applyBorder="1" applyAlignment="1">
      <alignment wrapText="1"/>
    </xf>
    <xf numFmtId="0" fontId="3" fillId="0" borderId="70" xfId="0" applyFont="1" applyBorder="1" applyAlignment="1">
      <alignment wrapText="1"/>
    </xf>
    <xf numFmtId="0" fontId="3" fillId="0" borderId="56" xfId="0" applyFont="1" applyBorder="1" applyAlignment="1">
      <alignment wrapText="1"/>
    </xf>
    <xf numFmtId="0" fontId="3" fillId="0" borderId="9" xfId="0" applyFont="1" applyBorder="1" applyAlignment="1">
      <alignment vertical="center" wrapText="1"/>
    </xf>
    <xf numFmtId="0" fontId="19" fillId="0" borderId="9" xfId="0" applyFont="1" applyBorder="1" applyAlignment="1">
      <alignment wrapText="1"/>
    </xf>
    <xf numFmtId="0" fontId="3" fillId="0" borderId="9" xfId="0" applyFont="1" applyBorder="1"/>
    <xf numFmtId="0" fontId="3" fillId="0" borderId="66" xfId="0" applyFont="1" applyBorder="1" applyAlignment="1">
      <alignment wrapText="1"/>
    </xf>
    <xf numFmtId="0" fontId="3" fillId="0" borderId="63" xfId="0" applyFont="1" applyBorder="1" applyAlignment="1">
      <alignment wrapText="1"/>
    </xf>
    <xf numFmtId="0" fontId="3" fillId="0" borderId="55" xfId="0" applyFont="1" applyBorder="1" applyAlignment="1">
      <alignment vertical="center" wrapText="1"/>
    </xf>
    <xf numFmtId="0" fontId="3" fillId="0" borderId="70" xfId="0" applyFont="1" applyBorder="1" applyAlignment="1">
      <alignment vertical="center" wrapText="1"/>
    </xf>
    <xf numFmtId="0" fontId="3" fillId="0" borderId="56" xfId="0" applyFont="1" applyBorder="1" applyAlignment="1">
      <alignment vertical="center" wrapText="1"/>
    </xf>
    <xf numFmtId="0" fontId="3"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3" fillId="0" borderId="56" xfId="0" applyFont="1" applyBorder="1" applyAlignment="1">
      <alignment horizontal="center" vertical="center" wrapText="1"/>
    </xf>
    <xf numFmtId="0" fontId="3" fillId="0" borderId="9" xfId="0" applyFont="1" applyBorder="1" applyAlignment="1">
      <alignment vertical="center"/>
    </xf>
    <xf numFmtId="0" fontId="3" fillId="0" borderId="55" xfId="0" applyFont="1" applyBorder="1" applyAlignment="1">
      <alignment horizontal="center" wrapText="1"/>
    </xf>
    <xf numFmtId="0" fontId="3" fillId="0" borderId="70" xfId="0" applyFont="1" applyBorder="1" applyAlignment="1">
      <alignment horizontal="center" wrapText="1"/>
    </xf>
    <xf numFmtId="0" fontId="3" fillId="0" borderId="56" xfId="0" applyFont="1" applyBorder="1" applyAlignment="1">
      <alignment horizontal="center" wrapText="1"/>
    </xf>
    <xf numFmtId="0" fontId="3" fillId="0" borderId="70" xfId="0" applyFont="1" applyBorder="1" applyAlignment="1">
      <alignment vertical="center"/>
    </xf>
    <xf numFmtId="0" fontId="3" fillId="0" borderId="0" xfId="0" applyFont="1" applyAlignment="1">
      <alignment wrapText="1"/>
    </xf>
    <xf numFmtId="0" fontId="3" fillId="0" borderId="55" xfId="0" applyFont="1" applyBorder="1" applyAlignment="1">
      <alignment vertical="center"/>
    </xf>
    <xf numFmtId="0" fontId="3" fillId="0" borderId="56" xfId="0" applyFont="1" applyBorder="1" applyAlignment="1">
      <alignment vertical="center"/>
    </xf>
    <xf numFmtId="0" fontId="24" fillId="0" borderId="86" xfId="0" applyFont="1" applyBorder="1" applyAlignment="1">
      <alignment horizontal="center" wrapText="1"/>
    </xf>
    <xf numFmtId="1" fontId="82" fillId="0" borderId="166" xfId="1815" applyNumberFormat="1" applyFont="1" applyBorder="1" applyAlignment="1">
      <alignment horizontal="center"/>
    </xf>
    <xf numFmtId="1" fontId="82" fillId="0" borderId="167" xfId="1815" applyNumberFormat="1" applyFont="1" applyBorder="1" applyAlignment="1">
      <alignment horizontal="center"/>
    </xf>
    <xf numFmtId="1" fontId="82" fillId="0" borderId="151" xfId="1815" applyNumberFormat="1" applyFont="1" applyBorder="1" applyAlignment="1">
      <alignment horizontal="center"/>
    </xf>
    <xf numFmtId="0" fontId="82" fillId="0" borderId="9" xfId="1815" applyFont="1" applyBorder="1" applyAlignment="1">
      <alignment horizontal="center"/>
    </xf>
    <xf numFmtId="0" fontId="102" fillId="0" borderId="9" xfId="1815" applyFont="1" applyBorder="1" applyAlignment="1">
      <alignment horizontal="center"/>
    </xf>
    <xf numFmtId="0" fontId="82" fillId="0" borderId="66" xfId="1815" applyFont="1" applyBorder="1" applyAlignment="1">
      <alignment horizontal="center"/>
    </xf>
    <xf numFmtId="0" fontId="82" fillId="0" borderId="69" xfId="1815" applyFont="1" applyBorder="1" applyAlignment="1">
      <alignment horizontal="center"/>
    </xf>
    <xf numFmtId="0" fontId="82" fillId="0" borderId="63" xfId="1815" applyFont="1" applyBorder="1" applyAlignment="1">
      <alignment horizontal="center"/>
    </xf>
    <xf numFmtId="0" fontId="106" fillId="0" borderId="60" xfId="0" applyFont="1" applyBorder="1" applyAlignment="1">
      <alignment horizontal="center" vertical="center" wrapText="1"/>
    </xf>
    <xf numFmtId="0" fontId="106" fillId="0" borderId="59" xfId="0" applyFont="1" applyBorder="1" applyAlignment="1">
      <alignment horizontal="center" vertical="center" wrapText="1"/>
    </xf>
    <xf numFmtId="0" fontId="106" fillId="0" borderId="155" xfId="0" applyFont="1" applyBorder="1" applyAlignment="1">
      <alignment horizontal="center" vertical="center" wrapText="1"/>
    </xf>
    <xf numFmtId="0" fontId="106" fillId="0" borderId="171" xfId="0" applyFont="1" applyBorder="1" applyAlignment="1">
      <alignment horizontal="center" vertical="center" wrapText="1"/>
    </xf>
    <xf numFmtId="0" fontId="109" fillId="0" borderId="9" xfId="0" applyFont="1" applyBorder="1" applyAlignment="1">
      <alignment horizontal="left" vertical="center" wrapText="1"/>
    </xf>
    <xf numFmtId="0" fontId="109" fillId="0" borderId="65" xfId="0" applyFont="1" applyBorder="1" applyAlignment="1">
      <alignment horizontal="left" vertical="center" wrapText="1"/>
    </xf>
    <xf numFmtId="0" fontId="109" fillId="0" borderId="90" xfId="0" applyFont="1" applyBorder="1" applyAlignment="1">
      <alignment horizontal="left" vertical="center" wrapText="1"/>
    </xf>
    <xf numFmtId="0" fontId="109" fillId="0" borderId="91" xfId="0" applyFont="1" applyBorder="1" applyAlignment="1">
      <alignment horizontal="left" vertical="center" wrapText="1"/>
    </xf>
    <xf numFmtId="0" fontId="106" fillId="0" borderId="64" xfId="0" applyFont="1" applyBorder="1" applyAlignment="1">
      <alignment horizontal="center" vertical="center" wrapText="1"/>
    </xf>
    <xf numFmtId="0" fontId="104" fillId="78" borderId="92" xfId="0" applyFont="1" applyFill="1" applyBorder="1" applyAlignment="1">
      <alignment horizontal="center" vertical="center" wrapText="1"/>
    </xf>
    <xf numFmtId="0" fontId="104" fillId="78" borderId="89" xfId="0" applyFont="1" applyFill="1" applyBorder="1" applyAlignment="1">
      <alignment horizontal="center" vertical="center" wrapText="1"/>
    </xf>
    <xf numFmtId="0" fontId="108" fillId="78" borderId="147" xfId="0" applyFont="1" applyFill="1" applyBorder="1" applyAlignment="1">
      <alignment horizontal="center"/>
    </xf>
    <xf numFmtId="0" fontId="108" fillId="78" borderId="168" xfId="0" applyFont="1" applyFill="1" applyBorder="1" applyAlignment="1">
      <alignment horizontal="center"/>
    </xf>
    <xf numFmtId="0" fontId="108" fillId="78" borderId="62" xfId="0" applyFont="1" applyFill="1" applyBorder="1" applyAlignment="1">
      <alignment horizontal="center"/>
    </xf>
    <xf numFmtId="0" fontId="104" fillId="78" borderId="166" xfId="0" applyFont="1" applyFill="1" applyBorder="1" applyAlignment="1">
      <alignment horizontal="center" vertical="center" wrapText="1"/>
    </xf>
    <xf numFmtId="0" fontId="104" fillId="78" borderId="167" xfId="0" applyFont="1" applyFill="1" applyBorder="1" applyAlignment="1">
      <alignment horizontal="center" vertical="center" wrapText="1"/>
    </xf>
    <xf numFmtId="0" fontId="104" fillId="78" borderId="165" xfId="0" applyFont="1" applyFill="1" applyBorder="1" applyAlignment="1">
      <alignment horizontal="center" vertical="center" wrapText="1"/>
    </xf>
    <xf numFmtId="0" fontId="106" fillId="0" borderId="89" xfId="0" applyFont="1" applyBorder="1" applyAlignment="1">
      <alignment horizontal="center" vertical="center" wrapText="1"/>
    </xf>
    <xf numFmtId="0" fontId="106" fillId="0" borderId="83" xfId="0" applyFont="1" applyBorder="1" applyAlignment="1">
      <alignment horizontal="center" vertical="center"/>
    </xf>
    <xf numFmtId="0" fontId="106" fillId="0" borderId="86" xfId="0" applyFont="1" applyBorder="1" applyAlignment="1">
      <alignment horizontal="center" vertical="center"/>
    </xf>
    <xf numFmtId="0" fontId="106" fillId="0" borderId="170" xfId="0" applyFont="1" applyBorder="1" applyAlignment="1">
      <alignment horizontal="center" vertical="center"/>
    </xf>
    <xf numFmtId="0" fontId="106" fillId="0" borderId="66" xfId="0" applyFont="1" applyBorder="1" applyAlignment="1">
      <alignment horizontal="center" vertical="center"/>
    </xf>
    <xf numFmtId="0" fontId="106" fillId="0" borderId="69" xfId="0" applyFont="1" applyBorder="1" applyAlignment="1">
      <alignment horizontal="center" vertical="center"/>
    </xf>
    <xf numFmtId="0" fontId="106" fillId="0" borderId="67" xfId="0" applyFont="1" applyBorder="1" applyAlignment="1">
      <alignment horizontal="center" vertical="center"/>
    </xf>
    <xf numFmtId="0" fontId="106" fillId="0" borderId="9" xfId="0" applyFont="1" applyBorder="1" applyAlignment="1">
      <alignment horizontal="center" vertical="center" wrapText="1"/>
    </xf>
    <xf numFmtId="0" fontId="109" fillId="0" borderId="9" xfId="0" applyFont="1" applyBorder="1" applyAlignment="1">
      <alignment horizontal="left" wrapText="1"/>
    </xf>
    <xf numFmtId="0" fontId="109" fillId="0" borderId="65" xfId="0" applyFont="1" applyBorder="1" applyAlignment="1">
      <alignment horizontal="left" wrapText="1"/>
    </xf>
    <xf numFmtId="0" fontId="81" fillId="0" borderId="169" xfId="1815" applyFont="1" applyBorder="1" applyAlignment="1">
      <alignment horizontal="center" vertical="center"/>
    </xf>
    <xf numFmtId="0" fontId="81" fillId="0" borderId="96" xfId="1815" applyFont="1" applyBorder="1" applyAlignment="1">
      <alignment horizontal="center" vertical="center"/>
    </xf>
    <xf numFmtId="0" fontId="81" fillId="0" borderId="153" xfId="1815" applyFont="1" applyBorder="1" applyAlignment="1">
      <alignment horizontal="center" vertical="center"/>
    </xf>
    <xf numFmtId="0" fontId="81" fillId="0" borderId="42" xfId="1815" applyFont="1" applyBorder="1" applyAlignment="1">
      <alignment horizontal="center" vertical="center"/>
    </xf>
    <xf numFmtId="0" fontId="81" fillId="0" borderId="99" xfId="1815" applyFont="1" applyBorder="1" applyAlignment="1">
      <alignment horizontal="center" vertical="center"/>
    </xf>
    <xf numFmtId="0" fontId="81" fillId="0" borderId="153" xfId="1815" applyFont="1" applyBorder="1" applyAlignment="1">
      <alignment horizontal="center" vertical="center" wrapText="1"/>
    </xf>
    <xf numFmtId="0" fontId="81" fillId="0" borderId="56" xfId="1815" applyFont="1" applyBorder="1" applyAlignment="1">
      <alignment horizontal="center" vertical="center" wrapText="1"/>
    </xf>
    <xf numFmtId="0" fontId="81" fillId="0" borderId="169" xfId="1815" applyFont="1" applyBorder="1" applyAlignment="1">
      <alignment horizontal="center" vertical="center" wrapText="1"/>
    </xf>
    <xf numFmtId="0" fontId="81" fillId="0" borderId="78" xfId="1815" applyFont="1" applyBorder="1" applyAlignment="1">
      <alignment horizontal="center" vertical="center" wrapText="1"/>
    </xf>
    <xf numFmtId="0" fontId="81" fillId="0" borderId="56" xfId="1815" applyFont="1" applyBorder="1" applyAlignment="1">
      <alignment horizontal="center" vertical="center"/>
    </xf>
    <xf numFmtId="0" fontId="81" fillId="0" borderId="78" xfId="1815" applyFont="1" applyBorder="1" applyAlignment="1">
      <alignment horizontal="center" vertical="center"/>
    </xf>
    <xf numFmtId="0" fontId="81" fillId="0" borderId="70" xfId="1815" applyFont="1" applyBorder="1" applyAlignment="1">
      <alignment horizontal="center" vertical="center"/>
    </xf>
    <xf numFmtId="0" fontId="81" fillId="0" borderId="57" xfId="1815" applyFont="1" applyBorder="1" applyAlignment="1">
      <alignment horizontal="center" vertical="center"/>
    </xf>
    <xf numFmtId="0" fontId="103" fillId="78" borderId="79" xfId="1815" applyFont="1" applyFill="1" applyBorder="1" applyAlignment="1">
      <alignment horizontal="center"/>
    </xf>
    <xf numFmtId="0" fontId="103" fillId="78" borderId="81" xfId="1815" applyFont="1" applyFill="1" applyBorder="1" applyAlignment="1">
      <alignment horizontal="center"/>
    </xf>
    <xf numFmtId="0" fontId="103" fillId="78" borderId="75" xfId="1815" applyFont="1" applyFill="1" applyBorder="1" applyAlignment="1">
      <alignment horizontal="center"/>
    </xf>
    <xf numFmtId="0" fontId="82" fillId="78" borderId="169" xfId="1815" applyFont="1" applyFill="1" applyBorder="1" applyAlignment="1">
      <alignment horizontal="center"/>
    </xf>
    <xf numFmtId="0" fontId="82" fillId="78" borderId="153" xfId="1815" applyFont="1" applyFill="1" applyBorder="1" applyAlignment="1">
      <alignment horizontal="center"/>
    </xf>
    <xf numFmtId="0" fontId="82" fillId="78" borderId="172" xfId="1815" applyFont="1" applyFill="1" applyBorder="1" applyAlignment="1">
      <alignment horizontal="center"/>
    </xf>
    <xf numFmtId="0" fontId="81" fillId="0" borderId="92" xfId="1815" applyFont="1" applyBorder="1" applyAlignment="1">
      <alignment horizontal="center" vertical="center"/>
    </xf>
    <xf numFmtId="0" fontId="81" fillId="0" borderId="64" xfId="1815" applyFont="1" applyBorder="1" applyAlignment="1">
      <alignment horizontal="center" vertical="center"/>
    </xf>
    <xf numFmtId="0" fontId="81" fillId="0" borderId="89" xfId="1815" applyFont="1" applyBorder="1" applyAlignment="1">
      <alignment horizontal="center" vertical="center"/>
    </xf>
    <xf numFmtId="0" fontId="81" fillId="0" borderId="153" xfId="1815" applyFont="1" applyBorder="1" applyAlignment="1">
      <alignment horizontal="left" vertical="center"/>
    </xf>
    <xf numFmtId="0" fontId="81" fillId="0" borderId="70" xfId="1815" applyFont="1" applyBorder="1" applyAlignment="1">
      <alignment horizontal="left" vertical="center"/>
    </xf>
    <xf numFmtId="0" fontId="81" fillId="0" borderId="42" xfId="1815" applyFont="1" applyBorder="1" applyAlignment="1">
      <alignment horizontal="left" vertical="center"/>
    </xf>
    <xf numFmtId="16" fontId="106" fillId="0" borderId="0" xfId="0" applyNumberFormat="1" applyFont="1" applyAlignment="1">
      <alignment horizontal="center" vertical="center"/>
    </xf>
    <xf numFmtId="0" fontId="25" fillId="78" borderId="90" xfId="0" applyFont="1" applyFill="1" applyBorder="1" applyAlignment="1">
      <alignment horizontal="center"/>
    </xf>
    <xf numFmtId="0" fontId="106" fillId="0" borderId="56" xfId="0" applyFont="1" applyBorder="1" applyAlignment="1">
      <alignment horizontal="center" vertical="center" wrapText="1"/>
    </xf>
    <xf numFmtId="0" fontId="25" fillId="78" borderId="0" xfId="0" applyFont="1" applyFill="1" applyAlignment="1">
      <alignment horizontal="center"/>
    </xf>
    <xf numFmtId="0" fontId="82" fillId="77" borderId="64" xfId="1815" applyFont="1" applyFill="1" applyBorder="1" applyAlignment="1">
      <alignment horizontal="center"/>
    </xf>
    <xf numFmtId="0" fontId="82" fillId="77" borderId="9" xfId="1815" applyFont="1" applyFill="1" applyBorder="1" applyAlignment="1">
      <alignment horizontal="center"/>
    </xf>
    <xf numFmtId="0" fontId="82" fillId="0" borderId="65" xfId="1815" applyFont="1" applyBorder="1" applyAlignment="1">
      <alignment horizontal="center"/>
    </xf>
    <xf numFmtId="0" fontId="86" fillId="75" borderId="163" xfId="1815" applyFont="1" applyFill="1" applyBorder="1" applyAlignment="1">
      <alignment horizontal="center"/>
    </xf>
    <xf numFmtId="0" fontId="86" fillId="75" borderId="168" xfId="1815" applyFont="1" applyFill="1" applyBorder="1" applyAlignment="1">
      <alignment horizontal="center"/>
    </xf>
    <xf numFmtId="0" fontId="86" fillId="75" borderId="62" xfId="1815" applyFont="1" applyFill="1" applyBorder="1" applyAlignment="1">
      <alignment horizontal="center"/>
    </xf>
    <xf numFmtId="0" fontId="82" fillId="74" borderId="9" xfId="1815" applyFont="1" applyFill="1" applyBorder="1" applyAlignment="1">
      <alignment horizontal="center"/>
    </xf>
    <xf numFmtId="0" fontId="86" fillId="75" borderId="83" xfId="1815" applyFont="1" applyFill="1" applyBorder="1" applyAlignment="1">
      <alignment horizontal="center"/>
    </xf>
    <xf numFmtId="0" fontId="86" fillId="75" borderId="86" xfId="1815" applyFont="1" applyFill="1" applyBorder="1" applyAlignment="1">
      <alignment horizontal="center"/>
    </xf>
    <xf numFmtId="0" fontId="86" fillId="75" borderId="9" xfId="1815" applyFont="1" applyFill="1" applyBorder="1" applyAlignment="1">
      <alignment horizontal="center"/>
    </xf>
    <xf numFmtId="0" fontId="82" fillId="74" borderId="66" xfId="1815" applyFont="1" applyFill="1" applyBorder="1" applyAlignment="1">
      <alignment horizontal="center"/>
    </xf>
    <xf numFmtId="0" fontId="82" fillId="74" borderId="69" xfId="1815" applyFont="1" applyFill="1" applyBorder="1" applyAlignment="1">
      <alignment horizontal="center"/>
    </xf>
    <xf numFmtId="0" fontId="82" fillId="74" borderId="63" xfId="1815" applyFont="1" applyFill="1" applyBorder="1" applyAlignment="1">
      <alignment horizontal="center"/>
    </xf>
    <xf numFmtId="1" fontId="82" fillId="74" borderId="166" xfId="1815" applyNumberFormat="1" applyFont="1" applyFill="1" applyBorder="1" applyAlignment="1">
      <alignment horizontal="center"/>
    </xf>
    <xf numFmtId="1" fontId="82" fillId="74" borderId="167" xfId="1815" applyNumberFormat="1" applyFont="1" applyFill="1" applyBorder="1" applyAlignment="1">
      <alignment horizontal="center"/>
    </xf>
    <xf numFmtId="1" fontId="82" fillId="74" borderId="151" xfId="1815" applyNumberFormat="1" applyFont="1" applyFill="1" applyBorder="1" applyAlignment="1">
      <alignment horizontal="center"/>
    </xf>
  </cellXfs>
  <cellStyles count="2074">
    <cellStyle name="20% - Accent1 10" xfId="1" xr:uid="{00000000-0005-0000-0000-000000000000}"/>
    <cellStyle name="20% - Accent1 10 2" xfId="2" xr:uid="{00000000-0005-0000-0000-000001000000}"/>
    <cellStyle name="20% - Accent1 10 3" xfId="3" xr:uid="{00000000-0005-0000-0000-000002000000}"/>
    <cellStyle name="20% - Accent1 11" xfId="4" xr:uid="{00000000-0005-0000-0000-000003000000}"/>
    <cellStyle name="20% - Accent1 12" xfId="5" xr:uid="{00000000-0005-0000-0000-000004000000}"/>
    <cellStyle name="20% - Accent1 2" xfId="6" xr:uid="{00000000-0005-0000-0000-000005000000}"/>
    <cellStyle name="20% - Accent1 2 2" xfId="7" xr:uid="{00000000-0005-0000-0000-000006000000}"/>
    <cellStyle name="20% - Accent1 2 3" xfId="8" xr:uid="{00000000-0005-0000-0000-000007000000}"/>
    <cellStyle name="20% - Accent1 2 4" xfId="9" xr:uid="{00000000-0005-0000-0000-000008000000}"/>
    <cellStyle name="20% - Accent1 2 5" xfId="10" xr:uid="{00000000-0005-0000-0000-000009000000}"/>
    <cellStyle name="20% - Accent1 2 6" xfId="11" xr:uid="{00000000-0005-0000-0000-00000A000000}"/>
    <cellStyle name="20% - Accent1 2 7" xfId="12" xr:uid="{00000000-0005-0000-0000-00000B000000}"/>
    <cellStyle name="20% - Accent1 2 8" xfId="13" xr:uid="{00000000-0005-0000-0000-00000C000000}"/>
    <cellStyle name="20% - Accent1 2 9" xfId="14" xr:uid="{00000000-0005-0000-0000-00000D000000}"/>
    <cellStyle name="20% - Accent1 3" xfId="15" xr:uid="{00000000-0005-0000-0000-00000E000000}"/>
    <cellStyle name="20% - Accent1 3 2" xfId="16" xr:uid="{00000000-0005-0000-0000-00000F000000}"/>
    <cellStyle name="20% - Accent1 3 3" xfId="17" xr:uid="{00000000-0005-0000-0000-000010000000}"/>
    <cellStyle name="20% - Accent1 3 4" xfId="18" xr:uid="{00000000-0005-0000-0000-000011000000}"/>
    <cellStyle name="20% - Accent1 3 5" xfId="19" xr:uid="{00000000-0005-0000-0000-000012000000}"/>
    <cellStyle name="20% - Accent1 3 6" xfId="20" xr:uid="{00000000-0005-0000-0000-000013000000}"/>
    <cellStyle name="20% - Accent1 3 7" xfId="21" xr:uid="{00000000-0005-0000-0000-000014000000}"/>
    <cellStyle name="20% - Accent1 3 8" xfId="22" xr:uid="{00000000-0005-0000-0000-000015000000}"/>
    <cellStyle name="20% - Accent1 3 9" xfId="23" xr:uid="{00000000-0005-0000-0000-000016000000}"/>
    <cellStyle name="20% - Accent1 4" xfId="24" xr:uid="{00000000-0005-0000-0000-000017000000}"/>
    <cellStyle name="20% - Accent1 4 2" xfId="25" xr:uid="{00000000-0005-0000-0000-000018000000}"/>
    <cellStyle name="20% - Accent1 4 3" xfId="26" xr:uid="{00000000-0005-0000-0000-000019000000}"/>
    <cellStyle name="20% - Accent1 4 4" xfId="27" xr:uid="{00000000-0005-0000-0000-00001A000000}"/>
    <cellStyle name="20% - Accent1 4 5" xfId="28" xr:uid="{00000000-0005-0000-0000-00001B000000}"/>
    <cellStyle name="20% - Accent1 4 6" xfId="29" xr:uid="{00000000-0005-0000-0000-00001C000000}"/>
    <cellStyle name="20% - Accent1 4 7" xfId="30" xr:uid="{00000000-0005-0000-0000-00001D000000}"/>
    <cellStyle name="20% - Accent1 4 8" xfId="31" xr:uid="{00000000-0005-0000-0000-00001E000000}"/>
    <cellStyle name="20% - Accent1 4 9" xfId="32" xr:uid="{00000000-0005-0000-0000-00001F000000}"/>
    <cellStyle name="20% - Accent1 5" xfId="33" xr:uid="{00000000-0005-0000-0000-000020000000}"/>
    <cellStyle name="20% - Accent1 5 2" xfId="34" xr:uid="{00000000-0005-0000-0000-000021000000}"/>
    <cellStyle name="20% - Accent1 5 3" xfId="35" xr:uid="{00000000-0005-0000-0000-000022000000}"/>
    <cellStyle name="20% - Accent1 6" xfId="36" xr:uid="{00000000-0005-0000-0000-000023000000}"/>
    <cellStyle name="20% - Accent1 6 2" xfId="37" xr:uid="{00000000-0005-0000-0000-000024000000}"/>
    <cellStyle name="20% - Accent1 6 3" xfId="38" xr:uid="{00000000-0005-0000-0000-000025000000}"/>
    <cellStyle name="20% - Accent1 7" xfId="39" xr:uid="{00000000-0005-0000-0000-000026000000}"/>
    <cellStyle name="20% - Accent1 7 2" xfId="40" xr:uid="{00000000-0005-0000-0000-000027000000}"/>
    <cellStyle name="20% - Accent1 7 3" xfId="41" xr:uid="{00000000-0005-0000-0000-000028000000}"/>
    <cellStyle name="20% - Accent1 8" xfId="42" xr:uid="{00000000-0005-0000-0000-000029000000}"/>
    <cellStyle name="20% - Accent1 8 2" xfId="43" xr:uid="{00000000-0005-0000-0000-00002A000000}"/>
    <cellStyle name="20% - Accent1 8 3" xfId="44" xr:uid="{00000000-0005-0000-0000-00002B000000}"/>
    <cellStyle name="20% - Accent1 9" xfId="45" xr:uid="{00000000-0005-0000-0000-00002C000000}"/>
    <cellStyle name="20% - Accent1 9 2" xfId="46" xr:uid="{00000000-0005-0000-0000-00002D000000}"/>
    <cellStyle name="20% - Accent1 9 3" xfId="47" xr:uid="{00000000-0005-0000-0000-00002E000000}"/>
    <cellStyle name="20% - Accent2 10" xfId="48" xr:uid="{00000000-0005-0000-0000-00002F000000}"/>
    <cellStyle name="20% - Accent2 10 2" xfId="49" xr:uid="{00000000-0005-0000-0000-000030000000}"/>
    <cellStyle name="20% - Accent2 10 3" xfId="50" xr:uid="{00000000-0005-0000-0000-000031000000}"/>
    <cellStyle name="20% - Accent2 11" xfId="51" xr:uid="{00000000-0005-0000-0000-000032000000}"/>
    <cellStyle name="20% - Accent2 12" xfId="52" xr:uid="{00000000-0005-0000-0000-000033000000}"/>
    <cellStyle name="20% - Accent2 2" xfId="53" xr:uid="{00000000-0005-0000-0000-000034000000}"/>
    <cellStyle name="20% - Accent2 2 2" xfId="54" xr:uid="{00000000-0005-0000-0000-000035000000}"/>
    <cellStyle name="20% - Accent2 2 3" xfId="55" xr:uid="{00000000-0005-0000-0000-000036000000}"/>
    <cellStyle name="20% - Accent2 2 4" xfId="56" xr:uid="{00000000-0005-0000-0000-000037000000}"/>
    <cellStyle name="20% - Accent2 2 5" xfId="57" xr:uid="{00000000-0005-0000-0000-000038000000}"/>
    <cellStyle name="20% - Accent2 2 6" xfId="58" xr:uid="{00000000-0005-0000-0000-000039000000}"/>
    <cellStyle name="20% - Accent2 2 7" xfId="59" xr:uid="{00000000-0005-0000-0000-00003A000000}"/>
    <cellStyle name="20% - Accent2 2 8" xfId="60" xr:uid="{00000000-0005-0000-0000-00003B000000}"/>
    <cellStyle name="20% - Accent2 2 9" xfId="61" xr:uid="{00000000-0005-0000-0000-00003C000000}"/>
    <cellStyle name="20% - Accent2 3" xfId="62" xr:uid="{00000000-0005-0000-0000-00003D000000}"/>
    <cellStyle name="20% - Accent2 3 2" xfId="63" xr:uid="{00000000-0005-0000-0000-00003E000000}"/>
    <cellStyle name="20% - Accent2 3 3" xfId="64" xr:uid="{00000000-0005-0000-0000-00003F000000}"/>
    <cellStyle name="20% - Accent2 3 4" xfId="65" xr:uid="{00000000-0005-0000-0000-000040000000}"/>
    <cellStyle name="20% - Accent2 3 5" xfId="66" xr:uid="{00000000-0005-0000-0000-000041000000}"/>
    <cellStyle name="20% - Accent2 3 6" xfId="67" xr:uid="{00000000-0005-0000-0000-000042000000}"/>
    <cellStyle name="20% - Accent2 3 7" xfId="68" xr:uid="{00000000-0005-0000-0000-000043000000}"/>
    <cellStyle name="20% - Accent2 3 8" xfId="69" xr:uid="{00000000-0005-0000-0000-000044000000}"/>
    <cellStyle name="20% - Accent2 3 9" xfId="70" xr:uid="{00000000-0005-0000-0000-000045000000}"/>
    <cellStyle name="20% - Accent2 4" xfId="71" xr:uid="{00000000-0005-0000-0000-000046000000}"/>
    <cellStyle name="20% - Accent2 4 2" xfId="72" xr:uid="{00000000-0005-0000-0000-000047000000}"/>
    <cellStyle name="20% - Accent2 4 3" xfId="73" xr:uid="{00000000-0005-0000-0000-000048000000}"/>
    <cellStyle name="20% - Accent2 4 4" xfId="74" xr:uid="{00000000-0005-0000-0000-000049000000}"/>
    <cellStyle name="20% - Accent2 4 5" xfId="75" xr:uid="{00000000-0005-0000-0000-00004A000000}"/>
    <cellStyle name="20% - Accent2 4 6" xfId="76" xr:uid="{00000000-0005-0000-0000-00004B000000}"/>
    <cellStyle name="20% - Accent2 4 7" xfId="77" xr:uid="{00000000-0005-0000-0000-00004C000000}"/>
    <cellStyle name="20% - Accent2 4 8" xfId="78" xr:uid="{00000000-0005-0000-0000-00004D000000}"/>
    <cellStyle name="20% - Accent2 4 9" xfId="79" xr:uid="{00000000-0005-0000-0000-00004E000000}"/>
    <cellStyle name="20% - Accent2 5" xfId="80" xr:uid="{00000000-0005-0000-0000-00004F000000}"/>
    <cellStyle name="20% - Accent2 5 2" xfId="81" xr:uid="{00000000-0005-0000-0000-000050000000}"/>
    <cellStyle name="20% - Accent2 5 3" xfId="82" xr:uid="{00000000-0005-0000-0000-000051000000}"/>
    <cellStyle name="20% - Accent2 6" xfId="83" xr:uid="{00000000-0005-0000-0000-000052000000}"/>
    <cellStyle name="20% - Accent2 6 2" xfId="84" xr:uid="{00000000-0005-0000-0000-000053000000}"/>
    <cellStyle name="20% - Accent2 6 3" xfId="85" xr:uid="{00000000-0005-0000-0000-000054000000}"/>
    <cellStyle name="20% - Accent2 7" xfId="86" xr:uid="{00000000-0005-0000-0000-000055000000}"/>
    <cellStyle name="20% - Accent2 7 2" xfId="87" xr:uid="{00000000-0005-0000-0000-000056000000}"/>
    <cellStyle name="20% - Accent2 7 3" xfId="88" xr:uid="{00000000-0005-0000-0000-000057000000}"/>
    <cellStyle name="20% - Accent2 8" xfId="89" xr:uid="{00000000-0005-0000-0000-000058000000}"/>
    <cellStyle name="20% - Accent2 8 2" xfId="90" xr:uid="{00000000-0005-0000-0000-000059000000}"/>
    <cellStyle name="20% - Accent2 8 3" xfId="91" xr:uid="{00000000-0005-0000-0000-00005A000000}"/>
    <cellStyle name="20% - Accent2 9" xfId="92" xr:uid="{00000000-0005-0000-0000-00005B000000}"/>
    <cellStyle name="20% - Accent2 9 2" xfId="93" xr:uid="{00000000-0005-0000-0000-00005C000000}"/>
    <cellStyle name="20% - Accent2 9 3" xfId="94" xr:uid="{00000000-0005-0000-0000-00005D000000}"/>
    <cellStyle name="20% - Accent3 10" xfId="95" xr:uid="{00000000-0005-0000-0000-00005E000000}"/>
    <cellStyle name="20% - Accent3 10 2" xfId="96" xr:uid="{00000000-0005-0000-0000-00005F000000}"/>
    <cellStyle name="20% - Accent3 10 3" xfId="97" xr:uid="{00000000-0005-0000-0000-000060000000}"/>
    <cellStyle name="20% - Accent3 11" xfId="98" xr:uid="{00000000-0005-0000-0000-000061000000}"/>
    <cellStyle name="20% - Accent3 12" xfId="99" xr:uid="{00000000-0005-0000-0000-000062000000}"/>
    <cellStyle name="20% - Accent3 2" xfId="100" xr:uid="{00000000-0005-0000-0000-000063000000}"/>
    <cellStyle name="20% - Accent3 2 2" xfId="101" xr:uid="{00000000-0005-0000-0000-000064000000}"/>
    <cellStyle name="20% - Accent3 2 3" xfId="102" xr:uid="{00000000-0005-0000-0000-000065000000}"/>
    <cellStyle name="20% - Accent3 2 4" xfId="103" xr:uid="{00000000-0005-0000-0000-000066000000}"/>
    <cellStyle name="20% - Accent3 2 5" xfId="104" xr:uid="{00000000-0005-0000-0000-000067000000}"/>
    <cellStyle name="20% - Accent3 2 6" xfId="105" xr:uid="{00000000-0005-0000-0000-000068000000}"/>
    <cellStyle name="20% - Accent3 2 7" xfId="106" xr:uid="{00000000-0005-0000-0000-000069000000}"/>
    <cellStyle name="20% - Accent3 2 8" xfId="107" xr:uid="{00000000-0005-0000-0000-00006A000000}"/>
    <cellStyle name="20% - Accent3 2 9" xfId="108" xr:uid="{00000000-0005-0000-0000-00006B000000}"/>
    <cellStyle name="20% - Accent3 3" xfId="109" xr:uid="{00000000-0005-0000-0000-00006C000000}"/>
    <cellStyle name="20% - Accent3 3 2" xfId="110" xr:uid="{00000000-0005-0000-0000-00006D000000}"/>
    <cellStyle name="20% - Accent3 3 3" xfId="111" xr:uid="{00000000-0005-0000-0000-00006E000000}"/>
    <cellStyle name="20% - Accent3 3 4"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3 8" xfId="116" xr:uid="{00000000-0005-0000-0000-000073000000}"/>
    <cellStyle name="20% - Accent3 3 9" xfId="117" xr:uid="{00000000-0005-0000-0000-000074000000}"/>
    <cellStyle name="20% - Accent3 4" xfId="118" xr:uid="{00000000-0005-0000-0000-000075000000}"/>
    <cellStyle name="20% - Accent3 4 2" xfId="119" xr:uid="{00000000-0005-0000-0000-000076000000}"/>
    <cellStyle name="20% - Accent3 4 3" xfId="120" xr:uid="{00000000-0005-0000-0000-000077000000}"/>
    <cellStyle name="20% - Accent3 4 4" xfId="121" xr:uid="{00000000-0005-0000-0000-000078000000}"/>
    <cellStyle name="20% - Accent3 4 5" xfId="122" xr:uid="{00000000-0005-0000-0000-000079000000}"/>
    <cellStyle name="20% - Accent3 4 6" xfId="123" xr:uid="{00000000-0005-0000-0000-00007A000000}"/>
    <cellStyle name="20% - Accent3 4 7" xfId="124" xr:uid="{00000000-0005-0000-0000-00007B000000}"/>
    <cellStyle name="20% - Accent3 4 8" xfId="125" xr:uid="{00000000-0005-0000-0000-00007C000000}"/>
    <cellStyle name="20% - Accent3 4 9" xfId="126" xr:uid="{00000000-0005-0000-0000-00007D000000}"/>
    <cellStyle name="20% - Accent3 5" xfId="127" xr:uid="{00000000-0005-0000-0000-00007E000000}"/>
    <cellStyle name="20% - Accent3 5 2" xfId="128" xr:uid="{00000000-0005-0000-0000-00007F000000}"/>
    <cellStyle name="20% - Accent3 5 3" xfId="129" xr:uid="{00000000-0005-0000-0000-000080000000}"/>
    <cellStyle name="20% - Accent3 6" xfId="130" xr:uid="{00000000-0005-0000-0000-000081000000}"/>
    <cellStyle name="20% - Accent3 6 2" xfId="131" xr:uid="{00000000-0005-0000-0000-000082000000}"/>
    <cellStyle name="20% - Accent3 6 3" xfId="132" xr:uid="{00000000-0005-0000-0000-000083000000}"/>
    <cellStyle name="20% - Accent3 7" xfId="133" xr:uid="{00000000-0005-0000-0000-000084000000}"/>
    <cellStyle name="20% - Accent3 7 2" xfId="134" xr:uid="{00000000-0005-0000-0000-000085000000}"/>
    <cellStyle name="20% - Accent3 7 3" xfId="135" xr:uid="{00000000-0005-0000-0000-000086000000}"/>
    <cellStyle name="20% - Accent3 8" xfId="136" xr:uid="{00000000-0005-0000-0000-000087000000}"/>
    <cellStyle name="20% - Accent3 8 2" xfId="137" xr:uid="{00000000-0005-0000-0000-000088000000}"/>
    <cellStyle name="20% - Accent3 8 3" xfId="138" xr:uid="{00000000-0005-0000-0000-000089000000}"/>
    <cellStyle name="20% - Accent3 9" xfId="139" xr:uid="{00000000-0005-0000-0000-00008A000000}"/>
    <cellStyle name="20% - Accent3 9 2" xfId="140" xr:uid="{00000000-0005-0000-0000-00008B000000}"/>
    <cellStyle name="20% - Accent3 9 3" xfId="141" xr:uid="{00000000-0005-0000-0000-00008C000000}"/>
    <cellStyle name="20% - Accent4 10" xfId="142" xr:uid="{00000000-0005-0000-0000-00008D000000}"/>
    <cellStyle name="20% - Accent4 10 2" xfId="143" xr:uid="{00000000-0005-0000-0000-00008E000000}"/>
    <cellStyle name="20% - Accent4 10 3" xfId="144" xr:uid="{00000000-0005-0000-0000-00008F000000}"/>
    <cellStyle name="20% - Accent4 11" xfId="145" xr:uid="{00000000-0005-0000-0000-000090000000}"/>
    <cellStyle name="20% - Accent4 12" xfId="146" xr:uid="{00000000-0005-0000-0000-000091000000}"/>
    <cellStyle name="20% - Accent4 2" xfId="147" xr:uid="{00000000-0005-0000-0000-000092000000}"/>
    <cellStyle name="20% - Accent4 2 2" xfId="148" xr:uid="{00000000-0005-0000-0000-000093000000}"/>
    <cellStyle name="20% - Accent4 2 3" xfId="149" xr:uid="{00000000-0005-0000-0000-000094000000}"/>
    <cellStyle name="20% - Accent4 2 4" xfId="150" xr:uid="{00000000-0005-0000-0000-000095000000}"/>
    <cellStyle name="20% - Accent4 2 5" xfId="151" xr:uid="{00000000-0005-0000-0000-000096000000}"/>
    <cellStyle name="20% - Accent4 2 6" xfId="152" xr:uid="{00000000-0005-0000-0000-000097000000}"/>
    <cellStyle name="20% - Accent4 2 7" xfId="153" xr:uid="{00000000-0005-0000-0000-000098000000}"/>
    <cellStyle name="20% - Accent4 2 8" xfId="154" xr:uid="{00000000-0005-0000-0000-000099000000}"/>
    <cellStyle name="20% - Accent4 2 9" xfId="155" xr:uid="{00000000-0005-0000-0000-00009A000000}"/>
    <cellStyle name="20% - Accent4 3" xfId="156" xr:uid="{00000000-0005-0000-0000-00009B000000}"/>
    <cellStyle name="20% - Accent4 3 2" xfId="157" xr:uid="{00000000-0005-0000-0000-00009C000000}"/>
    <cellStyle name="20% - Accent4 3 3" xfId="158" xr:uid="{00000000-0005-0000-0000-00009D000000}"/>
    <cellStyle name="20% - Accent4 3 4" xfId="159" xr:uid="{00000000-0005-0000-0000-00009E000000}"/>
    <cellStyle name="20% - Accent4 3 5" xfId="160" xr:uid="{00000000-0005-0000-0000-00009F000000}"/>
    <cellStyle name="20% - Accent4 3 6" xfId="161" xr:uid="{00000000-0005-0000-0000-0000A0000000}"/>
    <cellStyle name="20% - Accent4 3 7" xfId="162" xr:uid="{00000000-0005-0000-0000-0000A1000000}"/>
    <cellStyle name="20% - Accent4 3 8" xfId="163" xr:uid="{00000000-0005-0000-0000-0000A2000000}"/>
    <cellStyle name="20% - Accent4 3 9" xfId="164" xr:uid="{00000000-0005-0000-0000-0000A3000000}"/>
    <cellStyle name="20% - Accent4 4" xfId="165" xr:uid="{00000000-0005-0000-0000-0000A4000000}"/>
    <cellStyle name="20% - Accent4 4 2" xfId="166" xr:uid="{00000000-0005-0000-0000-0000A5000000}"/>
    <cellStyle name="20% - Accent4 4 3" xfId="167" xr:uid="{00000000-0005-0000-0000-0000A6000000}"/>
    <cellStyle name="20% - Accent4 4 4" xfId="168" xr:uid="{00000000-0005-0000-0000-0000A7000000}"/>
    <cellStyle name="20% - Accent4 4 5" xfId="169" xr:uid="{00000000-0005-0000-0000-0000A8000000}"/>
    <cellStyle name="20% - Accent4 4 6" xfId="170" xr:uid="{00000000-0005-0000-0000-0000A9000000}"/>
    <cellStyle name="20% - Accent4 4 7" xfId="171" xr:uid="{00000000-0005-0000-0000-0000AA000000}"/>
    <cellStyle name="20% - Accent4 4 8" xfId="172" xr:uid="{00000000-0005-0000-0000-0000AB000000}"/>
    <cellStyle name="20% - Accent4 4 9" xfId="173" xr:uid="{00000000-0005-0000-0000-0000AC000000}"/>
    <cellStyle name="20% - Accent4 5" xfId="174" xr:uid="{00000000-0005-0000-0000-0000AD000000}"/>
    <cellStyle name="20% - Accent4 5 2" xfId="175" xr:uid="{00000000-0005-0000-0000-0000AE000000}"/>
    <cellStyle name="20% - Accent4 5 3" xfId="176" xr:uid="{00000000-0005-0000-0000-0000AF000000}"/>
    <cellStyle name="20% - Accent4 6" xfId="177" xr:uid="{00000000-0005-0000-0000-0000B0000000}"/>
    <cellStyle name="20% - Accent4 6 2" xfId="178" xr:uid="{00000000-0005-0000-0000-0000B1000000}"/>
    <cellStyle name="20% - Accent4 6 3" xfId="179" xr:uid="{00000000-0005-0000-0000-0000B2000000}"/>
    <cellStyle name="20% - Accent4 7" xfId="180" xr:uid="{00000000-0005-0000-0000-0000B3000000}"/>
    <cellStyle name="20% - Accent4 7 2" xfId="181" xr:uid="{00000000-0005-0000-0000-0000B4000000}"/>
    <cellStyle name="20% - Accent4 7 3" xfId="182" xr:uid="{00000000-0005-0000-0000-0000B5000000}"/>
    <cellStyle name="20% - Accent4 8" xfId="183" xr:uid="{00000000-0005-0000-0000-0000B6000000}"/>
    <cellStyle name="20% - Accent4 8 2" xfId="184" xr:uid="{00000000-0005-0000-0000-0000B7000000}"/>
    <cellStyle name="20% - Accent4 8 3" xfId="185" xr:uid="{00000000-0005-0000-0000-0000B8000000}"/>
    <cellStyle name="20% - Accent4 9" xfId="186" xr:uid="{00000000-0005-0000-0000-0000B9000000}"/>
    <cellStyle name="20% - Accent4 9 2" xfId="187" xr:uid="{00000000-0005-0000-0000-0000BA000000}"/>
    <cellStyle name="20% - Accent4 9 3" xfId="188" xr:uid="{00000000-0005-0000-0000-0000BB000000}"/>
    <cellStyle name="20% - Accent5 10" xfId="189" xr:uid="{00000000-0005-0000-0000-0000BC000000}"/>
    <cellStyle name="20% - Accent5 10 2" xfId="190" xr:uid="{00000000-0005-0000-0000-0000BD000000}"/>
    <cellStyle name="20% - Accent5 10 3" xfId="191" xr:uid="{00000000-0005-0000-0000-0000BE000000}"/>
    <cellStyle name="20% - Accent5 11" xfId="192" xr:uid="{00000000-0005-0000-0000-0000BF000000}"/>
    <cellStyle name="20% - Accent5 12" xfId="193" xr:uid="{00000000-0005-0000-0000-0000C0000000}"/>
    <cellStyle name="20% - Accent5 2" xfId="194" xr:uid="{00000000-0005-0000-0000-0000C1000000}"/>
    <cellStyle name="20% - Accent5 2 2" xfId="195" xr:uid="{00000000-0005-0000-0000-0000C2000000}"/>
    <cellStyle name="20% - Accent5 2 3" xfId="196" xr:uid="{00000000-0005-0000-0000-0000C3000000}"/>
    <cellStyle name="20% - Accent5 2 4" xfId="197" xr:uid="{00000000-0005-0000-0000-0000C4000000}"/>
    <cellStyle name="20% - Accent5 2 5" xfId="198" xr:uid="{00000000-0005-0000-0000-0000C5000000}"/>
    <cellStyle name="20% - Accent5 2 6" xfId="199" xr:uid="{00000000-0005-0000-0000-0000C6000000}"/>
    <cellStyle name="20% - Accent5 2 7" xfId="200" xr:uid="{00000000-0005-0000-0000-0000C7000000}"/>
    <cellStyle name="20% - Accent5 2 8" xfId="201" xr:uid="{00000000-0005-0000-0000-0000C8000000}"/>
    <cellStyle name="20% - Accent5 2 9" xfId="202" xr:uid="{00000000-0005-0000-0000-0000C9000000}"/>
    <cellStyle name="20% - Accent5 3" xfId="203" xr:uid="{00000000-0005-0000-0000-0000CA000000}"/>
    <cellStyle name="20% - Accent5 3 2" xfId="204" xr:uid="{00000000-0005-0000-0000-0000CB000000}"/>
    <cellStyle name="20% - Accent5 3 3" xfId="205" xr:uid="{00000000-0005-0000-0000-0000CC000000}"/>
    <cellStyle name="20% - Accent5 3 4" xfId="206" xr:uid="{00000000-0005-0000-0000-0000CD000000}"/>
    <cellStyle name="20% - Accent5 3 5" xfId="207" xr:uid="{00000000-0005-0000-0000-0000CE000000}"/>
    <cellStyle name="20% - Accent5 3 6" xfId="208" xr:uid="{00000000-0005-0000-0000-0000CF000000}"/>
    <cellStyle name="20% - Accent5 3 7" xfId="209" xr:uid="{00000000-0005-0000-0000-0000D0000000}"/>
    <cellStyle name="20% - Accent5 3 8" xfId="210" xr:uid="{00000000-0005-0000-0000-0000D1000000}"/>
    <cellStyle name="20% - Accent5 3 9" xfId="211" xr:uid="{00000000-0005-0000-0000-0000D2000000}"/>
    <cellStyle name="20% - Accent5 4" xfId="212" xr:uid="{00000000-0005-0000-0000-0000D3000000}"/>
    <cellStyle name="20% - Accent5 4 2" xfId="213" xr:uid="{00000000-0005-0000-0000-0000D4000000}"/>
    <cellStyle name="20% - Accent5 4 3" xfId="214" xr:uid="{00000000-0005-0000-0000-0000D5000000}"/>
    <cellStyle name="20% - Accent5 4 4" xfId="215" xr:uid="{00000000-0005-0000-0000-0000D6000000}"/>
    <cellStyle name="20% - Accent5 4 5" xfId="216" xr:uid="{00000000-0005-0000-0000-0000D7000000}"/>
    <cellStyle name="20% - Accent5 4 6" xfId="217" xr:uid="{00000000-0005-0000-0000-0000D8000000}"/>
    <cellStyle name="20% - Accent5 4 7" xfId="218" xr:uid="{00000000-0005-0000-0000-0000D9000000}"/>
    <cellStyle name="20% - Accent5 4 8" xfId="219" xr:uid="{00000000-0005-0000-0000-0000DA000000}"/>
    <cellStyle name="20% - Accent5 4 9" xfId="220" xr:uid="{00000000-0005-0000-0000-0000DB000000}"/>
    <cellStyle name="20% - Accent5 5" xfId="221" xr:uid="{00000000-0005-0000-0000-0000DC000000}"/>
    <cellStyle name="20% - Accent5 5 2" xfId="222" xr:uid="{00000000-0005-0000-0000-0000DD000000}"/>
    <cellStyle name="20% - Accent5 5 3" xfId="223" xr:uid="{00000000-0005-0000-0000-0000DE000000}"/>
    <cellStyle name="20% - Accent5 6" xfId="224" xr:uid="{00000000-0005-0000-0000-0000DF000000}"/>
    <cellStyle name="20% - Accent5 6 2" xfId="225" xr:uid="{00000000-0005-0000-0000-0000E0000000}"/>
    <cellStyle name="20% - Accent5 6 3" xfId="226" xr:uid="{00000000-0005-0000-0000-0000E1000000}"/>
    <cellStyle name="20% - Accent5 7" xfId="227" xr:uid="{00000000-0005-0000-0000-0000E2000000}"/>
    <cellStyle name="20% - Accent5 7 2" xfId="228" xr:uid="{00000000-0005-0000-0000-0000E3000000}"/>
    <cellStyle name="20% - Accent5 7 3" xfId="229" xr:uid="{00000000-0005-0000-0000-0000E4000000}"/>
    <cellStyle name="20% - Accent5 8" xfId="230" xr:uid="{00000000-0005-0000-0000-0000E5000000}"/>
    <cellStyle name="20% - Accent5 8 2" xfId="231" xr:uid="{00000000-0005-0000-0000-0000E6000000}"/>
    <cellStyle name="20% - Accent5 8 3" xfId="232" xr:uid="{00000000-0005-0000-0000-0000E7000000}"/>
    <cellStyle name="20% - Accent5 9" xfId="233" xr:uid="{00000000-0005-0000-0000-0000E8000000}"/>
    <cellStyle name="20% - Accent5 9 2" xfId="234" xr:uid="{00000000-0005-0000-0000-0000E9000000}"/>
    <cellStyle name="20% - Accent5 9 3" xfId="235" xr:uid="{00000000-0005-0000-0000-0000EA000000}"/>
    <cellStyle name="20% - Accent6 10" xfId="236" xr:uid="{00000000-0005-0000-0000-0000EB000000}"/>
    <cellStyle name="20% - Accent6 10 2" xfId="237" xr:uid="{00000000-0005-0000-0000-0000EC000000}"/>
    <cellStyle name="20% - Accent6 10 3" xfId="238" xr:uid="{00000000-0005-0000-0000-0000ED000000}"/>
    <cellStyle name="20% - Accent6 11" xfId="239" xr:uid="{00000000-0005-0000-0000-0000EE000000}"/>
    <cellStyle name="20% - Accent6 12" xfId="240" xr:uid="{00000000-0005-0000-0000-0000EF000000}"/>
    <cellStyle name="20% - Accent6 2" xfId="241" xr:uid="{00000000-0005-0000-0000-0000F0000000}"/>
    <cellStyle name="20% - Accent6 2 2" xfId="242" xr:uid="{00000000-0005-0000-0000-0000F1000000}"/>
    <cellStyle name="20% - Accent6 2 3" xfId="243" xr:uid="{00000000-0005-0000-0000-0000F2000000}"/>
    <cellStyle name="20% - Accent6 2 4" xfId="244" xr:uid="{00000000-0005-0000-0000-0000F3000000}"/>
    <cellStyle name="20% - Accent6 2 5" xfId="245" xr:uid="{00000000-0005-0000-0000-0000F4000000}"/>
    <cellStyle name="20% - Accent6 2 6" xfId="246" xr:uid="{00000000-0005-0000-0000-0000F5000000}"/>
    <cellStyle name="20% - Accent6 2 7" xfId="247" xr:uid="{00000000-0005-0000-0000-0000F6000000}"/>
    <cellStyle name="20% - Accent6 2 8" xfId="248" xr:uid="{00000000-0005-0000-0000-0000F7000000}"/>
    <cellStyle name="20% - Accent6 2 9" xfId="249" xr:uid="{00000000-0005-0000-0000-0000F8000000}"/>
    <cellStyle name="20% - Accent6 3" xfId="250" xr:uid="{00000000-0005-0000-0000-0000F9000000}"/>
    <cellStyle name="20% - Accent6 3 2" xfId="251" xr:uid="{00000000-0005-0000-0000-0000FA000000}"/>
    <cellStyle name="20% - Accent6 3 3" xfId="252" xr:uid="{00000000-0005-0000-0000-0000FB000000}"/>
    <cellStyle name="20% - Accent6 3 4" xfId="253" xr:uid="{00000000-0005-0000-0000-0000FC000000}"/>
    <cellStyle name="20% - Accent6 3 5" xfId="254" xr:uid="{00000000-0005-0000-0000-0000FD000000}"/>
    <cellStyle name="20% - Accent6 3 6" xfId="255" xr:uid="{00000000-0005-0000-0000-0000FE000000}"/>
    <cellStyle name="20% - Accent6 3 7" xfId="256" xr:uid="{00000000-0005-0000-0000-0000FF000000}"/>
    <cellStyle name="20% - Accent6 3 8" xfId="257" xr:uid="{00000000-0005-0000-0000-000000010000}"/>
    <cellStyle name="20% - Accent6 3 9" xfId="258" xr:uid="{00000000-0005-0000-0000-000001010000}"/>
    <cellStyle name="20% - Accent6 4" xfId="259" xr:uid="{00000000-0005-0000-0000-000002010000}"/>
    <cellStyle name="20% - Accent6 4 2" xfId="260" xr:uid="{00000000-0005-0000-0000-000003010000}"/>
    <cellStyle name="20% - Accent6 4 3" xfId="261" xr:uid="{00000000-0005-0000-0000-000004010000}"/>
    <cellStyle name="20% - Accent6 4 4" xfId="262" xr:uid="{00000000-0005-0000-0000-000005010000}"/>
    <cellStyle name="20% - Accent6 4 5" xfId="263" xr:uid="{00000000-0005-0000-0000-000006010000}"/>
    <cellStyle name="20% - Accent6 4 6" xfId="264" xr:uid="{00000000-0005-0000-0000-000007010000}"/>
    <cellStyle name="20% - Accent6 4 7" xfId="265" xr:uid="{00000000-0005-0000-0000-000008010000}"/>
    <cellStyle name="20% - Accent6 4 8" xfId="266" xr:uid="{00000000-0005-0000-0000-000009010000}"/>
    <cellStyle name="20% - Accent6 4 9" xfId="267" xr:uid="{00000000-0005-0000-0000-00000A010000}"/>
    <cellStyle name="20% - Accent6 5" xfId="268" xr:uid="{00000000-0005-0000-0000-00000B010000}"/>
    <cellStyle name="20% - Accent6 5 2" xfId="269" xr:uid="{00000000-0005-0000-0000-00000C010000}"/>
    <cellStyle name="20% - Accent6 5 3" xfId="270" xr:uid="{00000000-0005-0000-0000-00000D010000}"/>
    <cellStyle name="20% - Accent6 6" xfId="271" xr:uid="{00000000-0005-0000-0000-00000E010000}"/>
    <cellStyle name="20% - Accent6 6 2" xfId="272" xr:uid="{00000000-0005-0000-0000-00000F010000}"/>
    <cellStyle name="20% - Accent6 6 3" xfId="273" xr:uid="{00000000-0005-0000-0000-000010010000}"/>
    <cellStyle name="20% - Accent6 7" xfId="274" xr:uid="{00000000-0005-0000-0000-000011010000}"/>
    <cellStyle name="20% - Accent6 7 2" xfId="275" xr:uid="{00000000-0005-0000-0000-000012010000}"/>
    <cellStyle name="20% - Accent6 7 3" xfId="276" xr:uid="{00000000-0005-0000-0000-000013010000}"/>
    <cellStyle name="20% - Accent6 8" xfId="277" xr:uid="{00000000-0005-0000-0000-000014010000}"/>
    <cellStyle name="20% - Accent6 8 2" xfId="278" xr:uid="{00000000-0005-0000-0000-000015010000}"/>
    <cellStyle name="20% - Accent6 8 3" xfId="279" xr:uid="{00000000-0005-0000-0000-000016010000}"/>
    <cellStyle name="20% - Accent6 9" xfId="280" xr:uid="{00000000-0005-0000-0000-000017010000}"/>
    <cellStyle name="20% - Accent6 9 2" xfId="281" xr:uid="{00000000-0005-0000-0000-000018010000}"/>
    <cellStyle name="20% - Accent6 9 3" xfId="282" xr:uid="{00000000-0005-0000-0000-000019010000}"/>
    <cellStyle name="40% - Accent1 10" xfId="283" xr:uid="{00000000-0005-0000-0000-00001A010000}"/>
    <cellStyle name="40% - Accent1 10 2" xfId="284" xr:uid="{00000000-0005-0000-0000-00001B010000}"/>
    <cellStyle name="40% - Accent1 10 3" xfId="285" xr:uid="{00000000-0005-0000-0000-00001C010000}"/>
    <cellStyle name="40% - Accent1 11" xfId="286" xr:uid="{00000000-0005-0000-0000-00001D010000}"/>
    <cellStyle name="40% - Accent1 12" xfId="287" xr:uid="{00000000-0005-0000-0000-00001E010000}"/>
    <cellStyle name="40% - Accent1 2" xfId="288" xr:uid="{00000000-0005-0000-0000-00001F010000}"/>
    <cellStyle name="40% - Accent1 2 2" xfId="289" xr:uid="{00000000-0005-0000-0000-000020010000}"/>
    <cellStyle name="40% - Accent1 2 3" xfId="290" xr:uid="{00000000-0005-0000-0000-000021010000}"/>
    <cellStyle name="40% - Accent1 2 4" xfId="291" xr:uid="{00000000-0005-0000-0000-000022010000}"/>
    <cellStyle name="40% - Accent1 2 5" xfId="292" xr:uid="{00000000-0005-0000-0000-000023010000}"/>
    <cellStyle name="40% - Accent1 2 6" xfId="293" xr:uid="{00000000-0005-0000-0000-000024010000}"/>
    <cellStyle name="40% - Accent1 2 7" xfId="294" xr:uid="{00000000-0005-0000-0000-000025010000}"/>
    <cellStyle name="40% - Accent1 2 8" xfId="295" xr:uid="{00000000-0005-0000-0000-000026010000}"/>
    <cellStyle name="40% - Accent1 2 9" xfId="296" xr:uid="{00000000-0005-0000-0000-000027010000}"/>
    <cellStyle name="40% - Accent1 3" xfId="297" xr:uid="{00000000-0005-0000-0000-000028010000}"/>
    <cellStyle name="40% - Accent1 3 2" xfId="298" xr:uid="{00000000-0005-0000-0000-000029010000}"/>
    <cellStyle name="40% - Accent1 3 3" xfId="299" xr:uid="{00000000-0005-0000-0000-00002A010000}"/>
    <cellStyle name="40% - Accent1 3 4" xfId="300" xr:uid="{00000000-0005-0000-0000-00002B010000}"/>
    <cellStyle name="40% - Accent1 3 5" xfId="301" xr:uid="{00000000-0005-0000-0000-00002C010000}"/>
    <cellStyle name="40% - Accent1 3 6" xfId="302" xr:uid="{00000000-0005-0000-0000-00002D010000}"/>
    <cellStyle name="40% - Accent1 3 7" xfId="303" xr:uid="{00000000-0005-0000-0000-00002E010000}"/>
    <cellStyle name="40% - Accent1 3 8" xfId="304" xr:uid="{00000000-0005-0000-0000-00002F010000}"/>
    <cellStyle name="40% - Accent1 3 9" xfId="305" xr:uid="{00000000-0005-0000-0000-000030010000}"/>
    <cellStyle name="40% - Accent1 4" xfId="306" xr:uid="{00000000-0005-0000-0000-000031010000}"/>
    <cellStyle name="40% - Accent1 4 2" xfId="307" xr:uid="{00000000-0005-0000-0000-000032010000}"/>
    <cellStyle name="40% - Accent1 4 3" xfId="308" xr:uid="{00000000-0005-0000-0000-000033010000}"/>
    <cellStyle name="40% - Accent1 4 4" xfId="309" xr:uid="{00000000-0005-0000-0000-000034010000}"/>
    <cellStyle name="40% - Accent1 4 5" xfId="310" xr:uid="{00000000-0005-0000-0000-000035010000}"/>
    <cellStyle name="40% - Accent1 4 6" xfId="311" xr:uid="{00000000-0005-0000-0000-000036010000}"/>
    <cellStyle name="40% - Accent1 4 7" xfId="312" xr:uid="{00000000-0005-0000-0000-000037010000}"/>
    <cellStyle name="40% - Accent1 4 8" xfId="313" xr:uid="{00000000-0005-0000-0000-000038010000}"/>
    <cellStyle name="40% - Accent1 4 9" xfId="314" xr:uid="{00000000-0005-0000-0000-000039010000}"/>
    <cellStyle name="40% - Accent1 5" xfId="315" xr:uid="{00000000-0005-0000-0000-00003A010000}"/>
    <cellStyle name="40% - Accent1 5 2" xfId="316" xr:uid="{00000000-0005-0000-0000-00003B010000}"/>
    <cellStyle name="40% - Accent1 5 3" xfId="317" xr:uid="{00000000-0005-0000-0000-00003C010000}"/>
    <cellStyle name="40% - Accent1 6" xfId="318" xr:uid="{00000000-0005-0000-0000-00003D010000}"/>
    <cellStyle name="40% - Accent1 6 2" xfId="319" xr:uid="{00000000-0005-0000-0000-00003E010000}"/>
    <cellStyle name="40% - Accent1 6 3" xfId="320" xr:uid="{00000000-0005-0000-0000-00003F010000}"/>
    <cellStyle name="40% - Accent1 7" xfId="321" xr:uid="{00000000-0005-0000-0000-000040010000}"/>
    <cellStyle name="40% - Accent1 7 2" xfId="322" xr:uid="{00000000-0005-0000-0000-000041010000}"/>
    <cellStyle name="40% - Accent1 7 3" xfId="323" xr:uid="{00000000-0005-0000-0000-000042010000}"/>
    <cellStyle name="40% - Accent1 8" xfId="324" xr:uid="{00000000-0005-0000-0000-000043010000}"/>
    <cellStyle name="40% - Accent1 8 2" xfId="325" xr:uid="{00000000-0005-0000-0000-000044010000}"/>
    <cellStyle name="40% - Accent1 8 3" xfId="326" xr:uid="{00000000-0005-0000-0000-000045010000}"/>
    <cellStyle name="40% - Accent1 9" xfId="327" xr:uid="{00000000-0005-0000-0000-000046010000}"/>
    <cellStyle name="40% - Accent1 9 2" xfId="328" xr:uid="{00000000-0005-0000-0000-000047010000}"/>
    <cellStyle name="40% - Accent1 9 3" xfId="329" xr:uid="{00000000-0005-0000-0000-000048010000}"/>
    <cellStyle name="40% - Accent2 10" xfId="330" xr:uid="{00000000-0005-0000-0000-000049010000}"/>
    <cellStyle name="40% - Accent2 10 2" xfId="331" xr:uid="{00000000-0005-0000-0000-00004A010000}"/>
    <cellStyle name="40% - Accent2 10 3" xfId="332" xr:uid="{00000000-0005-0000-0000-00004B010000}"/>
    <cellStyle name="40% - Accent2 11" xfId="333" xr:uid="{00000000-0005-0000-0000-00004C010000}"/>
    <cellStyle name="40% - Accent2 12" xfId="334" xr:uid="{00000000-0005-0000-0000-00004D010000}"/>
    <cellStyle name="40% - Accent2 2" xfId="335" xr:uid="{00000000-0005-0000-0000-00004E010000}"/>
    <cellStyle name="40% - Accent2 2 2" xfId="336" xr:uid="{00000000-0005-0000-0000-00004F010000}"/>
    <cellStyle name="40% - Accent2 2 3" xfId="337" xr:uid="{00000000-0005-0000-0000-000050010000}"/>
    <cellStyle name="40% - Accent2 2 4" xfId="338" xr:uid="{00000000-0005-0000-0000-000051010000}"/>
    <cellStyle name="40% - Accent2 2 5" xfId="339" xr:uid="{00000000-0005-0000-0000-000052010000}"/>
    <cellStyle name="40% - Accent2 2 6" xfId="340" xr:uid="{00000000-0005-0000-0000-000053010000}"/>
    <cellStyle name="40% - Accent2 2 7" xfId="341" xr:uid="{00000000-0005-0000-0000-000054010000}"/>
    <cellStyle name="40% - Accent2 2 8" xfId="342" xr:uid="{00000000-0005-0000-0000-000055010000}"/>
    <cellStyle name="40% - Accent2 2 9" xfId="343" xr:uid="{00000000-0005-0000-0000-000056010000}"/>
    <cellStyle name="40% - Accent2 3" xfId="344" xr:uid="{00000000-0005-0000-0000-000057010000}"/>
    <cellStyle name="40% - Accent2 3 2" xfId="345" xr:uid="{00000000-0005-0000-0000-000058010000}"/>
    <cellStyle name="40% - Accent2 3 3" xfId="346" xr:uid="{00000000-0005-0000-0000-000059010000}"/>
    <cellStyle name="40% - Accent2 3 4" xfId="347" xr:uid="{00000000-0005-0000-0000-00005A010000}"/>
    <cellStyle name="40% - Accent2 3 5" xfId="348" xr:uid="{00000000-0005-0000-0000-00005B010000}"/>
    <cellStyle name="40% - Accent2 3 6" xfId="349" xr:uid="{00000000-0005-0000-0000-00005C010000}"/>
    <cellStyle name="40% - Accent2 3 7" xfId="350" xr:uid="{00000000-0005-0000-0000-00005D010000}"/>
    <cellStyle name="40% - Accent2 3 8" xfId="351" xr:uid="{00000000-0005-0000-0000-00005E010000}"/>
    <cellStyle name="40% - Accent2 3 9" xfId="352" xr:uid="{00000000-0005-0000-0000-00005F010000}"/>
    <cellStyle name="40% - Accent2 4" xfId="353" xr:uid="{00000000-0005-0000-0000-000060010000}"/>
    <cellStyle name="40% - Accent2 4 2" xfId="354" xr:uid="{00000000-0005-0000-0000-000061010000}"/>
    <cellStyle name="40% - Accent2 4 3" xfId="355" xr:uid="{00000000-0005-0000-0000-000062010000}"/>
    <cellStyle name="40% - Accent2 4 4" xfId="356" xr:uid="{00000000-0005-0000-0000-000063010000}"/>
    <cellStyle name="40% - Accent2 4 5" xfId="357" xr:uid="{00000000-0005-0000-0000-000064010000}"/>
    <cellStyle name="40% - Accent2 4 6" xfId="358" xr:uid="{00000000-0005-0000-0000-000065010000}"/>
    <cellStyle name="40% - Accent2 4 7" xfId="359" xr:uid="{00000000-0005-0000-0000-000066010000}"/>
    <cellStyle name="40% - Accent2 4 8" xfId="360" xr:uid="{00000000-0005-0000-0000-000067010000}"/>
    <cellStyle name="40% - Accent2 4 9" xfId="361" xr:uid="{00000000-0005-0000-0000-000068010000}"/>
    <cellStyle name="40% - Accent2 5" xfId="362" xr:uid="{00000000-0005-0000-0000-000069010000}"/>
    <cellStyle name="40% - Accent2 5 2" xfId="363" xr:uid="{00000000-0005-0000-0000-00006A010000}"/>
    <cellStyle name="40% - Accent2 5 3" xfId="364" xr:uid="{00000000-0005-0000-0000-00006B010000}"/>
    <cellStyle name="40% - Accent2 6" xfId="365" xr:uid="{00000000-0005-0000-0000-00006C010000}"/>
    <cellStyle name="40% - Accent2 6 2" xfId="366" xr:uid="{00000000-0005-0000-0000-00006D010000}"/>
    <cellStyle name="40% - Accent2 6 3" xfId="367" xr:uid="{00000000-0005-0000-0000-00006E010000}"/>
    <cellStyle name="40% - Accent2 7" xfId="368" xr:uid="{00000000-0005-0000-0000-00006F010000}"/>
    <cellStyle name="40% - Accent2 7 2" xfId="369" xr:uid="{00000000-0005-0000-0000-000070010000}"/>
    <cellStyle name="40% - Accent2 7 3" xfId="370" xr:uid="{00000000-0005-0000-0000-000071010000}"/>
    <cellStyle name="40% - Accent2 8" xfId="371" xr:uid="{00000000-0005-0000-0000-000072010000}"/>
    <cellStyle name="40% - Accent2 8 2" xfId="372" xr:uid="{00000000-0005-0000-0000-000073010000}"/>
    <cellStyle name="40% - Accent2 8 3" xfId="373" xr:uid="{00000000-0005-0000-0000-000074010000}"/>
    <cellStyle name="40% - Accent2 9" xfId="374" xr:uid="{00000000-0005-0000-0000-000075010000}"/>
    <cellStyle name="40% - Accent2 9 2" xfId="375" xr:uid="{00000000-0005-0000-0000-000076010000}"/>
    <cellStyle name="40% - Accent2 9 3" xfId="376" xr:uid="{00000000-0005-0000-0000-000077010000}"/>
    <cellStyle name="40% - Accent3 10" xfId="377" xr:uid="{00000000-0005-0000-0000-000078010000}"/>
    <cellStyle name="40% - Accent3 10 2" xfId="378" xr:uid="{00000000-0005-0000-0000-000079010000}"/>
    <cellStyle name="40% - Accent3 10 3" xfId="379" xr:uid="{00000000-0005-0000-0000-00007A010000}"/>
    <cellStyle name="40% - Accent3 11" xfId="380" xr:uid="{00000000-0005-0000-0000-00007B010000}"/>
    <cellStyle name="40% - Accent3 12" xfId="381" xr:uid="{00000000-0005-0000-0000-00007C010000}"/>
    <cellStyle name="40% - Accent3 2" xfId="382" xr:uid="{00000000-0005-0000-0000-00007D010000}"/>
    <cellStyle name="40% - Accent3 2 2" xfId="383" xr:uid="{00000000-0005-0000-0000-00007E010000}"/>
    <cellStyle name="40% - Accent3 2 3" xfId="384" xr:uid="{00000000-0005-0000-0000-00007F010000}"/>
    <cellStyle name="40% - Accent3 2 4" xfId="385" xr:uid="{00000000-0005-0000-0000-000080010000}"/>
    <cellStyle name="40% - Accent3 2 5" xfId="386" xr:uid="{00000000-0005-0000-0000-000081010000}"/>
    <cellStyle name="40% - Accent3 2 6" xfId="387" xr:uid="{00000000-0005-0000-0000-000082010000}"/>
    <cellStyle name="40% - Accent3 2 7" xfId="388" xr:uid="{00000000-0005-0000-0000-000083010000}"/>
    <cellStyle name="40% - Accent3 2 8" xfId="389" xr:uid="{00000000-0005-0000-0000-000084010000}"/>
    <cellStyle name="40% - Accent3 2 9" xfId="390" xr:uid="{00000000-0005-0000-0000-000085010000}"/>
    <cellStyle name="40% - Accent3 3" xfId="391" xr:uid="{00000000-0005-0000-0000-000086010000}"/>
    <cellStyle name="40% - Accent3 3 2" xfId="392" xr:uid="{00000000-0005-0000-0000-000087010000}"/>
    <cellStyle name="40% - Accent3 3 3" xfId="393" xr:uid="{00000000-0005-0000-0000-000088010000}"/>
    <cellStyle name="40% - Accent3 3 4"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3 8" xfId="398" xr:uid="{00000000-0005-0000-0000-00008D010000}"/>
    <cellStyle name="40% - Accent3 3 9" xfId="399" xr:uid="{00000000-0005-0000-0000-00008E010000}"/>
    <cellStyle name="40% - Accent3 4" xfId="400" xr:uid="{00000000-0005-0000-0000-00008F010000}"/>
    <cellStyle name="40% - Accent3 4 2" xfId="401" xr:uid="{00000000-0005-0000-0000-000090010000}"/>
    <cellStyle name="40% - Accent3 4 3" xfId="402" xr:uid="{00000000-0005-0000-0000-000091010000}"/>
    <cellStyle name="40% - Accent3 4 4" xfId="403" xr:uid="{00000000-0005-0000-0000-000092010000}"/>
    <cellStyle name="40% - Accent3 4 5" xfId="404" xr:uid="{00000000-0005-0000-0000-000093010000}"/>
    <cellStyle name="40% - Accent3 4 6" xfId="405" xr:uid="{00000000-0005-0000-0000-000094010000}"/>
    <cellStyle name="40% - Accent3 4 7" xfId="406" xr:uid="{00000000-0005-0000-0000-000095010000}"/>
    <cellStyle name="40% - Accent3 4 8" xfId="407" xr:uid="{00000000-0005-0000-0000-000096010000}"/>
    <cellStyle name="40% - Accent3 4 9" xfId="408" xr:uid="{00000000-0005-0000-0000-000097010000}"/>
    <cellStyle name="40% - Accent3 5" xfId="409" xr:uid="{00000000-0005-0000-0000-000098010000}"/>
    <cellStyle name="40% - Accent3 5 2" xfId="410" xr:uid="{00000000-0005-0000-0000-000099010000}"/>
    <cellStyle name="40% - Accent3 5 3" xfId="411" xr:uid="{00000000-0005-0000-0000-00009A010000}"/>
    <cellStyle name="40% - Accent3 6" xfId="412" xr:uid="{00000000-0005-0000-0000-00009B010000}"/>
    <cellStyle name="40% - Accent3 6 2" xfId="413" xr:uid="{00000000-0005-0000-0000-00009C010000}"/>
    <cellStyle name="40% - Accent3 6 3" xfId="414" xr:uid="{00000000-0005-0000-0000-00009D010000}"/>
    <cellStyle name="40% - Accent3 7" xfId="415" xr:uid="{00000000-0005-0000-0000-00009E010000}"/>
    <cellStyle name="40% - Accent3 7 2" xfId="416" xr:uid="{00000000-0005-0000-0000-00009F010000}"/>
    <cellStyle name="40% - Accent3 7 3" xfId="417" xr:uid="{00000000-0005-0000-0000-0000A0010000}"/>
    <cellStyle name="40% - Accent3 8" xfId="418" xr:uid="{00000000-0005-0000-0000-0000A1010000}"/>
    <cellStyle name="40% - Accent3 8 2" xfId="419" xr:uid="{00000000-0005-0000-0000-0000A2010000}"/>
    <cellStyle name="40% - Accent3 8 3" xfId="420" xr:uid="{00000000-0005-0000-0000-0000A3010000}"/>
    <cellStyle name="40% - Accent3 9" xfId="421" xr:uid="{00000000-0005-0000-0000-0000A4010000}"/>
    <cellStyle name="40% - Accent3 9 2" xfId="422" xr:uid="{00000000-0005-0000-0000-0000A5010000}"/>
    <cellStyle name="40% - Accent3 9 3" xfId="423" xr:uid="{00000000-0005-0000-0000-0000A6010000}"/>
    <cellStyle name="40% - Accent4 10" xfId="424" xr:uid="{00000000-0005-0000-0000-0000A7010000}"/>
    <cellStyle name="40% - Accent4 10 2" xfId="425" xr:uid="{00000000-0005-0000-0000-0000A8010000}"/>
    <cellStyle name="40% - Accent4 10 3" xfId="426" xr:uid="{00000000-0005-0000-0000-0000A9010000}"/>
    <cellStyle name="40% - Accent4 11" xfId="427" xr:uid="{00000000-0005-0000-0000-0000AA010000}"/>
    <cellStyle name="40% - Accent4 12" xfId="428" xr:uid="{00000000-0005-0000-0000-0000AB010000}"/>
    <cellStyle name="40% - Accent4 2" xfId="429" xr:uid="{00000000-0005-0000-0000-0000AC010000}"/>
    <cellStyle name="40% - Accent4 2 2" xfId="430" xr:uid="{00000000-0005-0000-0000-0000AD010000}"/>
    <cellStyle name="40% - Accent4 2 3" xfId="431" xr:uid="{00000000-0005-0000-0000-0000AE010000}"/>
    <cellStyle name="40% - Accent4 2 4" xfId="432" xr:uid="{00000000-0005-0000-0000-0000AF010000}"/>
    <cellStyle name="40% - Accent4 2 5" xfId="433" xr:uid="{00000000-0005-0000-0000-0000B0010000}"/>
    <cellStyle name="40% - Accent4 2 6" xfId="434" xr:uid="{00000000-0005-0000-0000-0000B1010000}"/>
    <cellStyle name="40% - Accent4 2 7" xfId="435" xr:uid="{00000000-0005-0000-0000-0000B2010000}"/>
    <cellStyle name="40% - Accent4 2 8" xfId="436" xr:uid="{00000000-0005-0000-0000-0000B3010000}"/>
    <cellStyle name="40% - Accent4 2 9" xfId="437" xr:uid="{00000000-0005-0000-0000-0000B4010000}"/>
    <cellStyle name="40% - Accent4 3" xfId="438" xr:uid="{00000000-0005-0000-0000-0000B5010000}"/>
    <cellStyle name="40% - Accent4 3 2" xfId="439" xr:uid="{00000000-0005-0000-0000-0000B6010000}"/>
    <cellStyle name="40% - Accent4 3 3" xfId="440" xr:uid="{00000000-0005-0000-0000-0000B7010000}"/>
    <cellStyle name="40% - Accent4 3 4" xfId="441" xr:uid="{00000000-0005-0000-0000-0000B8010000}"/>
    <cellStyle name="40% - Accent4 3 5" xfId="442" xr:uid="{00000000-0005-0000-0000-0000B9010000}"/>
    <cellStyle name="40% - Accent4 3 6" xfId="443" xr:uid="{00000000-0005-0000-0000-0000BA010000}"/>
    <cellStyle name="40% - Accent4 3 7" xfId="444" xr:uid="{00000000-0005-0000-0000-0000BB010000}"/>
    <cellStyle name="40% - Accent4 3 8" xfId="445" xr:uid="{00000000-0005-0000-0000-0000BC010000}"/>
    <cellStyle name="40% - Accent4 3 9" xfId="446" xr:uid="{00000000-0005-0000-0000-0000BD010000}"/>
    <cellStyle name="40% - Accent4 4" xfId="447" xr:uid="{00000000-0005-0000-0000-0000BE010000}"/>
    <cellStyle name="40% - Accent4 4 2" xfId="448" xr:uid="{00000000-0005-0000-0000-0000BF010000}"/>
    <cellStyle name="40% - Accent4 4 3" xfId="449" xr:uid="{00000000-0005-0000-0000-0000C0010000}"/>
    <cellStyle name="40% - Accent4 4 4" xfId="450" xr:uid="{00000000-0005-0000-0000-0000C1010000}"/>
    <cellStyle name="40% - Accent4 4 5" xfId="451" xr:uid="{00000000-0005-0000-0000-0000C2010000}"/>
    <cellStyle name="40% - Accent4 4 6" xfId="452" xr:uid="{00000000-0005-0000-0000-0000C3010000}"/>
    <cellStyle name="40% - Accent4 4 7" xfId="453" xr:uid="{00000000-0005-0000-0000-0000C4010000}"/>
    <cellStyle name="40% - Accent4 4 8" xfId="454" xr:uid="{00000000-0005-0000-0000-0000C5010000}"/>
    <cellStyle name="40% - Accent4 4 9" xfId="455" xr:uid="{00000000-0005-0000-0000-0000C6010000}"/>
    <cellStyle name="40% - Accent4 5" xfId="456" xr:uid="{00000000-0005-0000-0000-0000C7010000}"/>
    <cellStyle name="40% - Accent4 5 2" xfId="457" xr:uid="{00000000-0005-0000-0000-0000C8010000}"/>
    <cellStyle name="40% - Accent4 5 3" xfId="458" xr:uid="{00000000-0005-0000-0000-0000C9010000}"/>
    <cellStyle name="40% - Accent4 6" xfId="459" xr:uid="{00000000-0005-0000-0000-0000CA010000}"/>
    <cellStyle name="40% - Accent4 6 2" xfId="460" xr:uid="{00000000-0005-0000-0000-0000CB010000}"/>
    <cellStyle name="40% - Accent4 6 3" xfId="461" xr:uid="{00000000-0005-0000-0000-0000CC010000}"/>
    <cellStyle name="40% - Accent4 7" xfId="462" xr:uid="{00000000-0005-0000-0000-0000CD010000}"/>
    <cellStyle name="40% - Accent4 7 2" xfId="463" xr:uid="{00000000-0005-0000-0000-0000CE010000}"/>
    <cellStyle name="40% - Accent4 7 3" xfId="464" xr:uid="{00000000-0005-0000-0000-0000CF010000}"/>
    <cellStyle name="40% - Accent4 8" xfId="465" xr:uid="{00000000-0005-0000-0000-0000D0010000}"/>
    <cellStyle name="40% - Accent4 8 2" xfId="466" xr:uid="{00000000-0005-0000-0000-0000D1010000}"/>
    <cellStyle name="40% - Accent4 8 3" xfId="467" xr:uid="{00000000-0005-0000-0000-0000D2010000}"/>
    <cellStyle name="40% - Accent4 9" xfId="468" xr:uid="{00000000-0005-0000-0000-0000D3010000}"/>
    <cellStyle name="40% - Accent4 9 2" xfId="469" xr:uid="{00000000-0005-0000-0000-0000D4010000}"/>
    <cellStyle name="40% - Accent4 9 3" xfId="470" xr:uid="{00000000-0005-0000-0000-0000D5010000}"/>
    <cellStyle name="40% - Accent5 10" xfId="471" xr:uid="{00000000-0005-0000-0000-0000D6010000}"/>
    <cellStyle name="40% - Accent5 10 2" xfId="472" xr:uid="{00000000-0005-0000-0000-0000D7010000}"/>
    <cellStyle name="40% - Accent5 10 3" xfId="473" xr:uid="{00000000-0005-0000-0000-0000D8010000}"/>
    <cellStyle name="40% - Accent5 11" xfId="474" xr:uid="{00000000-0005-0000-0000-0000D9010000}"/>
    <cellStyle name="40% - Accent5 12" xfId="475" xr:uid="{00000000-0005-0000-0000-0000DA010000}"/>
    <cellStyle name="40% - Accent5 2" xfId="476" xr:uid="{00000000-0005-0000-0000-0000DB010000}"/>
    <cellStyle name="40% - Accent5 2 2" xfId="477" xr:uid="{00000000-0005-0000-0000-0000DC010000}"/>
    <cellStyle name="40% - Accent5 2 3" xfId="478" xr:uid="{00000000-0005-0000-0000-0000DD010000}"/>
    <cellStyle name="40% - Accent5 2 4" xfId="479" xr:uid="{00000000-0005-0000-0000-0000DE010000}"/>
    <cellStyle name="40% - Accent5 2 5" xfId="480" xr:uid="{00000000-0005-0000-0000-0000DF010000}"/>
    <cellStyle name="40% - Accent5 2 6" xfId="481" xr:uid="{00000000-0005-0000-0000-0000E0010000}"/>
    <cellStyle name="40% - Accent5 2 7" xfId="482" xr:uid="{00000000-0005-0000-0000-0000E1010000}"/>
    <cellStyle name="40% - Accent5 2 8" xfId="483" xr:uid="{00000000-0005-0000-0000-0000E2010000}"/>
    <cellStyle name="40% - Accent5 2 9" xfId="484" xr:uid="{00000000-0005-0000-0000-0000E3010000}"/>
    <cellStyle name="40% - Accent5 3" xfId="485" xr:uid="{00000000-0005-0000-0000-0000E4010000}"/>
    <cellStyle name="40% - Accent5 3 2" xfId="486" xr:uid="{00000000-0005-0000-0000-0000E5010000}"/>
    <cellStyle name="40% - Accent5 3 3" xfId="487" xr:uid="{00000000-0005-0000-0000-0000E6010000}"/>
    <cellStyle name="40% - Accent5 3 4" xfId="488" xr:uid="{00000000-0005-0000-0000-0000E7010000}"/>
    <cellStyle name="40% - Accent5 3 5" xfId="489" xr:uid="{00000000-0005-0000-0000-0000E8010000}"/>
    <cellStyle name="40% - Accent5 3 6" xfId="490" xr:uid="{00000000-0005-0000-0000-0000E9010000}"/>
    <cellStyle name="40% - Accent5 3 7" xfId="491" xr:uid="{00000000-0005-0000-0000-0000EA010000}"/>
    <cellStyle name="40% - Accent5 3 8" xfId="492" xr:uid="{00000000-0005-0000-0000-0000EB010000}"/>
    <cellStyle name="40% - Accent5 3 9" xfId="493" xr:uid="{00000000-0005-0000-0000-0000EC010000}"/>
    <cellStyle name="40% - Accent5 4" xfId="494" xr:uid="{00000000-0005-0000-0000-0000ED010000}"/>
    <cellStyle name="40% - Accent5 4 2" xfId="495" xr:uid="{00000000-0005-0000-0000-0000EE010000}"/>
    <cellStyle name="40% - Accent5 4 3" xfId="496" xr:uid="{00000000-0005-0000-0000-0000EF010000}"/>
    <cellStyle name="40% - Accent5 4 4" xfId="497" xr:uid="{00000000-0005-0000-0000-0000F0010000}"/>
    <cellStyle name="40% - Accent5 4 5" xfId="498" xr:uid="{00000000-0005-0000-0000-0000F1010000}"/>
    <cellStyle name="40% - Accent5 4 6" xfId="499" xr:uid="{00000000-0005-0000-0000-0000F2010000}"/>
    <cellStyle name="40% - Accent5 4 7" xfId="500" xr:uid="{00000000-0005-0000-0000-0000F3010000}"/>
    <cellStyle name="40% - Accent5 4 8" xfId="501" xr:uid="{00000000-0005-0000-0000-0000F4010000}"/>
    <cellStyle name="40% - Accent5 4 9" xfId="502" xr:uid="{00000000-0005-0000-0000-0000F5010000}"/>
    <cellStyle name="40% - Accent5 5" xfId="503" xr:uid="{00000000-0005-0000-0000-0000F6010000}"/>
    <cellStyle name="40% - Accent5 5 2" xfId="504" xr:uid="{00000000-0005-0000-0000-0000F7010000}"/>
    <cellStyle name="40% - Accent5 5 3" xfId="505" xr:uid="{00000000-0005-0000-0000-0000F8010000}"/>
    <cellStyle name="40% - Accent5 6" xfId="506" xr:uid="{00000000-0005-0000-0000-0000F9010000}"/>
    <cellStyle name="40% - Accent5 6 2" xfId="507" xr:uid="{00000000-0005-0000-0000-0000FA010000}"/>
    <cellStyle name="40% - Accent5 6 3" xfId="508" xr:uid="{00000000-0005-0000-0000-0000FB010000}"/>
    <cellStyle name="40% - Accent5 7" xfId="509" xr:uid="{00000000-0005-0000-0000-0000FC010000}"/>
    <cellStyle name="40% - Accent5 7 2" xfId="510" xr:uid="{00000000-0005-0000-0000-0000FD010000}"/>
    <cellStyle name="40% - Accent5 7 3" xfId="511" xr:uid="{00000000-0005-0000-0000-0000FE010000}"/>
    <cellStyle name="40% - Accent5 8" xfId="512" xr:uid="{00000000-0005-0000-0000-0000FF010000}"/>
    <cellStyle name="40% - Accent5 8 2" xfId="513" xr:uid="{00000000-0005-0000-0000-000000020000}"/>
    <cellStyle name="40% - Accent5 8 3" xfId="514" xr:uid="{00000000-0005-0000-0000-000001020000}"/>
    <cellStyle name="40% - Accent5 9" xfId="515" xr:uid="{00000000-0005-0000-0000-000002020000}"/>
    <cellStyle name="40% - Accent5 9 2" xfId="516" xr:uid="{00000000-0005-0000-0000-000003020000}"/>
    <cellStyle name="40% - Accent5 9 3" xfId="517" xr:uid="{00000000-0005-0000-0000-000004020000}"/>
    <cellStyle name="40% - Accent6 10" xfId="518" xr:uid="{00000000-0005-0000-0000-000005020000}"/>
    <cellStyle name="40% - Accent6 10 2" xfId="519" xr:uid="{00000000-0005-0000-0000-000006020000}"/>
    <cellStyle name="40% - Accent6 10 3" xfId="520" xr:uid="{00000000-0005-0000-0000-000007020000}"/>
    <cellStyle name="40% - Accent6 11" xfId="521" xr:uid="{00000000-0005-0000-0000-000008020000}"/>
    <cellStyle name="40% - Accent6 12" xfId="522" xr:uid="{00000000-0005-0000-0000-000009020000}"/>
    <cellStyle name="40% - Accent6 2" xfId="523" xr:uid="{00000000-0005-0000-0000-00000A020000}"/>
    <cellStyle name="40% - Accent6 2 2" xfId="524" xr:uid="{00000000-0005-0000-0000-00000B020000}"/>
    <cellStyle name="40% - Accent6 2 3" xfId="525" xr:uid="{00000000-0005-0000-0000-00000C020000}"/>
    <cellStyle name="40% - Accent6 2 4" xfId="526" xr:uid="{00000000-0005-0000-0000-00000D020000}"/>
    <cellStyle name="40% - Accent6 2 5" xfId="527" xr:uid="{00000000-0005-0000-0000-00000E020000}"/>
    <cellStyle name="40% - Accent6 2 6" xfId="528" xr:uid="{00000000-0005-0000-0000-00000F020000}"/>
    <cellStyle name="40% - Accent6 2 7" xfId="529" xr:uid="{00000000-0005-0000-0000-000010020000}"/>
    <cellStyle name="40% - Accent6 2 8" xfId="530" xr:uid="{00000000-0005-0000-0000-000011020000}"/>
    <cellStyle name="40% - Accent6 2 9" xfId="531" xr:uid="{00000000-0005-0000-0000-000012020000}"/>
    <cellStyle name="40% - Accent6 3" xfId="532" xr:uid="{00000000-0005-0000-0000-000013020000}"/>
    <cellStyle name="40% - Accent6 3 2" xfId="533" xr:uid="{00000000-0005-0000-0000-000014020000}"/>
    <cellStyle name="40% - Accent6 3 3" xfId="534" xr:uid="{00000000-0005-0000-0000-000015020000}"/>
    <cellStyle name="40% - Accent6 3 4" xfId="535" xr:uid="{00000000-0005-0000-0000-000016020000}"/>
    <cellStyle name="40% - Accent6 3 5" xfId="536" xr:uid="{00000000-0005-0000-0000-000017020000}"/>
    <cellStyle name="40% - Accent6 3 6" xfId="537" xr:uid="{00000000-0005-0000-0000-000018020000}"/>
    <cellStyle name="40% - Accent6 3 7" xfId="538" xr:uid="{00000000-0005-0000-0000-000019020000}"/>
    <cellStyle name="40% - Accent6 3 8" xfId="539" xr:uid="{00000000-0005-0000-0000-00001A020000}"/>
    <cellStyle name="40% - Accent6 3 9" xfId="540" xr:uid="{00000000-0005-0000-0000-00001B020000}"/>
    <cellStyle name="40% - Accent6 4" xfId="541" xr:uid="{00000000-0005-0000-0000-00001C020000}"/>
    <cellStyle name="40% - Accent6 4 2" xfId="542" xr:uid="{00000000-0005-0000-0000-00001D020000}"/>
    <cellStyle name="40% - Accent6 4 3" xfId="543" xr:uid="{00000000-0005-0000-0000-00001E020000}"/>
    <cellStyle name="40% - Accent6 4 4" xfId="544" xr:uid="{00000000-0005-0000-0000-00001F020000}"/>
    <cellStyle name="40% - Accent6 4 5" xfId="545" xr:uid="{00000000-0005-0000-0000-000020020000}"/>
    <cellStyle name="40% - Accent6 4 6" xfId="546" xr:uid="{00000000-0005-0000-0000-000021020000}"/>
    <cellStyle name="40% - Accent6 4 7" xfId="547" xr:uid="{00000000-0005-0000-0000-000022020000}"/>
    <cellStyle name="40% - Accent6 4 8" xfId="548" xr:uid="{00000000-0005-0000-0000-000023020000}"/>
    <cellStyle name="40% - Accent6 4 9" xfId="549" xr:uid="{00000000-0005-0000-0000-000024020000}"/>
    <cellStyle name="40% - Accent6 5" xfId="550" xr:uid="{00000000-0005-0000-0000-000025020000}"/>
    <cellStyle name="40% - Accent6 5 2" xfId="551" xr:uid="{00000000-0005-0000-0000-000026020000}"/>
    <cellStyle name="40% - Accent6 5 3" xfId="552" xr:uid="{00000000-0005-0000-0000-000027020000}"/>
    <cellStyle name="40% - Accent6 6" xfId="553" xr:uid="{00000000-0005-0000-0000-000028020000}"/>
    <cellStyle name="40% - Accent6 6 2" xfId="554" xr:uid="{00000000-0005-0000-0000-000029020000}"/>
    <cellStyle name="40% - Accent6 6 3" xfId="555" xr:uid="{00000000-0005-0000-0000-00002A020000}"/>
    <cellStyle name="40% - Accent6 7" xfId="556" xr:uid="{00000000-0005-0000-0000-00002B020000}"/>
    <cellStyle name="40% - Accent6 7 2" xfId="557" xr:uid="{00000000-0005-0000-0000-00002C020000}"/>
    <cellStyle name="40% - Accent6 7 3" xfId="558" xr:uid="{00000000-0005-0000-0000-00002D020000}"/>
    <cellStyle name="40% - Accent6 8" xfId="559" xr:uid="{00000000-0005-0000-0000-00002E020000}"/>
    <cellStyle name="40% - Accent6 8 2" xfId="560" xr:uid="{00000000-0005-0000-0000-00002F020000}"/>
    <cellStyle name="40% - Accent6 8 3" xfId="561" xr:uid="{00000000-0005-0000-0000-000030020000}"/>
    <cellStyle name="40% - Accent6 9" xfId="562" xr:uid="{00000000-0005-0000-0000-000031020000}"/>
    <cellStyle name="40% - Accent6 9 2" xfId="563" xr:uid="{00000000-0005-0000-0000-000032020000}"/>
    <cellStyle name="40% - Accent6 9 3" xfId="564" xr:uid="{00000000-0005-0000-0000-000033020000}"/>
    <cellStyle name="60% - Accent1 10" xfId="565" xr:uid="{00000000-0005-0000-0000-000034020000}"/>
    <cellStyle name="60% - Accent1 10 2" xfId="566" xr:uid="{00000000-0005-0000-0000-000035020000}"/>
    <cellStyle name="60% - Accent1 10 3" xfId="567" xr:uid="{00000000-0005-0000-0000-000036020000}"/>
    <cellStyle name="60% - Accent1 11" xfId="568" xr:uid="{00000000-0005-0000-0000-000037020000}"/>
    <cellStyle name="60% - Accent1 12" xfId="569" xr:uid="{00000000-0005-0000-0000-000038020000}"/>
    <cellStyle name="60% - Accent1 2" xfId="570" xr:uid="{00000000-0005-0000-0000-000039020000}"/>
    <cellStyle name="60% - Accent1 2 2" xfId="571" xr:uid="{00000000-0005-0000-0000-00003A020000}"/>
    <cellStyle name="60% - Accent1 2 3" xfId="572" xr:uid="{00000000-0005-0000-0000-00003B020000}"/>
    <cellStyle name="60% - Accent1 2 4" xfId="573" xr:uid="{00000000-0005-0000-0000-00003C020000}"/>
    <cellStyle name="60% - Accent1 2 5" xfId="574" xr:uid="{00000000-0005-0000-0000-00003D020000}"/>
    <cellStyle name="60% - Accent1 2 6" xfId="575" xr:uid="{00000000-0005-0000-0000-00003E020000}"/>
    <cellStyle name="60% - Accent1 2 7" xfId="576" xr:uid="{00000000-0005-0000-0000-00003F020000}"/>
    <cellStyle name="60% - Accent1 2 8" xfId="577" xr:uid="{00000000-0005-0000-0000-000040020000}"/>
    <cellStyle name="60% - Accent1 2 9" xfId="578" xr:uid="{00000000-0005-0000-0000-000041020000}"/>
    <cellStyle name="60% - Accent1 3" xfId="579" xr:uid="{00000000-0005-0000-0000-000042020000}"/>
    <cellStyle name="60% - Accent1 3 2" xfId="580" xr:uid="{00000000-0005-0000-0000-000043020000}"/>
    <cellStyle name="60% - Accent1 3 3" xfId="581" xr:uid="{00000000-0005-0000-0000-000044020000}"/>
    <cellStyle name="60% - Accent1 3 4" xfId="582" xr:uid="{00000000-0005-0000-0000-000045020000}"/>
    <cellStyle name="60% - Accent1 3 5" xfId="583" xr:uid="{00000000-0005-0000-0000-000046020000}"/>
    <cellStyle name="60% - Accent1 3 6" xfId="584" xr:uid="{00000000-0005-0000-0000-000047020000}"/>
    <cellStyle name="60% - Accent1 3 7" xfId="585" xr:uid="{00000000-0005-0000-0000-000048020000}"/>
    <cellStyle name="60% - Accent1 3 8" xfId="586" xr:uid="{00000000-0005-0000-0000-000049020000}"/>
    <cellStyle name="60% - Accent1 3 9" xfId="587" xr:uid="{00000000-0005-0000-0000-00004A020000}"/>
    <cellStyle name="60% - Accent1 4" xfId="588" xr:uid="{00000000-0005-0000-0000-00004B020000}"/>
    <cellStyle name="60% - Accent1 4 2" xfId="589" xr:uid="{00000000-0005-0000-0000-00004C020000}"/>
    <cellStyle name="60% - Accent1 4 3" xfId="590" xr:uid="{00000000-0005-0000-0000-00004D020000}"/>
    <cellStyle name="60% - Accent1 4 4" xfId="591" xr:uid="{00000000-0005-0000-0000-00004E020000}"/>
    <cellStyle name="60% - Accent1 4 5" xfId="592" xr:uid="{00000000-0005-0000-0000-00004F020000}"/>
    <cellStyle name="60% - Accent1 4 6" xfId="593" xr:uid="{00000000-0005-0000-0000-000050020000}"/>
    <cellStyle name="60% - Accent1 4 7" xfId="594" xr:uid="{00000000-0005-0000-0000-000051020000}"/>
    <cellStyle name="60% - Accent1 4 8" xfId="595" xr:uid="{00000000-0005-0000-0000-000052020000}"/>
    <cellStyle name="60% - Accent1 4 9" xfId="596" xr:uid="{00000000-0005-0000-0000-000053020000}"/>
    <cellStyle name="60% - Accent1 5" xfId="597" xr:uid="{00000000-0005-0000-0000-000054020000}"/>
    <cellStyle name="60% - Accent1 5 2" xfId="598" xr:uid="{00000000-0005-0000-0000-000055020000}"/>
    <cellStyle name="60% - Accent1 5 3" xfId="599" xr:uid="{00000000-0005-0000-0000-000056020000}"/>
    <cellStyle name="60% - Accent1 6" xfId="600" xr:uid="{00000000-0005-0000-0000-000057020000}"/>
    <cellStyle name="60% - Accent1 6 2" xfId="601" xr:uid="{00000000-0005-0000-0000-000058020000}"/>
    <cellStyle name="60% - Accent1 6 3" xfId="602" xr:uid="{00000000-0005-0000-0000-000059020000}"/>
    <cellStyle name="60% - Accent1 7" xfId="603" xr:uid="{00000000-0005-0000-0000-00005A020000}"/>
    <cellStyle name="60% - Accent1 7 2" xfId="604" xr:uid="{00000000-0005-0000-0000-00005B020000}"/>
    <cellStyle name="60% - Accent1 7 3" xfId="605" xr:uid="{00000000-0005-0000-0000-00005C020000}"/>
    <cellStyle name="60% - Accent1 8" xfId="606" xr:uid="{00000000-0005-0000-0000-00005D020000}"/>
    <cellStyle name="60% - Accent1 8 2" xfId="607" xr:uid="{00000000-0005-0000-0000-00005E020000}"/>
    <cellStyle name="60% - Accent1 8 3" xfId="608" xr:uid="{00000000-0005-0000-0000-00005F020000}"/>
    <cellStyle name="60% - Accent1 9" xfId="609" xr:uid="{00000000-0005-0000-0000-000060020000}"/>
    <cellStyle name="60% - Accent1 9 2" xfId="610" xr:uid="{00000000-0005-0000-0000-000061020000}"/>
    <cellStyle name="60% - Accent1 9 3" xfId="611" xr:uid="{00000000-0005-0000-0000-000062020000}"/>
    <cellStyle name="60% - Accent2 10" xfId="612" xr:uid="{00000000-0005-0000-0000-000063020000}"/>
    <cellStyle name="60% - Accent2 10 2" xfId="613" xr:uid="{00000000-0005-0000-0000-000064020000}"/>
    <cellStyle name="60% - Accent2 10 3" xfId="614" xr:uid="{00000000-0005-0000-0000-000065020000}"/>
    <cellStyle name="60% - Accent2 11" xfId="615" xr:uid="{00000000-0005-0000-0000-000066020000}"/>
    <cellStyle name="60% - Accent2 12" xfId="616" xr:uid="{00000000-0005-0000-0000-000067020000}"/>
    <cellStyle name="60% - Accent2 2" xfId="617" xr:uid="{00000000-0005-0000-0000-000068020000}"/>
    <cellStyle name="60% - Accent2 2 2" xfId="618" xr:uid="{00000000-0005-0000-0000-000069020000}"/>
    <cellStyle name="60% - Accent2 2 3" xfId="619" xr:uid="{00000000-0005-0000-0000-00006A020000}"/>
    <cellStyle name="60% - Accent2 2 4" xfId="620" xr:uid="{00000000-0005-0000-0000-00006B020000}"/>
    <cellStyle name="60% - Accent2 2 5" xfId="621" xr:uid="{00000000-0005-0000-0000-00006C020000}"/>
    <cellStyle name="60% - Accent2 2 6" xfId="622" xr:uid="{00000000-0005-0000-0000-00006D020000}"/>
    <cellStyle name="60% - Accent2 2 7" xfId="623" xr:uid="{00000000-0005-0000-0000-00006E020000}"/>
    <cellStyle name="60% - Accent2 2 8" xfId="624" xr:uid="{00000000-0005-0000-0000-00006F020000}"/>
    <cellStyle name="60% - Accent2 2 9" xfId="625" xr:uid="{00000000-0005-0000-0000-000070020000}"/>
    <cellStyle name="60% - Accent2 3" xfId="626" xr:uid="{00000000-0005-0000-0000-000071020000}"/>
    <cellStyle name="60% - Accent2 3 2" xfId="627" xr:uid="{00000000-0005-0000-0000-000072020000}"/>
    <cellStyle name="60% - Accent2 3 3" xfId="628" xr:uid="{00000000-0005-0000-0000-000073020000}"/>
    <cellStyle name="60% - Accent2 3 4" xfId="629" xr:uid="{00000000-0005-0000-0000-000074020000}"/>
    <cellStyle name="60% - Accent2 3 5" xfId="630" xr:uid="{00000000-0005-0000-0000-000075020000}"/>
    <cellStyle name="60% - Accent2 3 6" xfId="631" xr:uid="{00000000-0005-0000-0000-000076020000}"/>
    <cellStyle name="60% - Accent2 3 7" xfId="632" xr:uid="{00000000-0005-0000-0000-000077020000}"/>
    <cellStyle name="60% - Accent2 3 8" xfId="633" xr:uid="{00000000-0005-0000-0000-000078020000}"/>
    <cellStyle name="60% - Accent2 3 9" xfId="634" xr:uid="{00000000-0005-0000-0000-000079020000}"/>
    <cellStyle name="60% - Accent2 4" xfId="635" xr:uid="{00000000-0005-0000-0000-00007A020000}"/>
    <cellStyle name="60% - Accent2 4 2" xfId="636" xr:uid="{00000000-0005-0000-0000-00007B020000}"/>
    <cellStyle name="60% - Accent2 4 3" xfId="637" xr:uid="{00000000-0005-0000-0000-00007C020000}"/>
    <cellStyle name="60% - Accent2 4 4" xfId="638" xr:uid="{00000000-0005-0000-0000-00007D020000}"/>
    <cellStyle name="60% - Accent2 4 5" xfId="639" xr:uid="{00000000-0005-0000-0000-00007E020000}"/>
    <cellStyle name="60% - Accent2 4 6" xfId="640" xr:uid="{00000000-0005-0000-0000-00007F020000}"/>
    <cellStyle name="60% - Accent2 4 7" xfId="641" xr:uid="{00000000-0005-0000-0000-000080020000}"/>
    <cellStyle name="60% - Accent2 4 8" xfId="642" xr:uid="{00000000-0005-0000-0000-000081020000}"/>
    <cellStyle name="60% - Accent2 4 9" xfId="643" xr:uid="{00000000-0005-0000-0000-000082020000}"/>
    <cellStyle name="60% - Accent2 5" xfId="644" xr:uid="{00000000-0005-0000-0000-000083020000}"/>
    <cellStyle name="60% - Accent2 5 2" xfId="645" xr:uid="{00000000-0005-0000-0000-000084020000}"/>
    <cellStyle name="60% - Accent2 5 3" xfId="646" xr:uid="{00000000-0005-0000-0000-000085020000}"/>
    <cellStyle name="60% - Accent2 6" xfId="647" xr:uid="{00000000-0005-0000-0000-000086020000}"/>
    <cellStyle name="60% - Accent2 6 2" xfId="648" xr:uid="{00000000-0005-0000-0000-000087020000}"/>
    <cellStyle name="60% - Accent2 6 3" xfId="649" xr:uid="{00000000-0005-0000-0000-000088020000}"/>
    <cellStyle name="60% - Accent2 7" xfId="650" xr:uid="{00000000-0005-0000-0000-000089020000}"/>
    <cellStyle name="60% - Accent2 7 2" xfId="651" xr:uid="{00000000-0005-0000-0000-00008A020000}"/>
    <cellStyle name="60% - Accent2 7 3" xfId="652" xr:uid="{00000000-0005-0000-0000-00008B020000}"/>
    <cellStyle name="60% - Accent2 8" xfId="653" xr:uid="{00000000-0005-0000-0000-00008C020000}"/>
    <cellStyle name="60% - Accent2 8 2" xfId="654" xr:uid="{00000000-0005-0000-0000-00008D020000}"/>
    <cellStyle name="60% - Accent2 8 3" xfId="655" xr:uid="{00000000-0005-0000-0000-00008E020000}"/>
    <cellStyle name="60% - Accent2 9" xfId="656" xr:uid="{00000000-0005-0000-0000-00008F020000}"/>
    <cellStyle name="60% - Accent2 9 2" xfId="657" xr:uid="{00000000-0005-0000-0000-000090020000}"/>
    <cellStyle name="60% - Accent2 9 3" xfId="658" xr:uid="{00000000-0005-0000-0000-000091020000}"/>
    <cellStyle name="60% - Accent3 10" xfId="659" xr:uid="{00000000-0005-0000-0000-000092020000}"/>
    <cellStyle name="60% - Accent3 10 2" xfId="660" xr:uid="{00000000-0005-0000-0000-000093020000}"/>
    <cellStyle name="60% - Accent3 10 3" xfId="661" xr:uid="{00000000-0005-0000-0000-000094020000}"/>
    <cellStyle name="60% - Accent3 11" xfId="662" xr:uid="{00000000-0005-0000-0000-000095020000}"/>
    <cellStyle name="60% - Accent3 12" xfId="663" xr:uid="{00000000-0005-0000-0000-000096020000}"/>
    <cellStyle name="60% - Accent3 2" xfId="664" xr:uid="{00000000-0005-0000-0000-000097020000}"/>
    <cellStyle name="60% - Accent3 2 2" xfId="665" xr:uid="{00000000-0005-0000-0000-000098020000}"/>
    <cellStyle name="60% - Accent3 2 3" xfId="666" xr:uid="{00000000-0005-0000-0000-000099020000}"/>
    <cellStyle name="60% - Accent3 2 4" xfId="667" xr:uid="{00000000-0005-0000-0000-00009A020000}"/>
    <cellStyle name="60% - Accent3 2 5" xfId="668" xr:uid="{00000000-0005-0000-0000-00009B020000}"/>
    <cellStyle name="60% - Accent3 2 6" xfId="669" xr:uid="{00000000-0005-0000-0000-00009C020000}"/>
    <cellStyle name="60% - Accent3 2 7" xfId="670" xr:uid="{00000000-0005-0000-0000-00009D020000}"/>
    <cellStyle name="60% - Accent3 2 8" xfId="671" xr:uid="{00000000-0005-0000-0000-00009E020000}"/>
    <cellStyle name="60% - Accent3 2 9" xfId="672" xr:uid="{00000000-0005-0000-0000-00009F020000}"/>
    <cellStyle name="60% - Accent3 3" xfId="673" xr:uid="{00000000-0005-0000-0000-0000A0020000}"/>
    <cellStyle name="60% - Accent3 3 2" xfId="674" xr:uid="{00000000-0005-0000-0000-0000A1020000}"/>
    <cellStyle name="60% - Accent3 3 3" xfId="675" xr:uid="{00000000-0005-0000-0000-0000A2020000}"/>
    <cellStyle name="60% - Accent3 3 4" xfId="676" xr:uid="{00000000-0005-0000-0000-0000A3020000}"/>
    <cellStyle name="60% - Accent3 3 5" xfId="677" xr:uid="{00000000-0005-0000-0000-0000A4020000}"/>
    <cellStyle name="60% - Accent3 3 6" xfId="678" xr:uid="{00000000-0005-0000-0000-0000A5020000}"/>
    <cellStyle name="60% - Accent3 3 7" xfId="679" xr:uid="{00000000-0005-0000-0000-0000A6020000}"/>
    <cellStyle name="60% - Accent3 3 8" xfId="680" xr:uid="{00000000-0005-0000-0000-0000A7020000}"/>
    <cellStyle name="60% - Accent3 3 9" xfId="681" xr:uid="{00000000-0005-0000-0000-0000A8020000}"/>
    <cellStyle name="60% - Accent3 4" xfId="682" xr:uid="{00000000-0005-0000-0000-0000A9020000}"/>
    <cellStyle name="60% - Accent3 4 2" xfId="683" xr:uid="{00000000-0005-0000-0000-0000AA020000}"/>
    <cellStyle name="60% - Accent3 4 3" xfId="684" xr:uid="{00000000-0005-0000-0000-0000AB020000}"/>
    <cellStyle name="60% - Accent3 4 4" xfId="685" xr:uid="{00000000-0005-0000-0000-0000AC020000}"/>
    <cellStyle name="60% - Accent3 4 5" xfId="686" xr:uid="{00000000-0005-0000-0000-0000AD020000}"/>
    <cellStyle name="60% - Accent3 4 6" xfId="687" xr:uid="{00000000-0005-0000-0000-0000AE020000}"/>
    <cellStyle name="60% - Accent3 4 7" xfId="688" xr:uid="{00000000-0005-0000-0000-0000AF020000}"/>
    <cellStyle name="60% - Accent3 4 8" xfId="689" xr:uid="{00000000-0005-0000-0000-0000B0020000}"/>
    <cellStyle name="60% - Accent3 4 9" xfId="690" xr:uid="{00000000-0005-0000-0000-0000B1020000}"/>
    <cellStyle name="60% - Accent3 5" xfId="691" xr:uid="{00000000-0005-0000-0000-0000B2020000}"/>
    <cellStyle name="60% - Accent3 5 2" xfId="692" xr:uid="{00000000-0005-0000-0000-0000B3020000}"/>
    <cellStyle name="60% - Accent3 5 3" xfId="693" xr:uid="{00000000-0005-0000-0000-0000B4020000}"/>
    <cellStyle name="60% - Accent3 6" xfId="694" xr:uid="{00000000-0005-0000-0000-0000B5020000}"/>
    <cellStyle name="60% - Accent3 6 2" xfId="695" xr:uid="{00000000-0005-0000-0000-0000B6020000}"/>
    <cellStyle name="60% - Accent3 6 3" xfId="696" xr:uid="{00000000-0005-0000-0000-0000B7020000}"/>
    <cellStyle name="60% - Accent3 7" xfId="697" xr:uid="{00000000-0005-0000-0000-0000B8020000}"/>
    <cellStyle name="60% - Accent3 7 2" xfId="698" xr:uid="{00000000-0005-0000-0000-0000B9020000}"/>
    <cellStyle name="60% - Accent3 7 3" xfId="699" xr:uid="{00000000-0005-0000-0000-0000BA020000}"/>
    <cellStyle name="60% - Accent3 8" xfId="700" xr:uid="{00000000-0005-0000-0000-0000BB020000}"/>
    <cellStyle name="60% - Accent3 8 2" xfId="701" xr:uid="{00000000-0005-0000-0000-0000BC020000}"/>
    <cellStyle name="60% - Accent3 8 3" xfId="702" xr:uid="{00000000-0005-0000-0000-0000BD020000}"/>
    <cellStyle name="60% - Accent3 9" xfId="703" xr:uid="{00000000-0005-0000-0000-0000BE020000}"/>
    <cellStyle name="60% - Accent3 9 2" xfId="704" xr:uid="{00000000-0005-0000-0000-0000BF020000}"/>
    <cellStyle name="60% - Accent3 9 3" xfId="705" xr:uid="{00000000-0005-0000-0000-0000C0020000}"/>
    <cellStyle name="60% - Accent4 10" xfId="706" xr:uid="{00000000-0005-0000-0000-0000C1020000}"/>
    <cellStyle name="60% - Accent4 10 2" xfId="707" xr:uid="{00000000-0005-0000-0000-0000C2020000}"/>
    <cellStyle name="60% - Accent4 10 3" xfId="708" xr:uid="{00000000-0005-0000-0000-0000C3020000}"/>
    <cellStyle name="60% - Accent4 11" xfId="709" xr:uid="{00000000-0005-0000-0000-0000C4020000}"/>
    <cellStyle name="60% - Accent4 12" xfId="710" xr:uid="{00000000-0005-0000-0000-0000C5020000}"/>
    <cellStyle name="60% - Accent4 2" xfId="711" xr:uid="{00000000-0005-0000-0000-0000C6020000}"/>
    <cellStyle name="60% - Accent4 2 2" xfId="712" xr:uid="{00000000-0005-0000-0000-0000C7020000}"/>
    <cellStyle name="60% - Accent4 2 3" xfId="713" xr:uid="{00000000-0005-0000-0000-0000C8020000}"/>
    <cellStyle name="60% - Accent4 2 4" xfId="714" xr:uid="{00000000-0005-0000-0000-0000C9020000}"/>
    <cellStyle name="60% - Accent4 2 5" xfId="715" xr:uid="{00000000-0005-0000-0000-0000CA020000}"/>
    <cellStyle name="60% - Accent4 2 6" xfId="716" xr:uid="{00000000-0005-0000-0000-0000CB020000}"/>
    <cellStyle name="60% - Accent4 2 7" xfId="717" xr:uid="{00000000-0005-0000-0000-0000CC020000}"/>
    <cellStyle name="60% - Accent4 2 8" xfId="718" xr:uid="{00000000-0005-0000-0000-0000CD020000}"/>
    <cellStyle name="60% - Accent4 2 9" xfId="719" xr:uid="{00000000-0005-0000-0000-0000CE020000}"/>
    <cellStyle name="60% - Accent4 3" xfId="720" xr:uid="{00000000-0005-0000-0000-0000CF020000}"/>
    <cellStyle name="60% - Accent4 3 2" xfId="721" xr:uid="{00000000-0005-0000-0000-0000D0020000}"/>
    <cellStyle name="60% - Accent4 3 3" xfId="722" xr:uid="{00000000-0005-0000-0000-0000D1020000}"/>
    <cellStyle name="60% - Accent4 3 4" xfId="723" xr:uid="{00000000-0005-0000-0000-0000D2020000}"/>
    <cellStyle name="60% - Accent4 3 5" xfId="724" xr:uid="{00000000-0005-0000-0000-0000D3020000}"/>
    <cellStyle name="60% - Accent4 3 6" xfId="725" xr:uid="{00000000-0005-0000-0000-0000D4020000}"/>
    <cellStyle name="60% - Accent4 3 7" xfId="726" xr:uid="{00000000-0005-0000-0000-0000D5020000}"/>
    <cellStyle name="60% - Accent4 3 8" xfId="727" xr:uid="{00000000-0005-0000-0000-0000D6020000}"/>
    <cellStyle name="60% - Accent4 3 9" xfId="728" xr:uid="{00000000-0005-0000-0000-0000D7020000}"/>
    <cellStyle name="60% - Accent4 4" xfId="729" xr:uid="{00000000-0005-0000-0000-0000D8020000}"/>
    <cellStyle name="60% - Accent4 4 2" xfId="730" xr:uid="{00000000-0005-0000-0000-0000D9020000}"/>
    <cellStyle name="60% - Accent4 4 3" xfId="731" xr:uid="{00000000-0005-0000-0000-0000DA020000}"/>
    <cellStyle name="60% - Accent4 4 4" xfId="732" xr:uid="{00000000-0005-0000-0000-0000DB020000}"/>
    <cellStyle name="60% - Accent4 4 5" xfId="733" xr:uid="{00000000-0005-0000-0000-0000DC020000}"/>
    <cellStyle name="60% - Accent4 4 6" xfId="734" xr:uid="{00000000-0005-0000-0000-0000DD020000}"/>
    <cellStyle name="60% - Accent4 4 7" xfId="735" xr:uid="{00000000-0005-0000-0000-0000DE020000}"/>
    <cellStyle name="60% - Accent4 4 8" xfId="736" xr:uid="{00000000-0005-0000-0000-0000DF020000}"/>
    <cellStyle name="60% - Accent4 4 9" xfId="737" xr:uid="{00000000-0005-0000-0000-0000E0020000}"/>
    <cellStyle name="60% - Accent4 5" xfId="738" xr:uid="{00000000-0005-0000-0000-0000E1020000}"/>
    <cellStyle name="60% - Accent4 5 2" xfId="739" xr:uid="{00000000-0005-0000-0000-0000E2020000}"/>
    <cellStyle name="60% - Accent4 5 3" xfId="740" xr:uid="{00000000-0005-0000-0000-0000E3020000}"/>
    <cellStyle name="60% - Accent4 6" xfId="741" xr:uid="{00000000-0005-0000-0000-0000E4020000}"/>
    <cellStyle name="60% - Accent4 6 2" xfId="742" xr:uid="{00000000-0005-0000-0000-0000E5020000}"/>
    <cellStyle name="60% - Accent4 6 3" xfId="743" xr:uid="{00000000-0005-0000-0000-0000E6020000}"/>
    <cellStyle name="60% - Accent4 7" xfId="744" xr:uid="{00000000-0005-0000-0000-0000E7020000}"/>
    <cellStyle name="60% - Accent4 7 2" xfId="745" xr:uid="{00000000-0005-0000-0000-0000E8020000}"/>
    <cellStyle name="60% - Accent4 7 3" xfId="746" xr:uid="{00000000-0005-0000-0000-0000E9020000}"/>
    <cellStyle name="60% - Accent4 8" xfId="747" xr:uid="{00000000-0005-0000-0000-0000EA020000}"/>
    <cellStyle name="60% - Accent4 8 2" xfId="748" xr:uid="{00000000-0005-0000-0000-0000EB020000}"/>
    <cellStyle name="60% - Accent4 8 3" xfId="749" xr:uid="{00000000-0005-0000-0000-0000EC020000}"/>
    <cellStyle name="60% - Accent4 9" xfId="750" xr:uid="{00000000-0005-0000-0000-0000ED020000}"/>
    <cellStyle name="60% - Accent4 9 2" xfId="751" xr:uid="{00000000-0005-0000-0000-0000EE020000}"/>
    <cellStyle name="60% - Accent4 9 3" xfId="752" xr:uid="{00000000-0005-0000-0000-0000EF020000}"/>
    <cellStyle name="60% - Accent5 10" xfId="753" xr:uid="{00000000-0005-0000-0000-0000F0020000}"/>
    <cellStyle name="60% - Accent5 10 2" xfId="754" xr:uid="{00000000-0005-0000-0000-0000F1020000}"/>
    <cellStyle name="60% - Accent5 10 3" xfId="755" xr:uid="{00000000-0005-0000-0000-0000F2020000}"/>
    <cellStyle name="60% - Accent5 11" xfId="756" xr:uid="{00000000-0005-0000-0000-0000F3020000}"/>
    <cellStyle name="60% - Accent5 12" xfId="757" xr:uid="{00000000-0005-0000-0000-0000F4020000}"/>
    <cellStyle name="60% - Accent5 2" xfId="758" xr:uid="{00000000-0005-0000-0000-0000F5020000}"/>
    <cellStyle name="60% - Accent5 2 2" xfId="759" xr:uid="{00000000-0005-0000-0000-0000F6020000}"/>
    <cellStyle name="60% - Accent5 2 3" xfId="760" xr:uid="{00000000-0005-0000-0000-0000F7020000}"/>
    <cellStyle name="60% - Accent5 2 4" xfId="761" xr:uid="{00000000-0005-0000-0000-0000F8020000}"/>
    <cellStyle name="60% - Accent5 2 5" xfId="762" xr:uid="{00000000-0005-0000-0000-0000F9020000}"/>
    <cellStyle name="60% - Accent5 2 6" xfId="763" xr:uid="{00000000-0005-0000-0000-0000FA020000}"/>
    <cellStyle name="60% - Accent5 2 7" xfId="764" xr:uid="{00000000-0005-0000-0000-0000FB020000}"/>
    <cellStyle name="60% - Accent5 2 8" xfId="765" xr:uid="{00000000-0005-0000-0000-0000FC020000}"/>
    <cellStyle name="60% - Accent5 2 9" xfId="766" xr:uid="{00000000-0005-0000-0000-0000FD020000}"/>
    <cellStyle name="60% - Accent5 3" xfId="767" xr:uid="{00000000-0005-0000-0000-0000FE020000}"/>
    <cellStyle name="60% - Accent5 3 2" xfId="768" xr:uid="{00000000-0005-0000-0000-0000FF020000}"/>
    <cellStyle name="60% - Accent5 3 3" xfId="769" xr:uid="{00000000-0005-0000-0000-000000030000}"/>
    <cellStyle name="60% - Accent5 3 4" xfId="770" xr:uid="{00000000-0005-0000-0000-000001030000}"/>
    <cellStyle name="60% - Accent5 3 5" xfId="771" xr:uid="{00000000-0005-0000-0000-000002030000}"/>
    <cellStyle name="60% - Accent5 3 6" xfId="772" xr:uid="{00000000-0005-0000-0000-000003030000}"/>
    <cellStyle name="60% - Accent5 3 7" xfId="773" xr:uid="{00000000-0005-0000-0000-000004030000}"/>
    <cellStyle name="60% - Accent5 3 8" xfId="774" xr:uid="{00000000-0005-0000-0000-000005030000}"/>
    <cellStyle name="60% - Accent5 3 9" xfId="775" xr:uid="{00000000-0005-0000-0000-000006030000}"/>
    <cellStyle name="60% - Accent5 4" xfId="776" xr:uid="{00000000-0005-0000-0000-000007030000}"/>
    <cellStyle name="60% - Accent5 4 2" xfId="777" xr:uid="{00000000-0005-0000-0000-000008030000}"/>
    <cellStyle name="60% - Accent5 4 3" xfId="778" xr:uid="{00000000-0005-0000-0000-000009030000}"/>
    <cellStyle name="60% - Accent5 4 4" xfId="779" xr:uid="{00000000-0005-0000-0000-00000A030000}"/>
    <cellStyle name="60% - Accent5 4 5" xfId="780" xr:uid="{00000000-0005-0000-0000-00000B030000}"/>
    <cellStyle name="60% - Accent5 4 6" xfId="781" xr:uid="{00000000-0005-0000-0000-00000C030000}"/>
    <cellStyle name="60% - Accent5 4 7" xfId="782" xr:uid="{00000000-0005-0000-0000-00000D030000}"/>
    <cellStyle name="60% - Accent5 4 8" xfId="783" xr:uid="{00000000-0005-0000-0000-00000E030000}"/>
    <cellStyle name="60% - Accent5 4 9" xfId="784" xr:uid="{00000000-0005-0000-0000-00000F030000}"/>
    <cellStyle name="60% - Accent5 5" xfId="785" xr:uid="{00000000-0005-0000-0000-000010030000}"/>
    <cellStyle name="60% - Accent5 5 2" xfId="786" xr:uid="{00000000-0005-0000-0000-000011030000}"/>
    <cellStyle name="60% - Accent5 5 3" xfId="787" xr:uid="{00000000-0005-0000-0000-000012030000}"/>
    <cellStyle name="60% - Accent5 6" xfId="788" xr:uid="{00000000-0005-0000-0000-000013030000}"/>
    <cellStyle name="60% - Accent5 6 2" xfId="789" xr:uid="{00000000-0005-0000-0000-000014030000}"/>
    <cellStyle name="60% - Accent5 6 3" xfId="790" xr:uid="{00000000-0005-0000-0000-000015030000}"/>
    <cellStyle name="60% - Accent5 7" xfId="791" xr:uid="{00000000-0005-0000-0000-000016030000}"/>
    <cellStyle name="60% - Accent5 7 2" xfId="792" xr:uid="{00000000-0005-0000-0000-000017030000}"/>
    <cellStyle name="60% - Accent5 7 3" xfId="793" xr:uid="{00000000-0005-0000-0000-000018030000}"/>
    <cellStyle name="60% - Accent5 8" xfId="794" xr:uid="{00000000-0005-0000-0000-000019030000}"/>
    <cellStyle name="60% - Accent5 8 2" xfId="795" xr:uid="{00000000-0005-0000-0000-00001A030000}"/>
    <cellStyle name="60% - Accent5 8 3" xfId="796" xr:uid="{00000000-0005-0000-0000-00001B030000}"/>
    <cellStyle name="60% - Accent5 9" xfId="797" xr:uid="{00000000-0005-0000-0000-00001C030000}"/>
    <cellStyle name="60% - Accent5 9 2" xfId="798" xr:uid="{00000000-0005-0000-0000-00001D030000}"/>
    <cellStyle name="60% - Accent5 9 3" xfId="799" xr:uid="{00000000-0005-0000-0000-00001E030000}"/>
    <cellStyle name="60% - Accent6 10" xfId="800" xr:uid="{00000000-0005-0000-0000-00001F030000}"/>
    <cellStyle name="60% - Accent6 10 2" xfId="801" xr:uid="{00000000-0005-0000-0000-000020030000}"/>
    <cellStyle name="60% - Accent6 10 3" xfId="802" xr:uid="{00000000-0005-0000-0000-000021030000}"/>
    <cellStyle name="60% - Accent6 11" xfId="803" xr:uid="{00000000-0005-0000-0000-000022030000}"/>
    <cellStyle name="60% - Accent6 12" xfId="804" xr:uid="{00000000-0005-0000-0000-000023030000}"/>
    <cellStyle name="60% - Accent6 2" xfId="805" xr:uid="{00000000-0005-0000-0000-000024030000}"/>
    <cellStyle name="60% - Accent6 2 2" xfId="806" xr:uid="{00000000-0005-0000-0000-000025030000}"/>
    <cellStyle name="60% - Accent6 2 3" xfId="807" xr:uid="{00000000-0005-0000-0000-000026030000}"/>
    <cellStyle name="60% - Accent6 2 4" xfId="808" xr:uid="{00000000-0005-0000-0000-000027030000}"/>
    <cellStyle name="60% - Accent6 2 5" xfId="809" xr:uid="{00000000-0005-0000-0000-000028030000}"/>
    <cellStyle name="60% - Accent6 2 6" xfId="810" xr:uid="{00000000-0005-0000-0000-000029030000}"/>
    <cellStyle name="60% - Accent6 2 7" xfId="811" xr:uid="{00000000-0005-0000-0000-00002A030000}"/>
    <cellStyle name="60% - Accent6 2 8" xfId="812" xr:uid="{00000000-0005-0000-0000-00002B030000}"/>
    <cellStyle name="60% - Accent6 2 9" xfId="813" xr:uid="{00000000-0005-0000-0000-00002C030000}"/>
    <cellStyle name="60% - Accent6 3" xfId="814" xr:uid="{00000000-0005-0000-0000-00002D030000}"/>
    <cellStyle name="60% - Accent6 3 2" xfId="815" xr:uid="{00000000-0005-0000-0000-00002E030000}"/>
    <cellStyle name="60% - Accent6 3 3" xfId="816" xr:uid="{00000000-0005-0000-0000-00002F030000}"/>
    <cellStyle name="60% - Accent6 3 4" xfId="817" xr:uid="{00000000-0005-0000-0000-000030030000}"/>
    <cellStyle name="60% - Accent6 3 5" xfId="818" xr:uid="{00000000-0005-0000-0000-000031030000}"/>
    <cellStyle name="60% - Accent6 3 6" xfId="819" xr:uid="{00000000-0005-0000-0000-000032030000}"/>
    <cellStyle name="60% - Accent6 3 7" xfId="820" xr:uid="{00000000-0005-0000-0000-000033030000}"/>
    <cellStyle name="60% - Accent6 3 8" xfId="821" xr:uid="{00000000-0005-0000-0000-000034030000}"/>
    <cellStyle name="60% - Accent6 3 9" xfId="822" xr:uid="{00000000-0005-0000-0000-000035030000}"/>
    <cellStyle name="60% - Accent6 4" xfId="823" xr:uid="{00000000-0005-0000-0000-000036030000}"/>
    <cellStyle name="60% - Accent6 4 2" xfId="824" xr:uid="{00000000-0005-0000-0000-000037030000}"/>
    <cellStyle name="60% - Accent6 4 3" xfId="825" xr:uid="{00000000-0005-0000-0000-000038030000}"/>
    <cellStyle name="60% - Accent6 4 4" xfId="826" xr:uid="{00000000-0005-0000-0000-000039030000}"/>
    <cellStyle name="60% - Accent6 4 5" xfId="827" xr:uid="{00000000-0005-0000-0000-00003A030000}"/>
    <cellStyle name="60% - Accent6 4 6" xfId="828" xr:uid="{00000000-0005-0000-0000-00003B030000}"/>
    <cellStyle name="60% - Accent6 4 7" xfId="829" xr:uid="{00000000-0005-0000-0000-00003C030000}"/>
    <cellStyle name="60% - Accent6 4 8" xfId="830" xr:uid="{00000000-0005-0000-0000-00003D030000}"/>
    <cellStyle name="60% - Accent6 4 9" xfId="831" xr:uid="{00000000-0005-0000-0000-00003E030000}"/>
    <cellStyle name="60% - Accent6 5" xfId="832" xr:uid="{00000000-0005-0000-0000-00003F030000}"/>
    <cellStyle name="60% - Accent6 5 2" xfId="833" xr:uid="{00000000-0005-0000-0000-000040030000}"/>
    <cellStyle name="60% - Accent6 5 3" xfId="834" xr:uid="{00000000-0005-0000-0000-000041030000}"/>
    <cellStyle name="60% - Accent6 6" xfId="835" xr:uid="{00000000-0005-0000-0000-000042030000}"/>
    <cellStyle name="60% - Accent6 6 2" xfId="836" xr:uid="{00000000-0005-0000-0000-000043030000}"/>
    <cellStyle name="60% - Accent6 6 3" xfId="837" xr:uid="{00000000-0005-0000-0000-000044030000}"/>
    <cellStyle name="60% - Accent6 7" xfId="838" xr:uid="{00000000-0005-0000-0000-000045030000}"/>
    <cellStyle name="60% - Accent6 7 2" xfId="839" xr:uid="{00000000-0005-0000-0000-000046030000}"/>
    <cellStyle name="60% - Accent6 7 3" xfId="840" xr:uid="{00000000-0005-0000-0000-000047030000}"/>
    <cellStyle name="60% - Accent6 8" xfId="841" xr:uid="{00000000-0005-0000-0000-000048030000}"/>
    <cellStyle name="60% - Accent6 8 2" xfId="842" xr:uid="{00000000-0005-0000-0000-000049030000}"/>
    <cellStyle name="60% - Accent6 8 3" xfId="843" xr:uid="{00000000-0005-0000-0000-00004A030000}"/>
    <cellStyle name="60% - Accent6 9" xfId="844" xr:uid="{00000000-0005-0000-0000-00004B030000}"/>
    <cellStyle name="60% - Accent6 9 2" xfId="845" xr:uid="{00000000-0005-0000-0000-00004C030000}"/>
    <cellStyle name="60% - Accent6 9 3" xfId="846" xr:uid="{00000000-0005-0000-0000-00004D030000}"/>
    <cellStyle name="Accent1 10" xfId="847" xr:uid="{00000000-0005-0000-0000-00004E030000}"/>
    <cellStyle name="Accent1 10 2" xfId="848" xr:uid="{00000000-0005-0000-0000-00004F030000}"/>
    <cellStyle name="Accent1 10 3" xfId="849" xr:uid="{00000000-0005-0000-0000-000050030000}"/>
    <cellStyle name="Accent1 11" xfId="850" xr:uid="{00000000-0005-0000-0000-000051030000}"/>
    <cellStyle name="Accent1 12" xfId="851" xr:uid="{00000000-0005-0000-0000-000052030000}"/>
    <cellStyle name="Accent1 2" xfId="852" xr:uid="{00000000-0005-0000-0000-000053030000}"/>
    <cellStyle name="Accent1 2 2" xfId="853" xr:uid="{00000000-0005-0000-0000-000054030000}"/>
    <cellStyle name="Accent1 2 3" xfId="854" xr:uid="{00000000-0005-0000-0000-000055030000}"/>
    <cellStyle name="Accent1 2 4" xfId="855" xr:uid="{00000000-0005-0000-0000-000056030000}"/>
    <cellStyle name="Accent1 2 5" xfId="856" xr:uid="{00000000-0005-0000-0000-000057030000}"/>
    <cellStyle name="Accent1 2 6" xfId="857" xr:uid="{00000000-0005-0000-0000-000058030000}"/>
    <cellStyle name="Accent1 2 7" xfId="858" xr:uid="{00000000-0005-0000-0000-000059030000}"/>
    <cellStyle name="Accent1 2 8" xfId="859" xr:uid="{00000000-0005-0000-0000-00005A030000}"/>
    <cellStyle name="Accent1 2 9" xfId="860" xr:uid="{00000000-0005-0000-0000-00005B030000}"/>
    <cellStyle name="Accent1 3" xfId="861" xr:uid="{00000000-0005-0000-0000-00005C030000}"/>
    <cellStyle name="Accent1 3 2" xfId="862" xr:uid="{00000000-0005-0000-0000-00005D030000}"/>
    <cellStyle name="Accent1 3 3" xfId="863" xr:uid="{00000000-0005-0000-0000-00005E030000}"/>
    <cellStyle name="Accent1 3 4" xfId="864" xr:uid="{00000000-0005-0000-0000-00005F030000}"/>
    <cellStyle name="Accent1 3 5" xfId="865" xr:uid="{00000000-0005-0000-0000-000060030000}"/>
    <cellStyle name="Accent1 3 6" xfId="866" xr:uid="{00000000-0005-0000-0000-000061030000}"/>
    <cellStyle name="Accent1 3 7" xfId="867" xr:uid="{00000000-0005-0000-0000-000062030000}"/>
    <cellStyle name="Accent1 3 8" xfId="868" xr:uid="{00000000-0005-0000-0000-000063030000}"/>
    <cellStyle name="Accent1 3 9" xfId="869" xr:uid="{00000000-0005-0000-0000-000064030000}"/>
    <cellStyle name="Accent1 4" xfId="870" xr:uid="{00000000-0005-0000-0000-000065030000}"/>
    <cellStyle name="Accent1 4 2" xfId="871" xr:uid="{00000000-0005-0000-0000-000066030000}"/>
    <cellStyle name="Accent1 4 3" xfId="872" xr:uid="{00000000-0005-0000-0000-000067030000}"/>
    <cellStyle name="Accent1 4 4" xfId="873" xr:uid="{00000000-0005-0000-0000-000068030000}"/>
    <cellStyle name="Accent1 4 5" xfId="874" xr:uid="{00000000-0005-0000-0000-000069030000}"/>
    <cellStyle name="Accent1 4 6" xfId="875" xr:uid="{00000000-0005-0000-0000-00006A030000}"/>
    <cellStyle name="Accent1 4 7" xfId="876" xr:uid="{00000000-0005-0000-0000-00006B030000}"/>
    <cellStyle name="Accent1 4 8" xfId="877" xr:uid="{00000000-0005-0000-0000-00006C030000}"/>
    <cellStyle name="Accent1 4 9" xfId="878" xr:uid="{00000000-0005-0000-0000-00006D030000}"/>
    <cellStyle name="Accent1 5" xfId="879" xr:uid="{00000000-0005-0000-0000-00006E030000}"/>
    <cellStyle name="Accent1 5 2" xfId="880" xr:uid="{00000000-0005-0000-0000-00006F030000}"/>
    <cellStyle name="Accent1 5 3" xfId="881" xr:uid="{00000000-0005-0000-0000-000070030000}"/>
    <cellStyle name="Accent1 6" xfId="882" xr:uid="{00000000-0005-0000-0000-000071030000}"/>
    <cellStyle name="Accent1 6 2" xfId="883" xr:uid="{00000000-0005-0000-0000-000072030000}"/>
    <cellStyle name="Accent1 6 3" xfId="884" xr:uid="{00000000-0005-0000-0000-000073030000}"/>
    <cellStyle name="Accent1 7" xfId="885" xr:uid="{00000000-0005-0000-0000-000074030000}"/>
    <cellStyle name="Accent1 7 2" xfId="886" xr:uid="{00000000-0005-0000-0000-000075030000}"/>
    <cellStyle name="Accent1 7 3" xfId="887" xr:uid="{00000000-0005-0000-0000-000076030000}"/>
    <cellStyle name="Accent1 8" xfId="888" xr:uid="{00000000-0005-0000-0000-000077030000}"/>
    <cellStyle name="Accent1 8 2" xfId="889" xr:uid="{00000000-0005-0000-0000-000078030000}"/>
    <cellStyle name="Accent1 8 3" xfId="890" xr:uid="{00000000-0005-0000-0000-000079030000}"/>
    <cellStyle name="Accent1 9" xfId="891" xr:uid="{00000000-0005-0000-0000-00007A030000}"/>
    <cellStyle name="Accent1 9 2" xfId="892" xr:uid="{00000000-0005-0000-0000-00007B030000}"/>
    <cellStyle name="Accent1 9 3" xfId="893" xr:uid="{00000000-0005-0000-0000-00007C030000}"/>
    <cellStyle name="Accent2 10" xfId="894" xr:uid="{00000000-0005-0000-0000-00007D030000}"/>
    <cellStyle name="Accent2 10 2" xfId="895" xr:uid="{00000000-0005-0000-0000-00007E030000}"/>
    <cellStyle name="Accent2 10 3" xfId="896" xr:uid="{00000000-0005-0000-0000-00007F030000}"/>
    <cellStyle name="Accent2 11" xfId="897" xr:uid="{00000000-0005-0000-0000-000080030000}"/>
    <cellStyle name="Accent2 12" xfId="898" xr:uid="{00000000-0005-0000-0000-000081030000}"/>
    <cellStyle name="Accent2 2" xfId="899" xr:uid="{00000000-0005-0000-0000-000082030000}"/>
    <cellStyle name="Accent2 2 2" xfId="900" xr:uid="{00000000-0005-0000-0000-000083030000}"/>
    <cellStyle name="Accent2 2 3" xfId="901" xr:uid="{00000000-0005-0000-0000-000084030000}"/>
    <cellStyle name="Accent2 2 4" xfId="902" xr:uid="{00000000-0005-0000-0000-000085030000}"/>
    <cellStyle name="Accent2 2 5" xfId="903" xr:uid="{00000000-0005-0000-0000-000086030000}"/>
    <cellStyle name="Accent2 2 6" xfId="904" xr:uid="{00000000-0005-0000-0000-000087030000}"/>
    <cellStyle name="Accent2 2 7" xfId="905" xr:uid="{00000000-0005-0000-0000-000088030000}"/>
    <cellStyle name="Accent2 2 8" xfId="906" xr:uid="{00000000-0005-0000-0000-000089030000}"/>
    <cellStyle name="Accent2 2 9" xfId="907" xr:uid="{00000000-0005-0000-0000-00008A030000}"/>
    <cellStyle name="Accent2 3" xfId="908" xr:uid="{00000000-0005-0000-0000-00008B030000}"/>
    <cellStyle name="Accent2 3 2" xfId="909" xr:uid="{00000000-0005-0000-0000-00008C030000}"/>
    <cellStyle name="Accent2 3 3" xfId="910" xr:uid="{00000000-0005-0000-0000-00008D030000}"/>
    <cellStyle name="Accent2 3 4" xfId="911" xr:uid="{00000000-0005-0000-0000-00008E030000}"/>
    <cellStyle name="Accent2 3 5" xfId="912" xr:uid="{00000000-0005-0000-0000-00008F030000}"/>
    <cellStyle name="Accent2 3 6" xfId="913" xr:uid="{00000000-0005-0000-0000-000090030000}"/>
    <cellStyle name="Accent2 3 7" xfId="914" xr:uid="{00000000-0005-0000-0000-000091030000}"/>
    <cellStyle name="Accent2 3 8" xfId="915" xr:uid="{00000000-0005-0000-0000-000092030000}"/>
    <cellStyle name="Accent2 3 9" xfId="916" xr:uid="{00000000-0005-0000-0000-000093030000}"/>
    <cellStyle name="Accent2 4" xfId="917" xr:uid="{00000000-0005-0000-0000-000094030000}"/>
    <cellStyle name="Accent2 4 2" xfId="918" xr:uid="{00000000-0005-0000-0000-000095030000}"/>
    <cellStyle name="Accent2 4 3" xfId="919" xr:uid="{00000000-0005-0000-0000-000096030000}"/>
    <cellStyle name="Accent2 4 4" xfId="920" xr:uid="{00000000-0005-0000-0000-000097030000}"/>
    <cellStyle name="Accent2 4 5" xfId="921" xr:uid="{00000000-0005-0000-0000-000098030000}"/>
    <cellStyle name="Accent2 4 6" xfId="922" xr:uid="{00000000-0005-0000-0000-000099030000}"/>
    <cellStyle name="Accent2 4 7" xfId="923" xr:uid="{00000000-0005-0000-0000-00009A030000}"/>
    <cellStyle name="Accent2 4 8" xfId="924" xr:uid="{00000000-0005-0000-0000-00009B030000}"/>
    <cellStyle name="Accent2 4 9" xfId="925" xr:uid="{00000000-0005-0000-0000-00009C030000}"/>
    <cellStyle name="Accent2 5" xfId="926" xr:uid="{00000000-0005-0000-0000-00009D030000}"/>
    <cellStyle name="Accent2 5 2" xfId="927" xr:uid="{00000000-0005-0000-0000-00009E030000}"/>
    <cellStyle name="Accent2 5 3" xfId="928" xr:uid="{00000000-0005-0000-0000-00009F030000}"/>
    <cellStyle name="Accent2 6" xfId="929" xr:uid="{00000000-0005-0000-0000-0000A0030000}"/>
    <cellStyle name="Accent2 6 2" xfId="930" xr:uid="{00000000-0005-0000-0000-0000A1030000}"/>
    <cellStyle name="Accent2 6 3" xfId="931" xr:uid="{00000000-0005-0000-0000-0000A2030000}"/>
    <cellStyle name="Accent2 7" xfId="932" xr:uid="{00000000-0005-0000-0000-0000A3030000}"/>
    <cellStyle name="Accent2 7 2" xfId="933" xr:uid="{00000000-0005-0000-0000-0000A4030000}"/>
    <cellStyle name="Accent2 7 3" xfId="934" xr:uid="{00000000-0005-0000-0000-0000A5030000}"/>
    <cellStyle name="Accent2 8" xfId="935" xr:uid="{00000000-0005-0000-0000-0000A6030000}"/>
    <cellStyle name="Accent2 8 2" xfId="936" xr:uid="{00000000-0005-0000-0000-0000A7030000}"/>
    <cellStyle name="Accent2 8 3" xfId="937" xr:uid="{00000000-0005-0000-0000-0000A8030000}"/>
    <cellStyle name="Accent2 9" xfId="938" xr:uid="{00000000-0005-0000-0000-0000A9030000}"/>
    <cellStyle name="Accent2 9 2" xfId="939" xr:uid="{00000000-0005-0000-0000-0000AA030000}"/>
    <cellStyle name="Accent2 9 3" xfId="940" xr:uid="{00000000-0005-0000-0000-0000AB030000}"/>
    <cellStyle name="Accent3 10" xfId="941" xr:uid="{00000000-0005-0000-0000-0000AC030000}"/>
    <cellStyle name="Accent3 10 2" xfId="942" xr:uid="{00000000-0005-0000-0000-0000AD030000}"/>
    <cellStyle name="Accent3 10 3" xfId="943" xr:uid="{00000000-0005-0000-0000-0000AE030000}"/>
    <cellStyle name="Accent3 11" xfId="944" xr:uid="{00000000-0005-0000-0000-0000AF030000}"/>
    <cellStyle name="Accent3 12" xfId="945" xr:uid="{00000000-0005-0000-0000-0000B0030000}"/>
    <cellStyle name="Accent3 2" xfId="946" xr:uid="{00000000-0005-0000-0000-0000B1030000}"/>
    <cellStyle name="Accent3 2 2" xfId="947" xr:uid="{00000000-0005-0000-0000-0000B2030000}"/>
    <cellStyle name="Accent3 2 3" xfId="948" xr:uid="{00000000-0005-0000-0000-0000B3030000}"/>
    <cellStyle name="Accent3 2 4" xfId="949" xr:uid="{00000000-0005-0000-0000-0000B4030000}"/>
    <cellStyle name="Accent3 2 5" xfId="950" xr:uid="{00000000-0005-0000-0000-0000B5030000}"/>
    <cellStyle name="Accent3 2 6" xfId="951" xr:uid="{00000000-0005-0000-0000-0000B6030000}"/>
    <cellStyle name="Accent3 2 7" xfId="952" xr:uid="{00000000-0005-0000-0000-0000B7030000}"/>
    <cellStyle name="Accent3 2 8" xfId="953" xr:uid="{00000000-0005-0000-0000-0000B8030000}"/>
    <cellStyle name="Accent3 2 9" xfId="954" xr:uid="{00000000-0005-0000-0000-0000B9030000}"/>
    <cellStyle name="Accent3 3" xfId="955" xr:uid="{00000000-0005-0000-0000-0000BA030000}"/>
    <cellStyle name="Accent3 3 2" xfId="956" xr:uid="{00000000-0005-0000-0000-0000BB030000}"/>
    <cellStyle name="Accent3 3 3" xfId="957" xr:uid="{00000000-0005-0000-0000-0000BC030000}"/>
    <cellStyle name="Accent3 3 4" xfId="958" xr:uid="{00000000-0005-0000-0000-0000BD030000}"/>
    <cellStyle name="Accent3 3 5" xfId="959" xr:uid="{00000000-0005-0000-0000-0000BE030000}"/>
    <cellStyle name="Accent3 3 6" xfId="960" xr:uid="{00000000-0005-0000-0000-0000BF030000}"/>
    <cellStyle name="Accent3 3 7" xfId="961" xr:uid="{00000000-0005-0000-0000-0000C0030000}"/>
    <cellStyle name="Accent3 3 8" xfId="962" xr:uid="{00000000-0005-0000-0000-0000C1030000}"/>
    <cellStyle name="Accent3 3 9" xfId="963" xr:uid="{00000000-0005-0000-0000-0000C2030000}"/>
    <cellStyle name="Accent3 4" xfId="964" xr:uid="{00000000-0005-0000-0000-0000C3030000}"/>
    <cellStyle name="Accent3 4 2" xfId="965" xr:uid="{00000000-0005-0000-0000-0000C4030000}"/>
    <cellStyle name="Accent3 4 3" xfId="966" xr:uid="{00000000-0005-0000-0000-0000C5030000}"/>
    <cellStyle name="Accent3 4 4" xfId="967" xr:uid="{00000000-0005-0000-0000-0000C6030000}"/>
    <cellStyle name="Accent3 4 5" xfId="968" xr:uid="{00000000-0005-0000-0000-0000C7030000}"/>
    <cellStyle name="Accent3 4 6" xfId="969" xr:uid="{00000000-0005-0000-0000-0000C8030000}"/>
    <cellStyle name="Accent3 4 7" xfId="970" xr:uid="{00000000-0005-0000-0000-0000C9030000}"/>
    <cellStyle name="Accent3 4 8" xfId="971" xr:uid="{00000000-0005-0000-0000-0000CA030000}"/>
    <cellStyle name="Accent3 4 9" xfId="972" xr:uid="{00000000-0005-0000-0000-0000CB030000}"/>
    <cellStyle name="Accent3 5" xfId="973" xr:uid="{00000000-0005-0000-0000-0000CC030000}"/>
    <cellStyle name="Accent3 5 2" xfId="974" xr:uid="{00000000-0005-0000-0000-0000CD030000}"/>
    <cellStyle name="Accent3 5 3" xfId="975" xr:uid="{00000000-0005-0000-0000-0000CE030000}"/>
    <cellStyle name="Accent3 6" xfId="976" xr:uid="{00000000-0005-0000-0000-0000CF030000}"/>
    <cellStyle name="Accent3 6 2" xfId="977" xr:uid="{00000000-0005-0000-0000-0000D0030000}"/>
    <cellStyle name="Accent3 6 3" xfId="978" xr:uid="{00000000-0005-0000-0000-0000D1030000}"/>
    <cellStyle name="Accent3 7" xfId="979" xr:uid="{00000000-0005-0000-0000-0000D2030000}"/>
    <cellStyle name="Accent3 7 2" xfId="980" xr:uid="{00000000-0005-0000-0000-0000D3030000}"/>
    <cellStyle name="Accent3 7 3" xfId="981" xr:uid="{00000000-0005-0000-0000-0000D4030000}"/>
    <cellStyle name="Accent3 8" xfId="982" xr:uid="{00000000-0005-0000-0000-0000D5030000}"/>
    <cellStyle name="Accent3 8 2" xfId="983" xr:uid="{00000000-0005-0000-0000-0000D6030000}"/>
    <cellStyle name="Accent3 8 3" xfId="984" xr:uid="{00000000-0005-0000-0000-0000D7030000}"/>
    <cellStyle name="Accent3 9" xfId="985" xr:uid="{00000000-0005-0000-0000-0000D8030000}"/>
    <cellStyle name="Accent3 9 2" xfId="986" xr:uid="{00000000-0005-0000-0000-0000D9030000}"/>
    <cellStyle name="Accent3 9 3" xfId="987" xr:uid="{00000000-0005-0000-0000-0000DA030000}"/>
    <cellStyle name="Accent4 10" xfId="988" xr:uid="{00000000-0005-0000-0000-0000DB030000}"/>
    <cellStyle name="Accent4 10 2" xfId="989" xr:uid="{00000000-0005-0000-0000-0000DC030000}"/>
    <cellStyle name="Accent4 10 3" xfId="990" xr:uid="{00000000-0005-0000-0000-0000DD030000}"/>
    <cellStyle name="Accent4 11" xfId="991" xr:uid="{00000000-0005-0000-0000-0000DE030000}"/>
    <cellStyle name="Accent4 12" xfId="992" xr:uid="{00000000-0005-0000-0000-0000DF030000}"/>
    <cellStyle name="Accent4 2" xfId="993" xr:uid="{00000000-0005-0000-0000-0000E0030000}"/>
    <cellStyle name="Accent4 2 2" xfId="994" xr:uid="{00000000-0005-0000-0000-0000E1030000}"/>
    <cellStyle name="Accent4 2 3" xfId="995" xr:uid="{00000000-0005-0000-0000-0000E2030000}"/>
    <cellStyle name="Accent4 2 4" xfId="996" xr:uid="{00000000-0005-0000-0000-0000E3030000}"/>
    <cellStyle name="Accent4 2 5" xfId="997" xr:uid="{00000000-0005-0000-0000-0000E4030000}"/>
    <cellStyle name="Accent4 2 6" xfId="998" xr:uid="{00000000-0005-0000-0000-0000E5030000}"/>
    <cellStyle name="Accent4 2 7" xfId="999" xr:uid="{00000000-0005-0000-0000-0000E6030000}"/>
    <cellStyle name="Accent4 2 8" xfId="1000" xr:uid="{00000000-0005-0000-0000-0000E7030000}"/>
    <cellStyle name="Accent4 2 9" xfId="1001" xr:uid="{00000000-0005-0000-0000-0000E8030000}"/>
    <cellStyle name="Accent4 3" xfId="1002" xr:uid="{00000000-0005-0000-0000-0000E9030000}"/>
    <cellStyle name="Accent4 3 2" xfId="1003" xr:uid="{00000000-0005-0000-0000-0000EA030000}"/>
    <cellStyle name="Accent4 3 3" xfId="1004" xr:uid="{00000000-0005-0000-0000-0000EB030000}"/>
    <cellStyle name="Accent4 3 4" xfId="1005" xr:uid="{00000000-0005-0000-0000-0000EC030000}"/>
    <cellStyle name="Accent4 3 5" xfId="1006" xr:uid="{00000000-0005-0000-0000-0000ED030000}"/>
    <cellStyle name="Accent4 3 6" xfId="1007" xr:uid="{00000000-0005-0000-0000-0000EE030000}"/>
    <cellStyle name="Accent4 3 7" xfId="1008" xr:uid="{00000000-0005-0000-0000-0000EF030000}"/>
    <cellStyle name="Accent4 3 8" xfId="1009" xr:uid="{00000000-0005-0000-0000-0000F0030000}"/>
    <cellStyle name="Accent4 3 9" xfId="1010" xr:uid="{00000000-0005-0000-0000-0000F1030000}"/>
    <cellStyle name="Accent4 4" xfId="1011" xr:uid="{00000000-0005-0000-0000-0000F2030000}"/>
    <cellStyle name="Accent4 4 2" xfId="1012" xr:uid="{00000000-0005-0000-0000-0000F3030000}"/>
    <cellStyle name="Accent4 4 3" xfId="1013" xr:uid="{00000000-0005-0000-0000-0000F4030000}"/>
    <cellStyle name="Accent4 4 4" xfId="1014" xr:uid="{00000000-0005-0000-0000-0000F5030000}"/>
    <cellStyle name="Accent4 4 5" xfId="1015" xr:uid="{00000000-0005-0000-0000-0000F6030000}"/>
    <cellStyle name="Accent4 4 6" xfId="1016" xr:uid="{00000000-0005-0000-0000-0000F7030000}"/>
    <cellStyle name="Accent4 4 7" xfId="1017" xr:uid="{00000000-0005-0000-0000-0000F8030000}"/>
    <cellStyle name="Accent4 4 8" xfId="1018" xr:uid="{00000000-0005-0000-0000-0000F9030000}"/>
    <cellStyle name="Accent4 4 9" xfId="1019" xr:uid="{00000000-0005-0000-0000-0000FA030000}"/>
    <cellStyle name="Accent4 5" xfId="1020" xr:uid="{00000000-0005-0000-0000-0000FB030000}"/>
    <cellStyle name="Accent4 5 2" xfId="1021" xr:uid="{00000000-0005-0000-0000-0000FC030000}"/>
    <cellStyle name="Accent4 5 3" xfId="1022" xr:uid="{00000000-0005-0000-0000-0000FD030000}"/>
    <cellStyle name="Accent4 6" xfId="1023" xr:uid="{00000000-0005-0000-0000-0000FE030000}"/>
    <cellStyle name="Accent4 6 2" xfId="1024" xr:uid="{00000000-0005-0000-0000-0000FF030000}"/>
    <cellStyle name="Accent4 6 3" xfId="1025" xr:uid="{00000000-0005-0000-0000-000000040000}"/>
    <cellStyle name="Accent4 7" xfId="1026" xr:uid="{00000000-0005-0000-0000-000001040000}"/>
    <cellStyle name="Accent4 7 2" xfId="1027" xr:uid="{00000000-0005-0000-0000-000002040000}"/>
    <cellStyle name="Accent4 7 3" xfId="1028" xr:uid="{00000000-0005-0000-0000-000003040000}"/>
    <cellStyle name="Accent4 8" xfId="1029" xr:uid="{00000000-0005-0000-0000-000004040000}"/>
    <cellStyle name="Accent4 8 2" xfId="1030" xr:uid="{00000000-0005-0000-0000-000005040000}"/>
    <cellStyle name="Accent4 8 3" xfId="1031" xr:uid="{00000000-0005-0000-0000-000006040000}"/>
    <cellStyle name="Accent4 9" xfId="1032" xr:uid="{00000000-0005-0000-0000-000007040000}"/>
    <cellStyle name="Accent4 9 2" xfId="1033" xr:uid="{00000000-0005-0000-0000-000008040000}"/>
    <cellStyle name="Accent4 9 3" xfId="1034" xr:uid="{00000000-0005-0000-0000-000009040000}"/>
    <cellStyle name="Accent5 10" xfId="1035" xr:uid="{00000000-0005-0000-0000-00000A040000}"/>
    <cellStyle name="Accent5 10 2" xfId="1036" xr:uid="{00000000-0005-0000-0000-00000B040000}"/>
    <cellStyle name="Accent5 10 3" xfId="1037" xr:uid="{00000000-0005-0000-0000-00000C040000}"/>
    <cellStyle name="Accent5 11" xfId="1038" xr:uid="{00000000-0005-0000-0000-00000D040000}"/>
    <cellStyle name="Accent5 12" xfId="1039" xr:uid="{00000000-0005-0000-0000-00000E040000}"/>
    <cellStyle name="Accent5 2" xfId="1040" xr:uid="{00000000-0005-0000-0000-00000F040000}"/>
    <cellStyle name="Accent5 2 2" xfId="1041" xr:uid="{00000000-0005-0000-0000-000010040000}"/>
    <cellStyle name="Accent5 2 3" xfId="1042" xr:uid="{00000000-0005-0000-0000-000011040000}"/>
    <cellStyle name="Accent5 2 4" xfId="1043" xr:uid="{00000000-0005-0000-0000-000012040000}"/>
    <cellStyle name="Accent5 2 5" xfId="1044" xr:uid="{00000000-0005-0000-0000-000013040000}"/>
    <cellStyle name="Accent5 2 6" xfId="1045" xr:uid="{00000000-0005-0000-0000-000014040000}"/>
    <cellStyle name="Accent5 2 7" xfId="1046" xr:uid="{00000000-0005-0000-0000-000015040000}"/>
    <cellStyle name="Accent5 2 8" xfId="1047" xr:uid="{00000000-0005-0000-0000-000016040000}"/>
    <cellStyle name="Accent5 2 9" xfId="1048" xr:uid="{00000000-0005-0000-0000-000017040000}"/>
    <cellStyle name="Accent5 3" xfId="1049" xr:uid="{00000000-0005-0000-0000-000018040000}"/>
    <cellStyle name="Accent5 3 2" xfId="1050" xr:uid="{00000000-0005-0000-0000-000019040000}"/>
    <cellStyle name="Accent5 3 3" xfId="1051" xr:uid="{00000000-0005-0000-0000-00001A040000}"/>
    <cellStyle name="Accent5 3 4" xfId="1052" xr:uid="{00000000-0005-0000-0000-00001B040000}"/>
    <cellStyle name="Accent5 3 5" xfId="1053" xr:uid="{00000000-0005-0000-0000-00001C040000}"/>
    <cellStyle name="Accent5 3 6" xfId="1054" xr:uid="{00000000-0005-0000-0000-00001D040000}"/>
    <cellStyle name="Accent5 3 7" xfId="1055" xr:uid="{00000000-0005-0000-0000-00001E040000}"/>
    <cellStyle name="Accent5 3 8" xfId="1056" xr:uid="{00000000-0005-0000-0000-00001F040000}"/>
    <cellStyle name="Accent5 3 9" xfId="1057" xr:uid="{00000000-0005-0000-0000-000020040000}"/>
    <cellStyle name="Accent5 4" xfId="1058" xr:uid="{00000000-0005-0000-0000-000021040000}"/>
    <cellStyle name="Accent5 4 2" xfId="1059" xr:uid="{00000000-0005-0000-0000-000022040000}"/>
    <cellStyle name="Accent5 4 3" xfId="1060" xr:uid="{00000000-0005-0000-0000-000023040000}"/>
    <cellStyle name="Accent5 4 4" xfId="1061" xr:uid="{00000000-0005-0000-0000-000024040000}"/>
    <cellStyle name="Accent5 4 5" xfId="1062" xr:uid="{00000000-0005-0000-0000-000025040000}"/>
    <cellStyle name="Accent5 4 6" xfId="1063" xr:uid="{00000000-0005-0000-0000-000026040000}"/>
    <cellStyle name="Accent5 4 7" xfId="1064" xr:uid="{00000000-0005-0000-0000-000027040000}"/>
    <cellStyle name="Accent5 4 8" xfId="1065" xr:uid="{00000000-0005-0000-0000-000028040000}"/>
    <cellStyle name="Accent5 4 9" xfId="1066" xr:uid="{00000000-0005-0000-0000-000029040000}"/>
    <cellStyle name="Accent5 5" xfId="1067" xr:uid="{00000000-0005-0000-0000-00002A040000}"/>
    <cellStyle name="Accent5 5 2" xfId="1068" xr:uid="{00000000-0005-0000-0000-00002B040000}"/>
    <cellStyle name="Accent5 5 3" xfId="1069" xr:uid="{00000000-0005-0000-0000-00002C040000}"/>
    <cellStyle name="Accent5 6" xfId="1070" xr:uid="{00000000-0005-0000-0000-00002D040000}"/>
    <cellStyle name="Accent5 6 2" xfId="1071" xr:uid="{00000000-0005-0000-0000-00002E040000}"/>
    <cellStyle name="Accent5 6 3" xfId="1072" xr:uid="{00000000-0005-0000-0000-00002F040000}"/>
    <cellStyle name="Accent5 7" xfId="1073" xr:uid="{00000000-0005-0000-0000-000030040000}"/>
    <cellStyle name="Accent5 7 2" xfId="1074" xr:uid="{00000000-0005-0000-0000-000031040000}"/>
    <cellStyle name="Accent5 7 3" xfId="1075" xr:uid="{00000000-0005-0000-0000-000032040000}"/>
    <cellStyle name="Accent5 8" xfId="1076" xr:uid="{00000000-0005-0000-0000-000033040000}"/>
    <cellStyle name="Accent5 8 2" xfId="1077" xr:uid="{00000000-0005-0000-0000-000034040000}"/>
    <cellStyle name="Accent5 8 3" xfId="1078" xr:uid="{00000000-0005-0000-0000-000035040000}"/>
    <cellStyle name="Accent5 9" xfId="1079" xr:uid="{00000000-0005-0000-0000-000036040000}"/>
    <cellStyle name="Accent5 9 2" xfId="1080" xr:uid="{00000000-0005-0000-0000-000037040000}"/>
    <cellStyle name="Accent5 9 3" xfId="1081" xr:uid="{00000000-0005-0000-0000-000038040000}"/>
    <cellStyle name="Accent6 10" xfId="1082" xr:uid="{00000000-0005-0000-0000-000039040000}"/>
    <cellStyle name="Accent6 10 2" xfId="1083" xr:uid="{00000000-0005-0000-0000-00003A040000}"/>
    <cellStyle name="Accent6 10 3" xfId="1084" xr:uid="{00000000-0005-0000-0000-00003B040000}"/>
    <cellStyle name="Accent6 11" xfId="1085" xr:uid="{00000000-0005-0000-0000-00003C040000}"/>
    <cellStyle name="Accent6 12" xfId="1086" xr:uid="{00000000-0005-0000-0000-00003D040000}"/>
    <cellStyle name="Accent6 2" xfId="1087" xr:uid="{00000000-0005-0000-0000-00003E040000}"/>
    <cellStyle name="Accent6 2 2" xfId="1088" xr:uid="{00000000-0005-0000-0000-00003F040000}"/>
    <cellStyle name="Accent6 2 3" xfId="1089" xr:uid="{00000000-0005-0000-0000-000040040000}"/>
    <cellStyle name="Accent6 2 4" xfId="1090" xr:uid="{00000000-0005-0000-0000-000041040000}"/>
    <cellStyle name="Accent6 2 5" xfId="1091" xr:uid="{00000000-0005-0000-0000-000042040000}"/>
    <cellStyle name="Accent6 2 6" xfId="1092" xr:uid="{00000000-0005-0000-0000-000043040000}"/>
    <cellStyle name="Accent6 2 7" xfId="1093" xr:uid="{00000000-0005-0000-0000-000044040000}"/>
    <cellStyle name="Accent6 2 8" xfId="1094" xr:uid="{00000000-0005-0000-0000-000045040000}"/>
    <cellStyle name="Accent6 2 9" xfId="1095" xr:uid="{00000000-0005-0000-0000-000046040000}"/>
    <cellStyle name="Accent6 3" xfId="1096" xr:uid="{00000000-0005-0000-0000-000047040000}"/>
    <cellStyle name="Accent6 3 2" xfId="1097" xr:uid="{00000000-0005-0000-0000-000048040000}"/>
    <cellStyle name="Accent6 3 3" xfId="1098" xr:uid="{00000000-0005-0000-0000-000049040000}"/>
    <cellStyle name="Accent6 3 4" xfId="1099" xr:uid="{00000000-0005-0000-0000-00004A040000}"/>
    <cellStyle name="Accent6 3 5" xfId="1100" xr:uid="{00000000-0005-0000-0000-00004B040000}"/>
    <cellStyle name="Accent6 3 6" xfId="1101" xr:uid="{00000000-0005-0000-0000-00004C040000}"/>
    <cellStyle name="Accent6 3 7" xfId="1102" xr:uid="{00000000-0005-0000-0000-00004D040000}"/>
    <cellStyle name="Accent6 3 8" xfId="1103" xr:uid="{00000000-0005-0000-0000-00004E040000}"/>
    <cellStyle name="Accent6 3 9" xfId="1104" xr:uid="{00000000-0005-0000-0000-00004F040000}"/>
    <cellStyle name="Accent6 4" xfId="1105" xr:uid="{00000000-0005-0000-0000-000050040000}"/>
    <cellStyle name="Accent6 4 2" xfId="1106" xr:uid="{00000000-0005-0000-0000-000051040000}"/>
    <cellStyle name="Accent6 4 3" xfId="1107" xr:uid="{00000000-0005-0000-0000-000052040000}"/>
    <cellStyle name="Accent6 4 4" xfId="1108" xr:uid="{00000000-0005-0000-0000-000053040000}"/>
    <cellStyle name="Accent6 4 5" xfId="1109" xr:uid="{00000000-0005-0000-0000-000054040000}"/>
    <cellStyle name="Accent6 4 6" xfId="1110" xr:uid="{00000000-0005-0000-0000-000055040000}"/>
    <cellStyle name="Accent6 4 7" xfId="1111" xr:uid="{00000000-0005-0000-0000-000056040000}"/>
    <cellStyle name="Accent6 4 8" xfId="1112" xr:uid="{00000000-0005-0000-0000-000057040000}"/>
    <cellStyle name="Accent6 4 9" xfId="1113" xr:uid="{00000000-0005-0000-0000-000058040000}"/>
    <cellStyle name="Accent6 5" xfId="1114" xr:uid="{00000000-0005-0000-0000-000059040000}"/>
    <cellStyle name="Accent6 5 2" xfId="1115" xr:uid="{00000000-0005-0000-0000-00005A040000}"/>
    <cellStyle name="Accent6 5 3" xfId="1116" xr:uid="{00000000-0005-0000-0000-00005B040000}"/>
    <cellStyle name="Accent6 6" xfId="1117" xr:uid="{00000000-0005-0000-0000-00005C040000}"/>
    <cellStyle name="Accent6 6 2" xfId="1118" xr:uid="{00000000-0005-0000-0000-00005D040000}"/>
    <cellStyle name="Accent6 6 3" xfId="1119" xr:uid="{00000000-0005-0000-0000-00005E040000}"/>
    <cellStyle name="Accent6 7" xfId="1120" xr:uid="{00000000-0005-0000-0000-00005F040000}"/>
    <cellStyle name="Accent6 7 2" xfId="1121" xr:uid="{00000000-0005-0000-0000-000060040000}"/>
    <cellStyle name="Accent6 7 3" xfId="1122" xr:uid="{00000000-0005-0000-0000-000061040000}"/>
    <cellStyle name="Accent6 8" xfId="1123" xr:uid="{00000000-0005-0000-0000-000062040000}"/>
    <cellStyle name="Accent6 8 2" xfId="1124" xr:uid="{00000000-0005-0000-0000-000063040000}"/>
    <cellStyle name="Accent6 8 3" xfId="1125" xr:uid="{00000000-0005-0000-0000-000064040000}"/>
    <cellStyle name="Accent6 9" xfId="1126" xr:uid="{00000000-0005-0000-0000-000065040000}"/>
    <cellStyle name="Accent6 9 2" xfId="1127" xr:uid="{00000000-0005-0000-0000-000066040000}"/>
    <cellStyle name="Accent6 9 3" xfId="1128" xr:uid="{00000000-0005-0000-0000-000067040000}"/>
    <cellStyle name="Bad 10" xfId="1129" xr:uid="{00000000-0005-0000-0000-000068040000}"/>
    <cellStyle name="Bad 10 2" xfId="1130" xr:uid="{00000000-0005-0000-0000-000069040000}"/>
    <cellStyle name="Bad 10 3" xfId="1131" xr:uid="{00000000-0005-0000-0000-00006A040000}"/>
    <cellStyle name="Bad 11" xfId="1132" xr:uid="{00000000-0005-0000-0000-00006B040000}"/>
    <cellStyle name="Bad 12" xfId="1133" xr:uid="{00000000-0005-0000-0000-00006C040000}"/>
    <cellStyle name="Bad 2" xfId="1134" xr:uid="{00000000-0005-0000-0000-00006D040000}"/>
    <cellStyle name="Bad 2 2" xfId="1135" xr:uid="{00000000-0005-0000-0000-00006E040000}"/>
    <cellStyle name="Bad 2 3" xfId="1136" xr:uid="{00000000-0005-0000-0000-00006F040000}"/>
    <cellStyle name="Bad 2 4" xfId="1137" xr:uid="{00000000-0005-0000-0000-000070040000}"/>
    <cellStyle name="Bad 2 5" xfId="1138" xr:uid="{00000000-0005-0000-0000-000071040000}"/>
    <cellStyle name="Bad 2 6" xfId="1139" xr:uid="{00000000-0005-0000-0000-000072040000}"/>
    <cellStyle name="Bad 2 7" xfId="1140" xr:uid="{00000000-0005-0000-0000-000073040000}"/>
    <cellStyle name="Bad 2 8" xfId="1141" xr:uid="{00000000-0005-0000-0000-000074040000}"/>
    <cellStyle name="Bad 2 9" xfId="1142" xr:uid="{00000000-0005-0000-0000-000075040000}"/>
    <cellStyle name="Bad 3" xfId="1143" xr:uid="{00000000-0005-0000-0000-000076040000}"/>
    <cellStyle name="Bad 3 2" xfId="1144" xr:uid="{00000000-0005-0000-0000-000077040000}"/>
    <cellStyle name="Bad 3 3" xfId="1145" xr:uid="{00000000-0005-0000-0000-000078040000}"/>
    <cellStyle name="Bad 3 4" xfId="1146" xr:uid="{00000000-0005-0000-0000-000079040000}"/>
    <cellStyle name="Bad 3 5" xfId="1147" xr:uid="{00000000-0005-0000-0000-00007A040000}"/>
    <cellStyle name="Bad 3 6" xfId="1148" xr:uid="{00000000-0005-0000-0000-00007B040000}"/>
    <cellStyle name="Bad 3 7" xfId="1149" xr:uid="{00000000-0005-0000-0000-00007C040000}"/>
    <cellStyle name="Bad 3 8" xfId="1150" xr:uid="{00000000-0005-0000-0000-00007D040000}"/>
    <cellStyle name="Bad 3 9" xfId="1151" xr:uid="{00000000-0005-0000-0000-00007E040000}"/>
    <cellStyle name="Bad 4" xfId="1152" xr:uid="{00000000-0005-0000-0000-00007F040000}"/>
    <cellStyle name="Bad 4 2" xfId="1153" xr:uid="{00000000-0005-0000-0000-000080040000}"/>
    <cellStyle name="Bad 4 3" xfId="1154" xr:uid="{00000000-0005-0000-0000-000081040000}"/>
    <cellStyle name="Bad 4 4" xfId="1155" xr:uid="{00000000-0005-0000-0000-000082040000}"/>
    <cellStyle name="Bad 4 5" xfId="1156" xr:uid="{00000000-0005-0000-0000-000083040000}"/>
    <cellStyle name="Bad 4 6" xfId="1157" xr:uid="{00000000-0005-0000-0000-000084040000}"/>
    <cellStyle name="Bad 4 7" xfId="1158" xr:uid="{00000000-0005-0000-0000-000085040000}"/>
    <cellStyle name="Bad 4 8" xfId="1159" xr:uid="{00000000-0005-0000-0000-000086040000}"/>
    <cellStyle name="Bad 4 9" xfId="1160" xr:uid="{00000000-0005-0000-0000-000087040000}"/>
    <cellStyle name="Bad 5" xfId="1161" xr:uid="{00000000-0005-0000-0000-000088040000}"/>
    <cellStyle name="Bad 5 2" xfId="1162" xr:uid="{00000000-0005-0000-0000-000089040000}"/>
    <cellStyle name="Bad 5 3" xfId="1163" xr:uid="{00000000-0005-0000-0000-00008A040000}"/>
    <cellStyle name="Bad 6" xfId="1164" xr:uid="{00000000-0005-0000-0000-00008B040000}"/>
    <cellStyle name="Bad 6 2" xfId="1165" xr:uid="{00000000-0005-0000-0000-00008C040000}"/>
    <cellStyle name="Bad 6 3" xfId="1166" xr:uid="{00000000-0005-0000-0000-00008D040000}"/>
    <cellStyle name="Bad 7" xfId="1167" xr:uid="{00000000-0005-0000-0000-00008E040000}"/>
    <cellStyle name="Bad 7 2" xfId="1168" xr:uid="{00000000-0005-0000-0000-00008F040000}"/>
    <cellStyle name="Bad 7 3" xfId="1169" xr:uid="{00000000-0005-0000-0000-000090040000}"/>
    <cellStyle name="Bad 8" xfId="1170" xr:uid="{00000000-0005-0000-0000-000091040000}"/>
    <cellStyle name="Bad 8 2" xfId="1171" xr:uid="{00000000-0005-0000-0000-000092040000}"/>
    <cellStyle name="Bad 8 3" xfId="1172" xr:uid="{00000000-0005-0000-0000-000093040000}"/>
    <cellStyle name="Bad 9" xfId="1173" xr:uid="{00000000-0005-0000-0000-000094040000}"/>
    <cellStyle name="Bad 9 2" xfId="1174" xr:uid="{00000000-0005-0000-0000-000095040000}"/>
    <cellStyle name="Bad 9 3" xfId="1175" xr:uid="{00000000-0005-0000-0000-000096040000}"/>
    <cellStyle name="Calculation 10" xfId="1176" xr:uid="{00000000-0005-0000-0000-000097040000}"/>
    <cellStyle name="Calculation 10 2" xfId="1177" xr:uid="{00000000-0005-0000-0000-000098040000}"/>
    <cellStyle name="Calculation 10 3" xfId="1178" xr:uid="{00000000-0005-0000-0000-000099040000}"/>
    <cellStyle name="Calculation 11" xfId="1179" xr:uid="{00000000-0005-0000-0000-00009A040000}"/>
    <cellStyle name="Calculation 12" xfId="1180" xr:uid="{00000000-0005-0000-0000-00009B040000}"/>
    <cellStyle name="Calculation 2" xfId="1181" xr:uid="{00000000-0005-0000-0000-00009C040000}"/>
    <cellStyle name="Calculation 2 2" xfId="1182" xr:uid="{00000000-0005-0000-0000-00009D040000}"/>
    <cellStyle name="Calculation 2 3" xfId="1183" xr:uid="{00000000-0005-0000-0000-00009E040000}"/>
    <cellStyle name="Calculation 2 4" xfId="1184" xr:uid="{00000000-0005-0000-0000-00009F040000}"/>
    <cellStyle name="Calculation 2 5" xfId="1185" xr:uid="{00000000-0005-0000-0000-0000A0040000}"/>
    <cellStyle name="Calculation 2 6" xfId="1186" xr:uid="{00000000-0005-0000-0000-0000A1040000}"/>
    <cellStyle name="Calculation 2 7" xfId="1187" xr:uid="{00000000-0005-0000-0000-0000A2040000}"/>
    <cellStyle name="Calculation 2 8" xfId="1188" xr:uid="{00000000-0005-0000-0000-0000A3040000}"/>
    <cellStyle name="Calculation 2 9" xfId="1189" xr:uid="{00000000-0005-0000-0000-0000A4040000}"/>
    <cellStyle name="Calculation 3" xfId="1190" xr:uid="{00000000-0005-0000-0000-0000A5040000}"/>
    <cellStyle name="Calculation 3 2" xfId="1191" xr:uid="{00000000-0005-0000-0000-0000A6040000}"/>
    <cellStyle name="Calculation 3 3" xfId="1192" xr:uid="{00000000-0005-0000-0000-0000A7040000}"/>
    <cellStyle name="Calculation 3 4" xfId="1193" xr:uid="{00000000-0005-0000-0000-0000A8040000}"/>
    <cellStyle name="Calculation 3 5" xfId="1194" xr:uid="{00000000-0005-0000-0000-0000A9040000}"/>
    <cellStyle name="Calculation 3 6" xfId="1195" xr:uid="{00000000-0005-0000-0000-0000AA040000}"/>
    <cellStyle name="Calculation 3 7" xfId="1196" xr:uid="{00000000-0005-0000-0000-0000AB040000}"/>
    <cellStyle name="Calculation 3 8" xfId="1197" xr:uid="{00000000-0005-0000-0000-0000AC040000}"/>
    <cellStyle name="Calculation 3 9" xfId="1198" xr:uid="{00000000-0005-0000-0000-0000AD040000}"/>
    <cellStyle name="Calculation 4" xfId="1199" xr:uid="{00000000-0005-0000-0000-0000AE040000}"/>
    <cellStyle name="Calculation 4 2" xfId="1200" xr:uid="{00000000-0005-0000-0000-0000AF040000}"/>
    <cellStyle name="Calculation 4 3" xfId="1201" xr:uid="{00000000-0005-0000-0000-0000B0040000}"/>
    <cellStyle name="Calculation 4 4" xfId="1202" xr:uid="{00000000-0005-0000-0000-0000B1040000}"/>
    <cellStyle name="Calculation 4 5" xfId="1203" xr:uid="{00000000-0005-0000-0000-0000B2040000}"/>
    <cellStyle name="Calculation 4 6" xfId="1204" xr:uid="{00000000-0005-0000-0000-0000B3040000}"/>
    <cellStyle name="Calculation 4 7" xfId="1205" xr:uid="{00000000-0005-0000-0000-0000B4040000}"/>
    <cellStyle name="Calculation 4 8" xfId="1206" xr:uid="{00000000-0005-0000-0000-0000B5040000}"/>
    <cellStyle name="Calculation 4 9" xfId="1207" xr:uid="{00000000-0005-0000-0000-0000B6040000}"/>
    <cellStyle name="Calculation 5" xfId="1208" xr:uid="{00000000-0005-0000-0000-0000B7040000}"/>
    <cellStyle name="Calculation 5 2" xfId="1209" xr:uid="{00000000-0005-0000-0000-0000B8040000}"/>
    <cellStyle name="Calculation 5 3" xfId="1210" xr:uid="{00000000-0005-0000-0000-0000B9040000}"/>
    <cellStyle name="Calculation 6" xfId="1211" xr:uid="{00000000-0005-0000-0000-0000BA040000}"/>
    <cellStyle name="Calculation 6 2" xfId="1212" xr:uid="{00000000-0005-0000-0000-0000BB040000}"/>
    <cellStyle name="Calculation 6 3" xfId="1213" xr:uid="{00000000-0005-0000-0000-0000BC040000}"/>
    <cellStyle name="Calculation 7" xfId="1214" xr:uid="{00000000-0005-0000-0000-0000BD040000}"/>
    <cellStyle name="Calculation 7 2" xfId="1215" xr:uid="{00000000-0005-0000-0000-0000BE040000}"/>
    <cellStyle name="Calculation 7 3" xfId="1216" xr:uid="{00000000-0005-0000-0000-0000BF040000}"/>
    <cellStyle name="Calculation 8" xfId="1217" xr:uid="{00000000-0005-0000-0000-0000C0040000}"/>
    <cellStyle name="Calculation 8 2" xfId="1218" xr:uid="{00000000-0005-0000-0000-0000C1040000}"/>
    <cellStyle name="Calculation 8 3" xfId="1219" xr:uid="{00000000-0005-0000-0000-0000C2040000}"/>
    <cellStyle name="Calculation 9" xfId="1220" xr:uid="{00000000-0005-0000-0000-0000C3040000}"/>
    <cellStyle name="Calculation 9 2" xfId="1221" xr:uid="{00000000-0005-0000-0000-0000C4040000}"/>
    <cellStyle name="Calculation 9 3" xfId="1222" xr:uid="{00000000-0005-0000-0000-0000C5040000}"/>
    <cellStyle name="Check Cell 10" xfId="1223" xr:uid="{00000000-0005-0000-0000-0000C6040000}"/>
    <cellStyle name="Check Cell 10 2" xfId="1224" xr:uid="{00000000-0005-0000-0000-0000C7040000}"/>
    <cellStyle name="Check Cell 10 3" xfId="1225" xr:uid="{00000000-0005-0000-0000-0000C8040000}"/>
    <cellStyle name="Check Cell 11" xfId="1226" xr:uid="{00000000-0005-0000-0000-0000C9040000}"/>
    <cellStyle name="Check Cell 12" xfId="1227" xr:uid="{00000000-0005-0000-0000-0000CA040000}"/>
    <cellStyle name="Check Cell 2" xfId="1228" xr:uid="{00000000-0005-0000-0000-0000CB040000}"/>
    <cellStyle name="Check Cell 2 2" xfId="1229" xr:uid="{00000000-0005-0000-0000-0000CC040000}"/>
    <cellStyle name="Check Cell 2 3" xfId="1230" xr:uid="{00000000-0005-0000-0000-0000CD040000}"/>
    <cellStyle name="Check Cell 2 4" xfId="1231" xr:uid="{00000000-0005-0000-0000-0000CE040000}"/>
    <cellStyle name="Check Cell 2 5" xfId="1232" xr:uid="{00000000-0005-0000-0000-0000CF040000}"/>
    <cellStyle name="Check Cell 2 6" xfId="1233" xr:uid="{00000000-0005-0000-0000-0000D0040000}"/>
    <cellStyle name="Check Cell 2 7" xfId="1234" xr:uid="{00000000-0005-0000-0000-0000D1040000}"/>
    <cellStyle name="Check Cell 2 8" xfId="1235" xr:uid="{00000000-0005-0000-0000-0000D2040000}"/>
    <cellStyle name="Check Cell 2 9" xfId="1236" xr:uid="{00000000-0005-0000-0000-0000D3040000}"/>
    <cellStyle name="Check Cell 3" xfId="1237" xr:uid="{00000000-0005-0000-0000-0000D4040000}"/>
    <cellStyle name="Check Cell 3 2" xfId="1238" xr:uid="{00000000-0005-0000-0000-0000D5040000}"/>
    <cellStyle name="Check Cell 3 3" xfId="1239" xr:uid="{00000000-0005-0000-0000-0000D6040000}"/>
    <cellStyle name="Check Cell 3 4" xfId="1240" xr:uid="{00000000-0005-0000-0000-0000D7040000}"/>
    <cellStyle name="Check Cell 3 5" xfId="1241" xr:uid="{00000000-0005-0000-0000-0000D8040000}"/>
    <cellStyle name="Check Cell 3 6" xfId="1242" xr:uid="{00000000-0005-0000-0000-0000D9040000}"/>
    <cellStyle name="Check Cell 3 7" xfId="1243" xr:uid="{00000000-0005-0000-0000-0000DA040000}"/>
    <cellStyle name="Check Cell 3 8" xfId="1244" xr:uid="{00000000-0005-0000-0000-0000DB040000}"/>
    <cellStyle name="Check Cell 3 9" xfId="1245" xr:uid="{00000000-0005-0000-0000-0000DC040000}"/>
    <cellStyle name="Check Cell 4" xfId="1246" xr:uid="{00000000-0005-0000-0000-0000DD040000}"/>
    <cellStyle name="Check Cell 4 2" xfId="1247" xr:uid="{00000000-0005-0000-0000-0000DE040000}"/>
    <cellStyle name="Check Cell 4 3" xfId="1248" xr:uid="{00000000-0005-0000-0000-0000DF040000}"/>
    <cellStyle name="Check Cell 4 4" xfId="1249" xr:uid="{00000000-0005-0000-0000-0000E0040000}"/>
    <cellStyle name="Check Cell 4 5" xfId="1250" xr:uid="{00000000-0005-0000-0000-0000E1040000}"/>
    <cellStyle name="Check Cell 4 6" xfId="1251" xr:uid="{00000000-0005-0000-0000-0000E2040000}"/>
    <cellStyle name="Check Cell 4 7" xfId="1252" xr:uid="{00000000-0005-0000-0000-0000E3040000}"/>
    <cellStyle name="Check Cell 4 8" xfId="1253" xr:uid="{00000000-0005-0000-0000-0000E4040000}"/>
    <cellStyle name="Check Cell 4 9" xfId="1254" xr:uid="{00000000-0005-0000-0000-0000E5040000}"/>
    <cellStyle name="Check Cell 5" xfId="1255" xr:uid="{00000000-0005-0000-0000-0000E6040000}"/>
    <cellStyle name="Check Cell 5 2" xfId="1256" xr:uid="{00000000-0005-0000-0000-0000E7040000}"/>
    <cellStyle name="Check Cell 5 3" xfId="1257" xr:uid="{00000000-0005-0000-0000-0000E8040000}"/>
    <cellStyle name="Check Cell 6" xfId="1258" xr:uid="{00000000-0005-0000-0000-0000E9040000}"/>
    <cellStyle name="Check Cell 6 2" xfId="1259" xr:uid="{00000000-0005-0000-0000-0000EA040000}"/>
    <cellStyle name="Check Cell 6 3" xfId="1260" xr:uid="{00000000-0005-0000-0000-0000EB040000}"/>
    <cellStyle name="Check Cell 7" xfId="1261" xr:uid="{00000000-0005-0000-0000-0000EC040000}"/>
    <cellStyle name="Check Cell 7 2" xfId="1262" xr:uid="{00000000-0005-0000-0000-0000ED040000}"/>
    <cellStyle name="Check Cell 7 3" xfId="1263" xr:uid="{00000000-0005-0000-0000-0000EE040000}"/>
    <cellStyle name="Check Cell 8" xfId="1264" xr:uid="{00000000-0005-0000-0000-0000EF040000}"/>
    <cellStyle name="Check Cell 8 2" xfId="1265" xr:uid="{00000000-0005-0000-0000-0000F0040000}"/>
    <cellStyle name="Check Cell 8 3" xfId="1266" xr:uid="{00000000-0005-0000-0000-0000F1040000}"/>
    <cellStyle name="Check Cell 9" xfId="1267" xr:uid="{00000000-0005-0000-0000-0000F2040000}"/>
    <cellStyle name="Check Cell 9 2" xfId="1268" xr:uid="{00000000-0005-0000-0000-0000F3040000}"/>
    <cellStyle name="Check Cell 9 3" xfId="1269" xr:uid="{00000000-0005-0000-0000-0000F4040000}"/>
    <cellStyle name="Comma 2" xfId="1270" xr:uid="{00000000-0005-0000-0000-0000F5040000}"/>
    <cellStyle name="Comma 2 2" xfId="1271" xr:uid="{00000000-0005-0000-0000-0000F6040000}"/>
    <cellStyle name="Comma 2 3" xfId="1272" xr:uid="{00000000-0005-0000-0000-0000F7040000}"/>
    <cellStyle name="Comma 2 4" xfId="1273" xr:uid="{00000000-0005-0000-0000-0000F8040000}"/>
    <cellStyle name="Comma 2 5" xfId="1274" xr:uid="{00000000-0005-0000-0000-0000F9040000}"/>
    <cellStyle name="Comma 2 6" xfId="1275" xr:uid="{00000000-0005-0000-0000-0000FA040000}"/>
    <cellStyle name="Comma 2 7" xfId="1276" xr:uid="{00000000-0005-0000-0000-0000FB040000}"/>
    <cellStyle name="Comma 3" xfId="1277" xr:uid="{00000000-0005-0000-0000-0000FC040000}"/>
    <cellStyle name="Comma 4" xfId="1278" xr:uid="{00000000-0005-0000-0000-0000FD040000}"/>
    <cellStyle name="Comma 4 2" xfId="1279" xr:uid="{00000000-0005-0000-0000-0000FE040000}"/>
    <cellStyle name="Comma 5" xfId="1280" xr:uid="{00000000-0005-0000-0000-0000FF040000}"/>
    <cellStyle name="Comma 6" xfId="1281" xr:uid="{00000000-0005-0000-0000-000000050000}"/>
    <cellStyle name="Currency 10" xfId="1282" xr:uid="{00000000-0005-0000-0000-000001050000}"/>
    <cellStyle name="Currency 2" xfId="1283" xr:uid="{00000000-0005-0000-0000-000002050000}"/>
    <cellStyle name="Currency 2 2" xfId="1284" xr:uid="{00000000-0005-0000-0000-000003050000}"/>
    <cellStyle name="Currency 2 3" xfId="1285" xr:uid="{00000000-0005-0000-0000-000004050000}"/>
    <cellStyle name="Currency 2 4" xfId="1286" xr:uid="{00000000-0005-0000-0000-000005050000}"/>
    <cellStyle name="Currency 2 5" xfId="1287" xr:uid="{00000000-0005-0000-0000-000006050000}"/>
    <cellStyle name="Currency 2 6" xfId="1288" xr:uid="{00000000-0005-0000-0000-000007050000}"/>
    <cellStyle name="Currency 2 7" xfId="1289" xr:uid="{00000000-0005-0000-0000-000008050000}"/>
    <cellStyle name="Currency 3" xfId="1290" xr:uid="{00000000-0005-0000-0000-000009050000}"/>
    <cellStyle name="Currency 4" xfId="1291" xr:uid="{00000000-0005-0000-0000-00000A050000}"/>
    <cellStyle name="Currency 4 2" xfId="1292" xr:uid="{00000000-0005-0000-0000-00000B050000}"/>
    <cellStyle name="Currency 5" xfId="1293" xr:uid="{00000000-0005-0000-0000-00000C050000}"/>
    <cellStyle name="Currency 5 2" xfId="1294" xr:uid="{00000000-0005-0000-0000-00000D050000}"/>
    <cellStyle name="Currency 6" xfId="1295" xr:uid="{00000000-0005-0000-0000-00000E050000}"/>
    <cellStyle name="Currency 7" xfId="1296" xr:uid="{00000000-0005-0000-0000-00000F050000}"/>
    <cellStyle name="Currency 8" xfId="1297" xr:uid="{00000000-0005-0000-0000-000010050000}"/>
    <cellStyle name="Currency 9" xfId="1298" xr:uid="{00000000-0005-0000-0000-000011050000}"/>
    <cellStyle name="Euro" xfId="1299" xr:uid="{00000000-0005-0000-0000-000012050000}"/>
    <cellStyle name="Euro 2" xfId="1300" xr:uid="{00000000-0005-0000-0000-000013050000}"/>
    <cellStyle name="Euro 3" xfId="1301" xr:uid="{00000000-0005-0000-0000-000014050000}"/>
    <cellStyle name="Euro 3 2" xfId="1302" xr:uid="{00000000-0005-0000-0000-000015050000}"/>
    <cellStyle name="Euro 4" xfId="1303" xr:uid="{00000000-0005-0000-0000-000016050000}"/>
    <cellStyle name="Euro 4 2" xfId="1304" xr:uid="{00000000-0005-0000-0000-000017050000}"/>
    <cellStyle name="Euro 5" xfId="1305" xr:uid="{00000000-0005-0000-0000-000018050000}"/>
    <cellStyle name="Euro 6" xfId="1306" xr:uid="{00000000-0005-0000-0000-000019050000}"/>
    <cellStyle name="Euro 7" xfId="1307" xr:uid="{00000000-0005-0000-0000-00001A050000}"/>
    <cellStyle name="Euro 8" xfId="1308" xr:uid="{00000000-0005-0000-0000-00001B050000}"/>
    <cellStyle name="Explanatory Text 10" xfId="1309" xr:uid="{00000000-0005-0000-0000-00001C050000}"/>
    <cellStyle name="Explanatory Text 10 2" xfId="1310" xr:uid="{00000000-0005-0000-0000-00001D050000}"/>
    <cellStyle name="Explanatory Text 10 3" xfId="1311" xr:uid="{00000000-0005-0000-0000-00001E050000}"/>
    <cellStyle name="Explanatory Text 11" xfId="1312" xr:uid="{00000000-0005-0000-0000-00001F050000}"/>
    <cellStyle name="Explanatory Text 12" xfId="1313" xr:uid="{00000000-0005-0000-0000-000020050000}"/>
    <cellStyle name="Explanatory Text 2" xfId="1314" xr:uid="{00000000-0005-0000-0000-000021050000}"/>
    <cellStyle name="Explanatory Text 2 2" xfId="1315" xr:uid="{00000000-0005-0000-0000-000022050000}"/>
    <cellStyle name="Explanatory Text 2 3" xfId="1316" xr:uid="{00000000-0005-0000-0000-000023050000}"/>
    <cellStyle name="Explanatory Text 2 4" xfId="1317" xr:uid="{00000000-0005-0000-0000-000024050000}"/>
    <cellStyle name="Explanatory Text 2 5" xfId="1318" xr:uid="{00000000-0005-0000-0000-000025050000}"/>
    <cellStyle name="Explanatory Text 2 6" xfId="1319" xr:uid="{00000000-0005-0000-0000-000026050000}"/>
    <cellStyle name="Explanatory Text 2 7" xfId="1320" xr:uid="{00000000-0005-0000-0000-000027050000}"/>
    <cellStyle name="Explanatory Text 2 8" xfId="1321" xr:uid="{00000000-0005-0000-0000-000028050000}"/>
    <cellStyle name="Explanatory Text 2 9" xfId="1322" xr:uid="{00000000-0005-0000-0000-000029050000}"/>
    <cellStyle name="Explanatory Text 3" xfId="1323" xr:uid="{00000000-0005-0000-0000-00002A050000}"/>
    <cellStyle name="Explanatory Text 3 2" xfId="1324" xr:uid="{00000000-0005-0000-0000-00002B050000}"/>
    <cellStyle name="Explanatory Text 3 3" xfId="1325" xr:uid="{00000000-0005-0000-0000-00002C050000}"/>
    <cellStyle name="Explanatory Text 3 4" xfId="1326" xr:uid="{00000000-0005-0000-0000-00002D050000}"/>
    <cellStyle name="Explanatory Text 3 5" xfId="1327" xr:uid="{00000000-0005-0000-0000-00002E050000}"/>
    <cellStyle name="Explanatory Text 3 6" xfId="1328" xr:uid="{00000000-0005-0000-0000-00002F050000}"/>
    <cellStyle name="Explanatory Text 3 7" xfId="1329" xr:uid="{00000000-0005-0000-0000-000030050000}"/>
    <cellStyle name="Explanatory Text 3 8" xfId="1330" xr:uid="{00000000-0005-0000-0000-000031050000}"/>
    <cellStyle name="Explanatory Text 3 9" xfId="1331" xr:uid="{00000000-0005-0000-0000-000032050000}"/>
    <cellStyle name="Explanatory Text 4" xfId="1332" xr:uid="{00000000-0005-0000-0000-000033050000}"/>
    <cellStyle name="Explanatory Text 4 2" xfId="1333" xr:uid="{00000000-0005-0000-0000-000034050000}"/>
    <cellStyle name="Explanatory Text 4 3" xfId="1334" xr:uid="{00000000-0005-0000-0000-000035050000}"/>
    <cellStyle name="Explanatory Text 4 4" xfId="1335" xr:uid="{00000000-0005-0000-0000-000036050000}"/>
    <cellStyle name="Explanatory Text 4 5" xfId="1336" xr:uid="{00000000-0005-0000-0000-000037050000}"/>
    <cellStyle name="Explanatory Text 4 6" xfId="1337" xr:uid="{00000000-0005-0000-0000-000038050000}"/>
    <cellStyle name="Explanatory Text 4 7" xfId="1338" xr:uid="{00000000-0005-0000-0000-000039050000}"/>
    <cellStyle name="Explanatory Text 4 8" xfId="1339" xr:uid="{00000000-0005-0000-0000-00003A050000}"/>
    <cellStyle name="Explanatory Text 4 9" xfId="1340" xr:uid="{00000000-0005-0000-0000-00003B050000}"/>
    <cellStyle name="Explanatory Text 5" xfId="1341" xr:uid="{00000000-0005-0000-0000-00003C050000}"/>
    <cellStyle name="Explanatory Text 5 2" xfId="1342" xr:uid="{00000000-0005-0000-0000-00003D050000}"/>
    <cellStyle name="Explanatory Text 5 3" xfId="1343" xr:uid="{00000000-0005-0000-0000-00003E050000}"/>
    <cellStyle name="Explanatory Text 6" xfId="1344" xr:uid="{00000000-0005-0000-0000-00003F050000}"/>
    <cellStyle name="Explanatory Text 6 2" xfId="1345" xr:uid="{00000000-0005-0000-0000-000040050000}"/>
    <cellStyle name="Explanatory Text 6 3" xfId="1346" xr:uid="{00000000-0005-0000-0000-000041050000}"/>
    <cellStyle name="Explanatory Text 7" xfId="1347" xr:uid="{00000000-0005-0000-0000-000042050000}"/>
    <cellStyle name="Explanatory Text 7 2" xfId="1348" xr:uid="{00000000-0005-0000-0000-000043050000}"/>
    <cellStyle name="Explanatory Text 7 3" xfId="1349" xr:uid="{00000000-0005-0000-0000-000044050000}"/>
    <cellStyle name="Explanatory Text 8" xfId="1350" xr:uid="{00000000-0005-0000-0000-000045050000}"/>
    <cellStyle name="Explanatory Text 8 2" xfId="1351" xr:uid="{00000000-0005-0000-0000-000046050000}"/>
    <cellStyle name="Explanatory Text 8 3" xfId="1352" xr:uid="{00000000-0005-0000-0000-000047050000}"/>
    <cellStyle name="Explanatory Text 9" xfId="1353" xr:uid="{00000000-0005-0000-0000-000048050000}"/>
    <cellStyle name="Explanatory Text 9 2" xfId="1354" xr:uid="{00000000-0005-0000-0000-000049050000}"/>
    <cellStyle name="Explanatory Text 9 3" xfId="1355" xr:uid="{00000000-0005-0000-0000-00004A050000}"/>
    <cellStyle name="Good 10" xfId="1356" xr:uid="{00000000-0005-0000-0000-00004B050000}"/>
    <cellStyle name="Good 10 2" xfId="1357" xr:uid="{00000000-0005-0000-0000-00004C050000}"/>
    <cellStyle name="Good 10 3" xfId="1358" xr:uid="{00000000-0005-0000-0000-00004D050000}"/>
    <cellStyle name="Good 11" xfId="1359" xr:uid="{00000000-0005-0000-0000-00004E050000}"/>
    <cellStyle name="Good 12" xfId="1360" xr:uid="{00000000-0005-0000-0000-00004F050000}"/>
    <cellStyle name="Good 2" xfId="1361" xr:uid="{00000000-0005-0000-0000-000050050000}"/>
    <cellStyle name="Good 2 2" xfId="1362" xr:uid="{00000000-0005-0000-0000-000051050000}"/>
    <cellStyle name="Good 2 3" xfId="1363" xr:uid="{00000000-0005-0000-0000-000052050000}"/>
    <cellStyle name="Good 2 4" xfId="1364" xr:uid="{00000000-0005-0000-0000-000053050000}"/>
    <cellStyle name="Good 2 5" xfId="1365" xr:uid="{00000000-0005-0000-0000-000054050000}"/>
    <cellStyle name="Good 2 6" xfId="1366" xr:uid="{00000000-0005-0000-0000-000055050000}"/>
    <cellStyle name="Good 2 7" xfId="1367" xr:uid="{00000000-0005-0000-0000-000056050000}"/>
    <cellStyle name="Good 2 8" xfId="1368" xr:uid="{00000000-0005-0000-0000-000057050000}"/>
    <cellStyle name="Good 2 9" xfId="1369" xr:uid="{00000000-0005-0000-0000-000058050000}"/>
    <cellStyle name="Good 3" xfId="1370" xr:uid="{00000000-0005-0000-0000-000059050000}"/>
    <cellStyle name="Good 3 2" xfId="1371" xr:uid="{00000000-0005-0000-0000-00005A050000}"/>
    <cellStyle name="Good 3 3" xfId="1372" xr:uid="{00000000-0005-0000-0000-00005B050000}"/>
    <cellStyle name="Good 3 4" xfId="1373" xr:uid="{00000000-0005-0000-0000-00005C050000}"/>
    <cellStyle name="Good 3 5" xfId="1374" xr:uid="{00000000-0005-0000-0000-00005D050000}"/>
    <cellStyle name="Good 3 6" xfId="1375" xr:uid="{00000000-0005-0000-0000-00005E050000}"/>
    <cellStyle name="Good 3 7" xfId="1376" xr:uid="{00000000-0005-0000-0000-00005F050000}"/>
    <cellStyle name="Good 3 8" xfId="1377" xr:uid="{00000000-0005-0000-0000-000060050000}"/>
    <cellStyle name="Good 3 9" xfId="1378" xr:uid="{00000000-0005-0000-0000-000061050000}"/>
    <cellStyle name="Good 4" xfId="1379" xr:uid="{00000000-0005-0000-0000-000062050000}"/>
    <cellStyle name="Good 4 2" xfId="1380" xr:uid="{00000000-0005-0000-0000-000063050000}"/>
    <cellStyle name="Good 4 3" xfId="1381" xr:uid="{00000000-0005-0000-0000-000064050000}"/>
    <cellStyle name="Good 4 4" xfId="1382" xr:uid="{00000000-0005-0000-0000-000065050000}"/>
    <cellStyle name="Good 4 5" xfId="1383" xr:uid="{00000000-0005-0000-0000-000066050000}"/>
    <cellStyle name="Good 4 6" xfId="1384" xr:uid="{00000000-0005-0000-0000-000067050000}"/>
    <cellStyle name="Good 4 7" xfId="1385" xr:uid="{00000000-0005-0000-0000-000068050000}"/>
    <cellStyle name="Good 4 8" xfId="1386" xr:uid="{00000000-0005-0000-0000-000069050000}"/>
    <cellStyle name="Good 4 9" xfId="1387" xr:uid="{00000000-0005-0000-0000-00006A050000}"/>
    <cellStyle name="Good 5" xfId="1388" xr:uid="{00000000-0005-0000-0000-00006B050000}"/>
    <cellStyle name="Good 5 2" xfId="1389" xr:uid="{00000000-0005-0000-0000-00006C050000}"/>
    <cellStyle name="Good 5 3" xfId="1390" xr:uid="{00000000-0005-0000-0000-00006D050000}"/>
    <cellStyle name="Good 6" xfId="1391" xr:uid="{00000000-0005-0000-0000-00006E050000}"/>
    <cellStyle name="Good 6 2" xfId="1392" xr:uid="{00000000-0005-0000-0000-00006F050000}"/>
    <cellStyle name="Good 6 3" xfId="1393" xr:uid="{00000000-0005-0000-0000-000070050000}"/>
    <cellStyle name="Good 7" xfId="1394" xr:uid="{00000000-0005-0000-0000-000071050000}"/>
    <cellStyle name="Good 7 2" xfId="1395" xr:uid="{00000000-0005-0000-0000-000072050000}"/>
    <cellStyle name="Good 7 3" xfId="1396" xr:uid="{00000000-0005-0000-0000-000073050000}"/>
    <cellStyle name="Good 8" xfId="1397" xr:uid="{00000000-0005-0000-0000-000074050000}"/>
    <cellStyle name="Good 8 2" xfId="1398" xr:uid="{00000000-0005-0000-0000-000075050000}"/>
    <cellStyle name="Good 8 3" xfId="1399" xr:uid="{00000000-0005-0000-0000-000076050000}"/>
    <cellStyle name="Good 9" xfId="1400" xr:uid="{00000000-0005-0000-0000-000077050000}"/>
    <cellStyle name="Good 9 2" xfId="1401" xr:uid="{00000000-0005-0000-0000-000078050000}"/>
    <cellStyle name="Good 9 3" xfId="1402" xr:uid="{00000000-0005-0000-0000-000079050000}"/>
    <cellStyle name="Heading 1 10" xfId="1403" xr:uid="{00000000-0005-0000-0000-00007A050000}"/>
    <cellStyle name="Heading 1 10 2" xfId="1404" xr:uid="{00000000-0005-0000-0000-00007B050000}"/>
    <cellStyle name="Heading 1 10 3" xfId="1405" xr:uid="{00000000-0005-0000-0000-00007C050000}"/>
    <cellStyle name="Heading 1 11" xfId="1406" xr:uid="{00000000-0005-0000-0000-00007D050000}"/>
    <cellStyle name="Heading 1 12" xfId="1407" xr:uid="{00000000-0005-0000-0000-00007E050000}"/>
    <cellStyle name="Heading 1 2" xfId="1408" xr:uid="{00000000-0005-0000-0000-00007F050000}"/>
    <cellStyle name="Heading 1 2 2" xfId="1409" xr:uid="{00000000-0005-0000-0000-000080050000}"/>
    <cellStyle name="Heading 1 2 3" xfId="1410" xr:uid="{00000000-0005-0000-0000-000081050000}"/>
    <cellStyle name="Heading 1 2 4" xfId="1411" xr:uid="{00000000-0005-0000-0000-000082050000}"/>
    <cellStyle name="Heading 1 2 5" xfId="1412" xr:uid="{00000000-0005-0000-0000-000083050000}"/>
    <cellStyle name="Heading 1 2 6" xfId="1413" xr:uid="{00000000-0005-0000-0000-000084050000}"/>
    <cellStyle name="Heading 1 2 7" xfId="1414" xr:uid="{00000000-0005-0000-0000-000085050000}"/>
    <cellStyle name="Heading 1 2 8" xfId="1415" xr:uid="{00000000-0005-0000-0000-000086050000}"/>
    <cellStyle name="Heading 1 2 9" xfId="1416" xr:uid="{00000000-0005-0000-0000-000087050000}"/>
    <cellStyle name="Heading 1 3" xfId="1417" xr:uid="{00000000-0005-0000-0000-000088050000}"/>
    <cellStyle name="Heading 1 3 2" xfId="1418" xr:uid="{00000000-0005-0000-0000-000089050000}"/>
    <cellStyle name="Heading 1 3 3" xfId="1419" xr:uid="{00000000-0005-0000-0000-00008A050000}"/>
    <cellStyle name="Heading 1 3 4" xfId="1420" xr:uid="{00000000-0005-0000-0000-00008B050000}"/>
    <cellStyle name="Heading 1 3 5" xfId="1421" xr:uid="{00000000-0005-0000-0000-00008C050000}"/>
    <cellStyle name="Heading 1 3 6" xfId="1422" xr:uid="{00000000-0005-0000-0000-00008D050000}"/>
    <cellStyle name="Heading 1 3 7" xfId="1423" xr:uid="{00000000-0005-0000-0000-00008E050000}"/>
    <cellStyle name="Heading 1 3 8" xfId="1424" xr:uid="{00000000-0005-0000-0000-00008F050000}"/>
    <cellStyle name="Heading 1 3 9" xfId="1425" xr:uid="{00000000-0005-0000-0000-000090050000}"/>
    <cellStyle name="Heading 1 4" xfId="1426" xr:uid="{00000000-0005-0000-0000-000091050000}"/>
    <cellStyle name="Heading 1 4 2" xfId="1427" xr:uid="{00000000-0005-0000-0000-000092050000}"/>
    <cellStyle name="Heading 1 4 3" xfId="1428" xr:uid="{00000000-0005-0000-0000-000093050000}"/>
    <cellStyle name="Heading 1 4 4" xfId="1429" xr:uid="{00000000-0005-0000-0000-000094050000}"/>
    <cellStyle name="Heading 1 4 5" xfId="1430" xr:uid="{00000000-0005-0000-0000-000095050000}"/>
    <cellStyle name="Heading 1 4 6" xfId="1431" xr:uid="{00000000-0005-0000-0000-000096050000}"/>
    <cellStyle name="Heading 1 4 7" xfId="1432" xr:uid="{00000000-0005-0000-0000-000097050000}"/>
    <cellStyle name="Heading 1 4 8" xfId="1433" xr:uid="{00000000-0005-0000-0000-000098050000}"/>
    <cellStyle name="Heading 1 4 9" xfId="1434" xr:uid="{00000000-0005-0000-0000-000099050000}"/>
    <cellStyle name="Heading 1 5" xfId="1435" xr:uid="{00000000-0005-0000-0000-00009A050000}"/>
    <cellStyle name="Heading 1 5 2" xfId="1436" xr:uid="{00000000-0005-0000-0000-00009B050000}"/>
    <cellStyle name="Heading 1 5 3" xfId="1437" xr:uid="{00000000-0005-0000-0000-00009C050000}"/>
    <cellStyle name="Heading 1 6" xfId="1438" xr:uid="{00000000-0005-0000-0000-00009D050000}"/>
    <cellStyle name="Heading 1 6 2" xfId="1439" xr:uid="{00000000-0005-0000-0000-00009E050000}"/>
    <cellStyle name="Heading 1 6 3" xfId="1440" xr:uid="{00000000-0005-0000-0000-00009F050000}"/>
    <cellStyle name="Heading 1 7" xfId="1441" xr:uid="{00000000-0005-0000-0000-0000A0050000}"/>
    <cellStyle name="Heading 1 7 2" xfId="1442" xr:uid="{00000000-0005-0000-0000-0000A1050000}"/>
    <cellStyle name="Heading 1 7 3" xfId="1443" xr:uid="{00000000-0005-0000-0000-0000A2050000}"/>
    <cellStyle name="Heading 1 8" xfId="1444" xr:uid="{00000000-0005-0000-0000-0000A3050000}"/>
    <cellStyle name="Heading 1 8 2" xfId="1445" xr:uid="{00000000-0005-0000-0000-0000A4050000}"/>
    <cellStyle name="Heading 1 8 3" xfId="1446" xr:uid="{00000000-0005-0000-0000-0000A5050000}"/>
    <cellStyle name="Heading 1 9" xfId="1447" xr:uid="{00000000-0005-0000-0000-0000A6050000}"/>
    <cellStyle name="Heading 1 9 2" xfId="1448" xr:uid="{00000000-0005-0000-0000-0000A7050000}"/>
    <cellStyle name="Heading 1 9 3" xfId="1449" xr:uid="{00000000-0005-0000-0000-0000A8050000}"/>
    <cellStyle name="Heading 2 10" xfId="1450" xr:uid="{00000000-0005-0000-0000-0000A9050000}"/>
    <cellStyle name="Heading 2 10 2" xfId="1451" xr:uid="{00000000-0005-0000-0000-0000AA050000}"/>
    <cellStyle name="Heading 2 10 3" xfId="1452" xr:uid="{00000000-0005-0000-0000-0000AB050000}"/>
    <cellStyle name="Heading 2 11" xfId="1453" xr:uid="{00000000-0005-0000-0000-0000AC050000}"/>
    <cellStyle name="Heading 2 12" xfId="1454" xr:uid="{00000000-0005-0000-0000-0000AD050000}"/>
    <cellStyle name="Heading 2 2" xfId="1455" xr:uid="{00000000-0005-0000-0000-0000AE050000}"/>
    <cellStyle name="Heading 2 2 2" xfId="1456" xr:uid="{00000000-0005-0000-0000-0000AF050000}"/>
    <cellStyle name="Heading 2 2 3" xfId="1457" xr:uid="{00000000-0005-0000-0000-0000B0050000}"/>
    <cellStyle name="Heading 2 2 4" xfId="1458" xr:uid="{00000000-0005-0000-0000-0000B1050000}"/>
    <cellStyle name="Heading 2 2 5" xfId="1459" xr:uid="{00000000-0005-0000-0000-0000B2050000}"/>
    <cellStyle name="Heading 2 2 6" xfId="1460" xr:uid="{00000000-0005-0000-0000-0000B3050000}"/>
    <cellStyle name="Heading 2 2 7" xfId="1461" xr:uid="{00000000-0005-0000-0000-0000B4050000}"/>
    <cellStyle name="Heading 2 2 8" xfId="1462" xr:uid="{00000000-0005-0000-0000-0000B5050000}"/>
    <cellStyle name="Heading 2 2 9" xfId="1463" xr:uid="{00000000-0005-0000-0000-0000B6050000}"/>
    <cellStyle name="Heading 2 3" xfId="1464" xr:uid="{00000000-0005-0000-0000-0000B7050000}"/>
    <cellStyle name="Heading 2 3 2" xfId="1465" xr:uid="{00000000-0005-0000-0000-0000B8050000}"/>
    <cellStyle name="Heading 2 3 3" xfId="1466" xr:uid="{00000000-0005-0000-0000-0000B9050000}"/>
    <cellStyle name="Heading 2 3 4" xfId="1467" xr:uid="{00000000-0005-0000-0000-0000BA050000}"/>
    <cellStyle name="Heading 2 3 5" xfId="1468" xr:uid="{00000000-0005-0000-0000-0000BB050000}"/>
    <cellStyle name="Heading 2 3 6" xfId="1469" xr:uid="{00000000-0005-0000-0000-0000BC050000}"/>
    <cellStyle name="Heading 2 3 7" xfId="1470" xr:uid="{00000000-0005-0000-0000-0000BD050000}"/>
    <cellStyle name="Heading 2 3 8" xfId="1471" xr:uid="{00000000-0005-0000-0000-0000BE050000}"/>
    <cellStyle name="Heading 2 3 9" xfId="1472" xr:uid="{00000000-0005-0000-0000-0000BF050000}"/>
    <cellStyle name="Heading 2 4" xfId="1473" xr:uid="{00000000-0005-0000-0000-0000C0050000}"/>
    <cellStyle name="Heading 2 4 2" xfId="1474" xr:uid="{00000000-0005-0000-0000-0000C1050000}"/>
    <cellStyle name="Heading 2 4 3" xfId="1475" xr:uid="{00000000-0005-0000-0000-0000C2050000}"/>
    <cellStyle name="Heading 2 4 4" xfId="1476" xr:uid="{00000000-0005-0000-0000-0000C3050000}"/>
    <cellStyle name="Heading 2 4 5" xfId="1477" xr:uid="{00000000-0005-0000-0000-0000C4050000}"/>
    <cellStyle name="Heading 2 4 6" xfId="1478" xr:uid="{00000000-0005-0000-0000-0000C5050000}"/>
    <cellStyle name="Heading 2 4 7" xfId="1479" xr:uid="{00000000-0005-0000-0000-0000C6050000}"/>
    <cellStyle name="Heading 2 4 8" xfId="1480" xr:uid="{00000000-0005-0000-0000-0000C7050000}"/>
    <cellStyle name="Heading 2 4 9" xfId="1481" xr:uid="{00000000-0005-0000-0000-0000C8050000}"/>
    <cellStyle name="Heading 2 5" xfId="1482" xr:uid="{00000000-0005-0000-0000-0000C9050000}"/>
    <cellStyle name="Heading 2 5 2" xfId="1483" xr:uid="{00000000-0005-0000-0000-0000CA050000}"/>
    <cellStyle name="Heading 2 5 3" xfId="1484" xr:uid="{00000000-0005-0000-0000-0000CB050000}"/>
    <cellStyle name="Heading 2 6" xfId="1485" xr:uid="{00000000-0005-0000-0000-0000CC050000}"/>
    <cellStyle name="Heading 2 6 2" xfId="1486" xr:uid="{00000000-0005-0000-0000-0000CD050000}"/>
    <cellStyle name="Heading 2 6 3" xfId="1487" xr:uid="{00000000-0005-0000-0000-0000CE050000}"/>
    <cellStyle name="Heading 2 7" xfId="1488" xr:uid="{00000000-0005-0000-0000-0000CF050000}"/>
    <cellStyle name="Heading 2 7 2" xfId="1489" xr:uid="{00000000-0005-0000-0000-0000D0050000}"/>
    <cellStyle name="Heading 2 7 3" xfId="1490" xr:uid="{00000000-0005-0000-0000-0000D1050000}"/>
    <cellStyle name="Heading 2 8" xfId="1491" xr:uid="{00000000-0005-0000-0000-0000D2050000}"/>
    <cellStyle name="Heading 2 8 2" xfId="1492" xr:uid="{00000000-0005-0000-0000-0000D3050000}"/>
    <cellStyle name="Heading 2 8 3" xfId="1493" xr:uid="{00000000-0005-0000-0000-0000D4050000}"/>
    <cellStyle name="Heading 2 9" xfId="1494" xr:uid="{00000000-0005-0000-0000-0000D5050000}"/>
    <cellStyle name="Heading 2 9 2" xfId="1495" xr:uid="{00000000-0005-0000-0000-0000D6050000}"/>
    <cellStyle name="Heading 2 9 3" xfId="1496" xr:uid="{00000000-0005-0000-0000-0000D7050000}"/>
    <cellStyle name="Heading 3 10" xfId="1497" xr:uid="{00000000-0005-0000-0000-0000D8050000}"/>
    <cellStyle name="Heading 3 10 2" xfId="1498" xr:uid="{00000000-0005-0000-0000-0000D9050000}"/>
    <cellStyle name="Heading 3 10 3" xfId="1499" xr:uid="{00000000-0005-0000-0000-0000DA050000}"/>
    <cellStyle name="Heading 3 11" xfId="1500" xr:uid="{00000000-0005-0000-0000-0000DB050000}"/>
    <cellStyle name="Heading 3 12" xfId="1501" xr:uid="{00000000-0005-0000-0000-0000DC050000}"/>
    <cellStyle name="Heading 3 2" xfId="1502" xr:uid="{00000000-0005-0000-0000-0000DD050000}"/>
    <cellStyle name="Heading 3 2 2" xfId="1503" xr:uid="{00000000-0005-0000-0000-0000DE050000}"/>
    <cellStyle name="Heading 3 2 3" xfId="1504" xr:uid="{00000000-0005-0000-0000-0000DF050000}"/>
    <cellStyle name="Heading 3 2 4" xfId="1505" xr:uid="{00000000-0005-0000-0000-0000E0050000}"/>
    <cellStyle name="Heading 3 2 5" xfId="1506" xr:uid="{00000000-0005-0000-0000-0000E1050000}"/>
    <cellStyle name="Heading 3 2 6" xfId="1507" xr:uid="{00000000-0005-0000-0000-0000E2050000}"/>
    <cellStyle name="Heading 3 2 7" xfId="1508" xr:uid="{00000000-0005-0000-0000-0000E3050000}"/>
    <cellStyle name="Heading 3 2 8" xfId="1509" xr:uid="{00000000-0005-0000-0000-0000E4050000}"/>
    <cellStyle name="Heading 3 2 9" xfId="1510" xr:uid="{00000000-0005-0000-0000-0000E5050000}"/>
    <cellStyle name="Heading 3 3" xfId="1511" xr:uid="{00000000-0005-0000-0000-0000E6050000}"/>
    <cellStyle name="Heading 3 3 2" xfId="1512" xr:uid="{00000000-0005-0000-0000-0000E7050000}"/>
    <cellStyle name="Heading 3 3 3" xfId="1513" xr:uid="{00000000-0005-0000-0000-0000E8050000}"/>
    <cellStyle name="Heading 3 3 4" xfId="1514" xr:uid="{00000000-0005-0000-0000-0000E9050000}"/>
    <cellStyle name="Heading 3 3 5" xfId="1515" xr:uid="{00000000-0005-0000-0000-0000EA050000}"/>
    <cellStyle name="Heading 3 3 6" xfId="1516" xr:uid="{00000000-0005-0000-0000-0000EB050000}"/>
    <cellStyle name="Heading 3 3 7" xfId="1517" xr:uid="{00000000-0005-0000-0000-0000EC050000}"/>
    <cellStyle name="Heading 3 3 8" xfId="1518" xr:uid="{00000000-0005-0000-0000-0000ED050000}"/>
    <cellStyle name="Heading 3 3 9" xfId="1519" xr:uid="{00000000-0005-0000-0000-0000EE050000}"/>
    <cellStyle name="Heading 3 4" xfId="1520" xr:uid="{00000000-0005-0000-0000-0000EF050000}"/>
    <cellStyle name="Heading 3 4 2" xfId="1521" xr:uid="{00000000-0005-0000-0000-0000F0050000}"/>
    <cellStyle name="Heading 3 4 3" xfId="1522" xr:uid="{00000000-0005-0000-0000-0000F1050000}"/>
    <cellStyle name="Heading 3 4 4" xfId="1523" xr:uid="{00000000-0005-0000-0000-0000F2050000}"/>
    <cellStyle name="Heading 3 4 5" xfId="1524" xr:uid="{00000000-0005-0000-0000-0000F3050000}"/>
    <cellStyle name="Heading 3 4 6" xfId="1525" xr:uid="{00000000-0005-0000-0000-0000F4050000}"/>
    <cellStyle name="Heading 3 4 7" xfId="1526" xr:uid="{00000000-0005-0000-0000-0000F5050000}"/>
    <cellStyle name="Heading 3 4 8" xfId="1527" xr:uid="{00000000-0005-0000-0000-0000F6050000}"/>
    <cellStyle name="Heading 3 4 9" xfId="1528" xr:uid="{00000000-0005-0000-0000-0000F7050000}"/>
    <cellStyle name="Heading 3 5" xfId="1529" xr:uid="{00000000-0005-0000-0000-0000F8050000}"/>
    <cellStyle name="Heading 3 5 2" xfId="1530" xr:uid="{00000000-0005-0000-0000-0000F9050000}"/>
    <cellStyle name="Heading 3 5 3" xfId="1531" xr:uid="{00000000-0005-0000-0000-0000FA050000}"/>
    <cellStyle name="Heading 3 6" xfId="1532" xr:uid="{00000000-0005-0000-0000-0000FB050000}"/>
    <cellStyle name="Heading 3 6 2" xfId="1533" xr:uid="{00000000-0005-0000-0000-0000FC050000}"/>
    <cellStyle name="Heading 3 6 3" xfId="1534" xr:uid="{00000000-0005-0000-0000-0000FD050000}"/>
    <cellStyle name="Heading 3 7" xfId="1535" xr:uid="{00000000-0005-0000-0000-0000FE050000}"/>
    <cellStyle name="Heading 3 7 2" xfId="1536" xr:uid="{00000000-0005-0000-0000-0000FF050000}"/>
    <cellStyle name="Heading 3 7 3" xfId="1537" xr:uid="{00000000-0005-0000-0000-000000060000}"/>
    <cellStyle name="Heading 3 8" xfId="1538" xr:uid="{00000000-0005-0000-0000-000001060000}"/>
    <cellStyle name="Heading 3 8 2" xfId="1539" xr:uid="{00000000-0005-0000-0000-000002060000}"/>
    <cellStyle name="Heading 3 8 3" xfId="1540" xr:uid="{00000000-0005-0000-0000-000003060000}"/>
    <cellStyle name="Heading 3 9" xfId="1541" xr:uid="{00000000-0005-0000-0000-000004060000}"/>
    <cellStyle name="Heading 3 9 2" xfId="1542" xr:uid="{00000000-0005-0000-0000-000005060000}"/>
    <cellStyle name="Heading 3 9 3" xfId="1543" xr:uid="{00000000-0005-0000-0000-000006060000}"/>
    <cellStyle name="Heading 4 10" xfId="1544" xr:uid="{00000000-0005-0000-0000-000007060000}"/>
    <cellStyle name="Heading 4 10 2" xfId="1545" xr:uid="{00000000-0005-0000-0000-000008060000}"/>
    <cellStyle name="Heading 4 10 3" xfId="1546" xr:uid="{00000000-0005-0000-0000-000009060000}"/>
    <cellStyle name="Heading 4 11" xfId="1547" xr:uid="{00000000-0005-0000-0000-00000A060000}"/>
    <cellStyle name="Heading 4 12" xfId="1548" xr:uid="{00000000-0005-0000-0000-00000B060000}"/>
    <cellStyle name="Heading 4 2" xfId="1549" xr:uid="{00000000-0005-0000-0000-00000C060000}"/>
    <cellStyle name="Heading 4 2 2" xfId="1550" xr:uid="{00000000-0005-0000-0000-00000D060000}"/>
    <cellStyle name="Heading 4 2 3" xfId="1551" xr:uid="{00000000-0005-0000-0000-00000E060000}"/>
    <cellStyle name="Heading 4 2 4" xfId="1552" xr:uid="{00000000-0005-0000-0000-00000F060000}"/>
    <cellStyle name="Heading 4 2 5" xfId="1553" xr:uid="{00000000-0005-0000-0000-000010060000}"/>
    <cellStyle name="Heading 4 2 6" xfId="1554" xr:uid="{00000000-0005-0000-0000-000011060000}"/>
    <cellStyle name="Heading 4 2 7" xfId="1555" xr:uid="{00000000-0005-0000-0000-000012060000}"/>
    <cellStyle name="Heading 4 2 8" xfId="1556" xr:uid="{00000000-0005-0000-0000-000013060000}"/>
    <cellStyle name="Heading 4 2 9" xfId="1557" xr:uid="{00000000-0005-0000-0000-000014060000}"/>
    <cellStyle name="Heading 4 3" xfId="1558" xr:uid="{00000000-0005-0000-0000-000015060000}"/>
    <cellStyle name="Heading 4 3 2" xfId="1559" xr:uid="{00000000-0005-0000-0000-000016060000}"/>
    <cellStyle name="Heading 4 3 3" xfId="1560" xr:uid="{00000000-0005-0000-0000-000017060000}"/>
    <cellStyle name="Heading 4 3 4" xfId="1561" xr:uid="{00000000-0005-0000-0000-000018060000}"/>
    <cellStyle name="Heading 4 3 5" xfId="1562" xr:uid="{00000000-0005-0000-0000-000019060000}"/>
    <cellStyle name="Heading 4 3 6" xfId="1563" xr:uid="{00000000-0005-0000-0000-00001A060000}"/>
    <cellStyle name="Heading 4 3 7" xfId="1564" xr:uid="{00000000-0005-0000-0000-00001B060000}"/>
    <cellStyle name="Heading 4 3 8" xfId="1565" xr:uid="{00000000-0005-0000-0000-00001C060000}"/>
    <cellStyle name="Heading 4 3 9" xfId="1566" xr:uid="{00000000-0005-0000-0000-00001D060000}"/>
    <cellStyle name="Heading 4 4" xfId="1567" xr:uid="{00000000-0005-0000-0000-00001E060000}"/>
    <cellStyle name="Heading 4 4 2" xfId="1568" xr:uid="{00000000-0005-0000-0000-00001F060000}"/>
    <cellStyle name="Heading 4 4 3" xfId="1569" xr:uid="{00000000-0005-0000-0000-000020060000}"/>
    <cellStyle name="Heading 4 4 4" xfId="1570" xr:uid="{00000000-0005-0000-0000-000021060000}"/>
    <cellStyle name="Heading 4 4 5" xfId="1571" xr:uid="{00000000-0005-0000-0000-000022060000}"/>
    <cellStyle name="Heading 4 4 6" xfId="1572" xr:uid="{00000000-0005-0000-0000-000023060000}"/>
    <cellStyle name="Heading 4 4 7" xfId="1573" xr:uid="{00000000-0005-0000-0000-000024060000}"/>
    <cellStyle name="Heading 4 4 8" xfId="1574" xr:uid="{00000000-0005-0000-0000-000025060000}"/>
    <cellStyle name="Heading 4 4 9" xfId="1575" xr:uid="{00000000-0005-0000-0000-000026060000}"/>
    <cellStyle name="Heading 4 5" xfId="1576" xr:uid="{00000000-0005-0000-0000-000027060000}"/>
    <cellStyle name="Heading 4 5 2" xfId="1577" xr:uid="{00000000-0005-0000-0000-000028060000}"/>
    <cellStyle name="Heading 4 5 3" xfId="1578" xr:uid="{00000000-0005-0000-0000-000029060000}"/>
    <cellStyle name="Heading 4 6" xfId="1579" xr:uid="{00000000-0005-0000-0000-00002A060000}"/>
    <cellStyle name="Heading 4 6 2" xfId="1580" xr:uid="{00000000-0005-0000-0000-00002B060000}"/>
    <cellStyle name="Heading 4 6 3" xfId="1581" xr:uid="{00000000-0005-0000-0000-00002C060000}"/>
    <cellStyle name="Heading 4 7" xfId="1582" xr:uid="{00000000-0005-0000-0000-00002D060000}"/>
    <cellStyle name="Heading 4 7 2" xfId="1583" xr:uid="{00000000-0005-0000-0000-00002E060000}"/>
    <cellStyle name="Heading 4 7 3" xfId="1584" xr:uid="{00000000-0005-0000-0000-00002F060000}"/>
    <cellStyle name="Heading 4 8" xfId="1585" xr:uid="{00000000-0005-0000-0000-000030060000}"/>
    <cellStyle name="Heading 4 8 2" xfId="1586" xr:uid="{00000000-0005-0000-0000-000031060000}"/>
    <cellStyle name="Heading 4 8 3" xfId="1587" xr:uid="{00000000-0005-0000-0000-000032060000}"/>
    <cellStyle name="Heading 4 9" xfId="1588" xr:uid="{00000000-0005-0000-0000-000033060000}"/>
    <cellStyle name="Heading 4 9 2" xfId="1589" xr:uid="{00000000-0005-0000-0000-000034060000}"/>
    <cellStyle name="Heading 4 9 3" xfId="1590" xr:uid="{00000000-0005-0000-0000-000035060000}"/>
    <cellStyle name="Hyperlink 2" xfId="1591" xr:uid="{00000000-0005-0000-0000-000036060000}"/>
    <cellStyle name="Input 10" xfId="1592" xr:uid="{00000000-0005-0000-0000-000037060000}"/>
    <cellStyle name="Input 10 2" xfId="1593" xr:uid="{00000000-0005-0000-0000-000038060000}"/>
    <cellStyle name="Input 10 3" xfId="1594" xr:uid="{00000000-0005-0000-0000-000039060000}"/>
    <cellStyle name="Input 11" xfId="1595" xr:uid="{00000000-0005-0000-0000-00003A060000}"/>
    <cellStyle name="Input 12" xfId="1596" xr:uid="{00000000-0005-0000-0000-00003B060000}"/>
    <cellStyle name="Input 2" xfId="1597" xr:uid="{00000000-0005-0000-0000-00003C060000}"/>
    <cellStyle name="Input 2 2" xfId="1598" xr:uid="{00000000-0005-0000-0000-00003D060000}"/>
    <cellStyle name="Input 2 3" xfId="1599" xr:uid="{00000000-0005-0000-0000-00003E060000}"/>
    <cellStyle name="Input 2 4" xfId="1600" xr:uid="{00000000-0005-0000-0000-00003F060000}"/>
    <cellStyle name="Input 2 5" xfId="1601" xr:uid="{00000000-0005-0000-0000-000040060000}"/>
    <cellStyle name="Input 2 6" xfId="1602" xr:uid="{00000000-0005-0000-0000-000041060000}"/>
    <cellStyle name="Input 2 7" xfId="1603" xr:uid="{00000000-0005-0000-0000-000042060000}"/>
    <cellStyle name="Input 2 8" xfId="1604" xr:uid="{00000000-0005-0000-0000-000043060000}"/>
    <cellStyle name="Input 2 9" xfId="1605" xr:uid="{00000000-0005-0000-0000-000044060000}"/>
    <cellStyle name="Input 3" xfId="1606" xr:uid="{00000000-0005-0000-0000-000045060000}"/>
    <cellStyle name="Input 3 2" xfId="1607" xr:uid="{00000000-0005-0000-0000-000046060000}"/>
    <cellStyle name="Input 3 3" xfId="1608" xr:uid="{00000000-0005-0000-0000-000047060000}"/>
    <cellStyle name="Input 3 4" xfId="1609" xr:uid="{00000000-0005-0000-0000-000048060000}"/>
    <cellStyle name="Input 3 5" xfId="1610" xr:uid="{00000000-0005-0000-0000-000049060000}"/>
    <cellStyle name="Input 3 6" xfId="1611" xr:uid="{00000000-0005-0000-0000-00004A060000}"/>
    <cellStyle name="Input 3 7" xfId="1612" xr:uid="{00000000-0005-0000-0000-00004B060000}"/>
    <cellStyle name="Input 3 8" xfId="1613" xr:uid="{00000000-0005-0000-0000-00004C060000}"/>
    <cellStyle name="Input 3 9" xfId="1614" xr:uid="{00000000-0005-0000-0000-00004D060000}"/>
    <cellStyle name="Input 4" xfId="1615" xr:uid="{00000000-0005-0000-0000-00004E060000}"/>
    <cellStyle name="Input 4 2" xfId="1616" xr:uid="{00000000-0005-0000-0000-00004F060000}"/>
    <cellStyle name="Input 4 3" xfId="1617" xr:uid="{00000000-0005-0000-0000-000050060000}"/>
    <cellStyle name="Input 4 4" xfId="1618" xr:uid="{00000000-0005-0000-0000-000051060000}"/>
    <cellStyle name="Input 4 5" xfId="1619" xr:uid="{00000000-0005-0000-0000-000052060000}"/>
    <cellStyle name="Input 4 6" xfId="1620" xr:uid="{00000000-0005-0000-0000-000053060000}"/>
    <cellStyle name="Input 4 7" xfId="1621" xr:uid="{00000000-0005-0000-0000-000054060000}"/>
    <cellStyle name="Input 4 8" xfId="1622" xr:uid="{00000000-0005-0000-0000-000055060000}"/>
    <cellStyle name="Input 4 9" xfId="1623" xr:uid="{00000000-0005-0000-0000-000056060000}"/>
    <cellStyle name="Input 5" xfId="1624" xr:uid="{00000000-0005-0000-0000-000057060000}"/>
    <cellStyle name="Input 5 2" xfId="1625" xr:uid="{00000000-0005-0000-0000-000058060000}"/>
    <cellStyle name="Input 5 3" xfId="1626" xr:uid="{00000000-0005-0000-0000-000059060000}"/>
    <cellStyle name="Input 6" xfId="1627" xr:uid="{00000000-0005-0000-0000-00005A060000}"/>
    <cellStyle name="Input 6 2" xfId="1628" xr:uid="{00000000-0005-0000-0000-00005B060000}"/>
    <cellStyle name="Input 6 3" xfId="1629" xr:uid="{00000000-0005-0000-0000-00005C060000}"/>
    <cellStyle name="Input 7" xfId="1630" xr:uid="{00000000-0005-0000-0000-00005D060000}"/>
    <cellStyle name="Input 7 2" xfId="1631" xr:uid="{00000000-0005-0000-0000-00005E060000}"/>
    <cellStyle name="Input 7 3" xfId="1632" xr:uid="{00000000-0005-0000-0000-00005F060000}"/>
    <cellStyle name="Input 8" xfId="1633" xr:uid="{00000000-0005-0000-0000-000060060000}"/>
    <cellStyle name="Input 8 2" xfId="1634" xr:uid="{00000000-0005-0000-0000-000061060000}"/>
    <cellStyle name="Input 8 3" xfId="1635" xr:uid="{00000000-0005-0000-0000-000062060000}"/>
    <cellStyle name="Input 9" xfId="1636" xr:uid="{00000000-0005-0000-0000-000063060000}"/>
    <cellStyle name="Input 9 2" xfId="1637" xr:uid="{00000000-0005-0000-0000-000064060000}"/>
    <cellStyle name="Input 9 3" xfId="1638" xr:uid="{00000000-0005-0000-0000-000065060000}"/>
    <cellStyle name="Linked Cell 10" xfId="1639" xr:uid="{00000000-0005-0000-0000-000066060000}"/>
    <cellStyle name="Linked Cell 10 2" xfId="1640" xr:uid="{00000000-0005-0000-0000-000067060000}"/>
    <cellStyle name="Linked Cell 10 3" xfId="1641" xr:uid="{00000000-0005-0000-0000-000068060000}"/>
    <cellStyle name="Linked Cell 11" xfId="1642" xr:uid="{00000000-0005-0000-0000-000069060000}"/>
    <cellStyle name="Linked Cell 12" xfId="1643" xr:uid="{00000000-0005-0000-0000-00006A060000}"/>
    <cellStyle name="Linked Cell 2" xfId="1644" xr:uid="{00000000-0005-0000-0000-00006B060000}"/>
    <cellStyle name="Linked Cell 2 2" xfId="1645" xr:uid="{00000000-0005-0000-0000-00006C060000}"/>
    <cellStyle name="Linked Cell 2 3" xfId="1646" xr:uid="{00000000-0005-0000-0000-00006D060000}"/>
    <cellStyle name="Linked Cell 2 4" xfId="1647" xr:uid="{00000000-0005-0000-0000-00006E060000}"/>
    <cellStyle name="Linked Cell 2 5" xfId="1648" xr:uid="{00000000-0005-0000-0000-00006F060000}"/>
    <cellStyle name="Linked Cell 2 6" xfId="1649" xr:uid="{00000000-0005-0000-0000-000070060000}"/>
    <cellStyle name="Linked Cell 2 7" xfId="1650" xr:uid="{00000000-0005-0000-0000-000071060000}"/>
    <cellStyle name="Linked Cell 2 8" xfId="1651" xr:uid="{00000000-0005-0000-0000-000072060000}"/>
    <cellStyle name="Linked Cell 2 9" xfId="1652" xr:uid="{00000000-0005-0000-0000-000073060000}"/>
    <cellStyle name="Linked Cell 3" xfId="1653" xr:uid="{00000000-0005-0000-0000-000074060000}"/>
    <cellStyle name="Linked Cell 3 2" xfId="1654" xr:uid="{00000000-0005-0000-0000-000075060000}"/>
    <cellStyle name="Linked Cell 3 3" xfId="1655" xr:uid="{00000000-0005-0000-0000-000076060000}"/>
    <cellStyle name="Linked Cell 3 4" xfId="1656" xr:uid="{00000000-0005-0000-0000-000077060000}"/>
    <cellStyle name="Linked Cell 3 5" xfId="1657" xr:uid="{00000000-0005-0000-0000-000078060000}"/>
    <cellStyle name="Linked Cell 3 6" xfId="1658" xr:uid="{00000000-0005-0000-0000-000079060000}"/>
    <cellStyle name="Linked Cell 3 7" xfId="1659" xr:uid="{00000000-0005-0000-0000-00007A060000}"/>
    <cellStyle name="Linked Cell 3 8" xfId="1660" xr:uid="{00000000-0005-0000-0000-00007B060000}"/>
    <cellStyle name="Linked Cell 3 9" xfId="1661" xr:uid="{00000000-0005-0000-0000-00007C060000}"/>
    <cellStyle name="Linked Cell 4" xfId="1662" xr:uid="{00000000-0005-0000-0000-00007D060000}"/>
    <cellStyle name="Linked Cell 4 2" xfId="1663" xr:uid="{00000000-0005-0000-0000-00007E060000}"/>
    <cellStyle name="Linked Cell 4 3" xfId="1664" xr:uid="{00000000-0005-0000-0000-00007F060000}"/>
    <cellStyle name="Linked Cell 4 4" xfId="1665" xr:uid="{00000000-0005-0000-0000-000080060000}"/>
    <cellStyle name="Linked Cell 4 5" xfId="1666" xr:uid="{00000000-0005-0000-0000-000081060000}"/>
    <cellStyle name="Linked Cell 4 6" xfId="1667" xr:uid="{00000000-0005-0000-0000-000082060000}"/>
    <cellStyle name="Linked Cell 4 7" xfId="1668" xr:uid="{00000000-0005-0000-0000-000083060000}"/>
    <cellStyle name="Linked Cell 4 8" xfId="1669" xr:uid="{00000000-0005-0000-0000-000084060000}"/>
    <cellStyle name="Linked Cell 4 9" xfId="1670" xr:uid="{00000000-0005-0000-0000-000085060000}"/>
    <cellStyle name="Linked Cell 5" xfId="1671" xr:uid="{00000000-0005-0000-0000-000086060000}"/>
    <cellStyle name="Linked Cell 5 2" xfId="1672" xr:uid="{00000000-0005-0000-0000-000087060000}"/>
    <cellStyle name="Linked Cell 5 3" xfId="1673" xr:uid="{00000000-0005-0000-0000-000088060000}"/>
    <cellStyle name="Linked Cell 6" xfId="1674" xr:uid="{00000000-0005-0000-0000-000089060000}"/>
    <cellStyle name="Linked Cell 6 2" xfId="1675" xr:uid="{00000000-0005-0000-0000-00008A060000}"/>
    <cellStyle name="Linked Cell 6 3" xfId="1676" xr:uid="{00000000-0005-0000-0000-00008B060000}"/>
    <cellStyle name="Linked Cell 7" xfId="1677" xr:uid="{00000000-0005-0000-0000-00008C060000}"/>
    <cellStyle name="Linked Cell 7 2" xfId="1678" xr:uid="{00000000-0005-0000-0000-00008D060000}"/>
    <cellStyle name="Linked Cell 7 3" xfId="1679" xr:uid="{00000000-0005-0000-0000-00008E060000}"/>
    <cellStyle name="Linked Cell 8" xfId="1680" xr:uid="{00000000-0005-0000-0000-00008F060000}"/>
    <cellStyle name="Linked Cell 8 2" xfId="1681" xr:uid="{00000000-0005-0000-0000-000090060000}"/>
    <cellStyle name="Linked Cell 8 3" xfId="1682" xr:uid="{00000000-0005-0000-0000-000091060000}"/>
    <cellStyle name="Linked Cell 9" xfId="1683" xr:uid="{00000000-0005-0000-0000-000092060000}"/>
    <cellStyle name="Linked Cell 9 2" xfId="1684" xr:uid="{00000000-0005-0000-0000-000093060000}"/>
    <cellStyle name="Linked Cell 9 3" xfId="1685" xr:uid="{00000000-0005-0000-0000-000094060000}"/>
    <cellStyle name="Neutral 10" xfId="1686" xr:uid="{00000000-0005-0000-0000-000095060000}"/>
    <cellStyle name="Neutral 10 2" xfId="1687" xr:uid="{00000000-0005-0000-0000-000096060000}"/>
    <cellStyle name="Neutral 10 3" xfId="1688" xr:uid="{00000000-0005-0000-0000-000097060000}"/>
    <cellStyle name="Neutral 11" xfId="1689" xr:uid="{00000000-0005-0000-0000-000098060000}"/>
    <cellStyle name="Neutral 12" xfId="1690" xr:uid="{00000000-0005-0000-0000-000099060000}"/>
    <cellStyle name="Neutral 2" xfId="1691" xr:uid="{00000000-0005-0000-0000-00009A060000}"/>
    <cellStyle name="Neutral 2 2" xfId="1692" xr:uid="{00000000-0005-0000-0000-00009B060000}"/>
    <cellStyle name="Neutral 2 3" xfId="1693" xr:uid="{00000000-0005-0000-0000-00009C060000}"/>
    <cellStyle name="Neutral 2 4" xfId="1694" xr:uid="{00000000-0005-0000-0000-00009D060000}"/>
    <cellStyle name="Neutral 2 5" xfId="1695" xr:uid="{00000000-0005-0000-0000-00009E060000}"/>
    <cellStyle name="Neutral 2 6" xfId="1696" xr:uid="{00000000-0005-0000-0000-00009F060000}"/>
    <cellStyle name="Neutral 2 7" xfId="1697" xr:uid="{00000000-0005-0000-0000-0000A0060000}"/>
    <cellStyle name="Neutral 2 8" xfId="1698" xr:uid="{00000000-0005-0000-0000-0000A1060000}"/>
    <cellStyle name="Neutral 2 9" xfId="1699" xr:uid="{00000000-0005-0000-0000-0000A2060000}"/>
    <cellStyle name="Neutral 3" xfId="1700" xr:uid="{00000000-0005-0000-0000-0000A3060000}"/>
    <cellStyle name="Neutral 3 2" xfId="1701" xr:uid="{00000000-0005-0000-0000-0000A4060000}"/>
    <cellStyle name="Neutral 3 3" xfId="1702" xr:uid="{00000000-0005-0000-0000-0000A5060000}"/>
    <cellStyle name="Neutral 3 4" xfId="1703" xr:uid="{00000000-0005-0000-0000-0000A6060000}"/>
    <cellStyle name="Neutral 3 5" xfId="1704" xr:uid="{00000000-0005-0000-0000-0000A7060000}"/>
    <cellStyle name="Neutral 3 6" xfId="1705" xr:uid="{00000000-0005-0000-0000-0000A8060000}"/>
    <cellStyle name="Neutral 3 7" xfId="1706" xr:uid="{00000000-0005-0000-0000-0000A9060000}"/>
    <cellStyle name="Neutral 3 8" xfId="1707" xr:uid="{00000000-0005-0000-0000-0000AA060000}"/>
    <cellStyle name="Neutral 3 9" xfId="1708" xr:uid="{00000000-0005-0000-0000-0000AB060000}"/>
    <cellStyle name="Neutral 4" xfId="1709" xr:uid="{00000000-0005-0000-0000-0000AC060000}"/>
    <cellStyle name="Neutral 4 2" xfId="1710" xr:uid="{00000000-0005-0000-0000-0000AD060000}"/>
    <cellStyle name="Neutral 4 3" xfId="1711" xr:uid="{00000000-0005-0000-0000-0000AE060000}"/>
    <cellStyle name="Neutral 4 4" xfId="1712" xr:uid="{00000000-0005-0000-0000-0000AF060000}"/>
    <cellStyle name="Neutral 4 5" xfId="1713" xr:uid="{00000000-0005-0000-0000-0000B0060000}"/>
    <cellStyle name="Neutral 4 6" xfId="1714" xr:uid="{00000000-0005-0000-0000-0000B1060000}"/>
    <cellStyle name="Neutral 4 7" xfId="1715" xr:uid="{00000000-0005-0000-0000-0000B2060000}"/>
    <cellStyle name="Neutral 4 8" xfId="1716" xr:uid="{00000000-0005-0000-0000-0000B3060000}"/>
    <cellStyle name="Neutral 4 9" xfId="1717" xr:uid="{00000000-0005-0000-0000-0000B4060000}"/>
    <cellStyle name="Neutral 5" xfId="1718" xr:uid="{00000000-0005-0000-0000-0000B5060000}"/>
    <cellStyle name="Neutral 5 2" xfId="1719" xr:uid="{00000000-0005-0000-0000-0000B6060000}"/>
    <cellStyle name="Neutral 5 3" xfId="1720" xr:uid="{00000000-0005-0000-0000-0000B7060000}"/>
    <cellStyle name="Neutral 6" xfId="1721" xr:uid="{00000000-0005-0000-0000-0000B8060000}"/>
    <cellStyle name="Neutral 6 2" xfId="1722" xr:uid="{00000000-0005-0000-0000-0000B9060000}"/>
    <cellStyle name="Neutral 6 3" xfId="1723" xr:uid="{00000000-0005-0000-0000-0000BA060000}"/>
    <cellStyle name="Neutral 7" xfId="1724" xr:uid="{00000000-0005-0000-0000-0000BB060000}"/>
    <cellStyle name="Neutral 7 2" xfId="1725" xr:uid="{00000000-0005-0000-0000-0000BC060000}"/>
    <cellStyle name="Neutral 7 3" xfId="1726" xr:uid="{00000000-0005-0000-0000-0000BD060000}"/>
    <cellStyle name="Neutral 8" xfId="1727" xr:uid="{00000000-0005-0000-0000-0000BE060000}"/>
    <cellStyle name="Neutral 8 2" xfId="1728" xr:uid="{00000000-0005-0000-0000-0000BF060000}"/>
    <cellStyle name="Neutral 8 3" xfId="1729" xr:uid="{00000000-0005-0000-0000-0000C0060000}"/>
    <cellStyle name="Neutral 9" xfId="1730" xr:uid="{00000000-0005-0000-0000-0000C1060000}"/>
    <cellStyle name="Neutral 9 2" xfId="1731" xr:uid="{00000000-0005-0000-0000-0000C2060000}"/>
    <cellStyle name="Neutral 9 3" xfId="1732" xr:uid="{00000000-0005-0000-0000-0000C3060000}"/>
    <cellStyle name="Normal" xfId="0" builtinId="0"/>
    <cellStyle name="Normal 10" xfId="1733" xr:uid="{00000000-0005-0000-0000-0000C5060000}"/>
    <cellStyle name="Normal 10 2" xfId="1734" xr:uid="{00000000-0005-0000-0000-0000C6060000}"/>
    <cellStyle name="Normal 10 3" xfId="1735" xr:uid="{00000000-0005-0000-0000-0000C7060000}"/>
    <cellStyle name="Normal 10_13 A" xfId="1736" xr:uid="{00000000-0005-0000-0000-0000C8060000}"/>
    <cellStyle name="Normal 11" xfId="1737" xr:uid="{00000000-0005-0000-0000-0000C9060000}"/>
    <cellStyle name="Normal 12" xfId="1738" xr:uid="{00000000-0005-0000-0000-0000CA060000}"/>
    <cellStyle name="Normal 12 2" xfId="1739" xr:uid="{00000000-0005-0000-0000-0000CB060000}"/>
    <cellStyle name="Normal 13" xfId="1740" xr:uid="{00000000-0005-0000-0000-0000CC060000}"/>
    <cellStyle name="Normal 13 2" xfId="1741" xr:uid="{00000000-0005-0000-0000-0000CD060000}"/>
    <cellStyle name="Normal 13_Anx-13a" xfId="1742" xr:uid="{00000000-0005-0000-0000-0000CE060000}"/>
    <cellStyle name="Normal 14" xfId="1743" xr:uid="{00000000-0005-0000-0000-0000CF060000}"/>
    <cellStyle name="Normal 15" xfId="1744" xr:uid="{00000000-0005-0000-0000-0000D0060000}"/>
    <cellStyle name="Normal 16" xfId="1745" xr:uid="{00000000-0005-0000-0000-0000D1060000}"/>
    <cellStyle name="Normal 17" xfId="1746" xr:uid="{00000000-0005-0000-0000-0000D2060000}"/>
    <cellStyle name="Normal 17 2" xfId="1747" xr:uid="{00000000-0005-0000-0000-0000D3060000}"/>
    <cellStyle name="Normal 17_ACAD -DCB_APRIL_04 2013" xfId="1748" xr:uid="{00000000-0005-0000-0000-0000D4060000}"/>
    <cellStyle name="Normal 18" xfId="1749" xr:uid="{00000000-0005-0000-0000-0000D5060000}"/>
    <cellStyle name="Normal 18 2" xfId="1750" xr:uid="{00000000-0005-0000-0000-0000D6060000}"/>
    <cellStyle name="Normal 19" xfId="1751" xr:uid="{00000000-0005-0000-0000-0000D7060000}"/>
    <cellStyle name="Normal 19 2" xfId="1752" xr:uid="{00000000-0005-0000-0000-0000D8060000}"/>
    <cellStyle name="Normal 2" xfId="1753" xr:uid="{00000000-0005-0000-0000-0000D9060000}"/>
    <cellStyle name="Normal 2 2" xfId="1754" xr:uid="{00000000-0005-0000-0000-0000DA060000}"/>
    <cellStyle name="Normal 2 2 2" xfId="1755" xr:uid="{00000000-0005-0000-0000-0000DB060000}"/>
    <cellStyle name="Normal 2 2 2 2" xfId="1756" xr:uid="{00000000-0005-0000-0000-0000DC060000}"/>
    <cellStyle name="Normal 2 2 3" xfId="1757" xr:uid="{00000000-0005-0000-0000-0000DD060000}"/>
    <cellStyle name="Normal 2 2_ACAD" xfId="1758" xr:uid="{00000000-0005-0000-0000-0000DE060000}"/>
    <cellStyle name="Normal 2 3" xfId="1759" xr:uid="{00000000-0005-0000-0000-0000DF060000}"/>
    <cellStyle name="Normal 2 4" xfId="1760" xr:uid="{00000000-0005-0000-0000-0000E0060000}"/>
    <cellStyle name="Normal 2 5" xfId="1761" xr:uid="{00000000-0005-0000-0000-0000E1060000}"/>
    <cellStyle name="Normal 2 6" xfId="1762" xr:uid="{00000000-0005-0000-0000-0000E2060000}"/>
    <cellStyle name="Normal 2 7" xfId="1763" xr:uid="{00000000-0005-0000-0000-0000E3060000}"/>
    <cellStyle name="Normal 2_13 A" xfId="1764" xr:uid="{00000000-0005-0000-0000-0000E4060000}"/>
    <cellStyle name="Normal 20" xfId="1765" xr:uid="{00000000-0005-0000-0000-0000E5060000}"/>
    <cellStyle name="Normal 20 2" xfId="1766" xr:uid="{00000000-0005-0000-0000-0000E6060000}"/>
    <cellStyle name="Normal 21" xfId="1767" xr:uid="{00000000-0005-0000-0000-0000E7060000}"/>
    <cellStyle name="Normal 22" xfId="1768" xr:uid="{00000000-0005-0000-0000-0000E8060000}"/>
    <cellStyle name="Normal 23" xfId="1769" xr:uid="{00000000-0005-0000-0000-0000E9060000}"/>
    <cellStyle name="Normal 24" xfId="1770" xr:uid="{00000000-0005-0000-0000-0000EA060000}"/>
    <cellStyle name="Normal 25" xfId="1771" xr:uid="{00000000-0005-0000-0000-0000EB060000}"/>
    <cellStyle name="Normal 26" xfId="1772" xr:uid="{00000000-0005-0000-0000-0000EC060000}"/>
    <cellStyle name="Normal 27" xfId="1773" xr:uid="{00000000-0005-0000-0000-0000ED060000}"/>
    <cellStyle name="Normal 28" xfId="1774" xr:uid="{00000000-0005-0000-0000-0000EE060000}"/>
    <cellStyle name="Normal 29" xfId="1775" xr:uid="{00000000-0005-0000-0000-0000EF060000}"/>
    <cellStyle name="Normal 3" xfId="1776" xr:uid="{00000000-0005-0000-0000-0000F0060000}"/>
    <cellStyle name="Normal 3 10 2" xfId="1777" xr:uid="{00000000-0005-0000-0000-0000F1060000}"/>
    <cellStyle name="Normal 3 2" xfId="1778" xr:uid="{00000000-0005-0000-0000-0000F2060000}"/>
    <cellStyle name="Normal 3 3" xfId="1779" xr:uid="{00000000-0005-0000-0000-0000F3060000}"/>
    <cellStyle name="Normal 3 4" xfId="1780" xr:uid="{00000000-0005-0000-0000-0000F4060000}"/>
    <cellStyle name="Normal 3 5" xfId="1781" xr:uid="{00000000-0005-0000-0000-0000F5060000}"/>
    <cellStyle name="Normal 3 6" xfId="1782" xr:uid="{00000000-0005-0000-0000-0000F6060000}"/>
    <cellStyle name="Normal 3 7" xfId="1783" xr:uid="{00000000-0005-0000-0000-0000F7060000}"/>
    <cellStyle name="Normal 3 8" xfId="1784" xr:uid="{00000000-0005-0000-0000-0000F8060000}"/>
    <cellStyle name="Normal 3 9" xfId="1785" xr:uid="{00000000-0005-0000-0000-0000F9060000}"/>
    <cellStyle name="Normal 3_13 A" xfId="1786" xr:uid="{00000000-0005-0000-0000-0000FA060000}"/>
    <cellStyle name="Normal 30" xfId="1787" xr:uid="{00000000-0005-0000-0000-0000FB060000}"/>
    <cellStyle name="Normal 31" xfId="1788" xr:uid="{00000000-0005-0000-0000-0000FC060000}"/>
    <cellStyle name="Normal 4" xfId="1789" xr:uid="{00000000-0005-0000-0000-0000FD060000}"/>
    <cellStyle name="Normal 4 2" xfId="1790" xr:uid="{00000000-0005-0000-0000-0000FE060000}"/>
    <cellStyle name="Normal 4 2 2" xfId="1791" xr:uid="{00000000-0005-0000-0000-0000FF060000}"/>
    <cellStyle name="Normal 4 3" xfId="1792" xr:uid="{00000000-0005-0000-0000-000000070000}"/>
    <cellStyle name="Normal 4 4" xfId="1793" xr:uid="{00000000-0005-0000-0000-000001070000}"/>
    <cellStyle name="Normal 4 5" xfId="1794" xr:uid="{00000000-0005-0000-0000-000002070000}"/>
    <cellStyle name="Normal 4 6" xfId="1795" xr:uid="{00000000-0005-0000-0000-000003070000}"/>
    <cellStyle name="Normal 4 7" xfId="1796" xr:uid="{00000000-0005-0000-0000-000004070000}"/>
    <cellStyle name="Normal 4 8" xfId="1797" xr:uid="{00000000-0005-0000-0000-000005070000}"/>
    <cellStyle name="Normal 4 9" xfId="1798" xr:uid="{00000000-0005-0000-0000-000006070000}"/>
    <cellStyle name="Normal 4_13 A" xfId="1799" xr:uid="{00000000-0005-0000-0000-000007070000}"/>
    <cellStyle name="Normal 5" xfId="1800" xr:uid="{00000000-0005-0000-0000-000008070000}"/>
    <cellStyle name="Normal 5 2" xfId="1801" xr:uid="{00000000-0005-0000-0000-000009070000}"/>
    <cellStyle name="Normal 5 2 2" xfId="1802" xr:uid="{00000000-0005-0000-0000-00000A070000}"/>
    <cellStyle name="Normal 5 3" xfId="1803" xr:uid="{00000000-0005-0000-0000-00000B070000}"/>
    <cellStyle name="Normal 5 4" xfId="1804" xr:uid="{00000000-0005-0000-0000-00000C070000}"/>
    <cellStyle name="Normal 5_13 A" xfId="1805" xr:uid="{00000000-0005-0000-0000-00000D070000}"/>
    <cellStyle name="Normal 6" xfId="1806" xr:uid="{00000000-0005-0000-0000-00000E070000}"/>
    <cellStyle name="Normal 6 2" xfId="1807" xr:uid="{00000000-0005-0000-0000-00000F070000}"/>
    <cellStyle name="Normal 6 3" xfId="1808" xr:uid="{00000000-0005-0000-0000-000010070000}"/>
    <cellStyle name="Normal 6_13 A" xfId="1809" xr:uid="{00000000-0005-0000-0000-000011070000}"/>
    <cellStyle name="Normal 7" xfId="1810" xr:uid="{00000000-0005-0000-0000-000012070000}"/>
    <cellStyle name="Normal 7 2" xfId="1811" xr:uid="{00000000-0005-0000-0000-000013070000}"/>
    <cellStyle name="Normal 7 3" xfId="1812" xr:uid="{00000000-0005-0000-0000-000014070000}"/>
    <cellStyle name="Normal 7_13 A" xfId="1813" xr:uid="{00000000-0005-0000-0000-000015070000}"/>
    <cellStyle name="Normal 8" xfId="1814" xr:uid="{00000000-0005-0000-0000-000016070000}"/>
    <cellStyle name="Normal 8 2" xfId="1815" xr:uid="{00000000-0005-0000-0000-000017070000}"/>
    <cellStyle name="Normal 9" xfId="1816" xr:uid="{00000000-0005-0000-0000-000018070000}"/>
    <cellStyle name="Normal 9 2" xfId="1817" xr:uid="{00000000-0005-0000-0000-000019070000}"/>
    <cellStyle name="Normal 9 3" xfId="1818" xr:uid="{00000000-0005-0000-0000-00001A070000}"/>
    <cellStyle name="Normal 9_ACAD -DCB_APRIL_04 2013" xfId="1819" xr:uid="{00000000-0005-0000-0000-00001B070000}"/>
    <cellStyle name="Normal_D21-ARR for FY10" xfId="1820" xr:uid="{00000000-0005-0000-0000-00001C070000}"/>
    <cellStyle name="Normal_ERC07_Forms_5005MU_070906" xfId="2073" xr:uid="{00000000-0005-0000-0000-00001D070000}"/>
    <cellStyle name="Normal_Slabwise 29-11-08final" xfId="1821" xr:uid="{00000000-0005-0000-0000-00001E070000}"/>
    <cellStyle name="Note 10" xfId="1822" xr:uid="{00000000-0005-0000-0000-00001F070000}"/>
    <cellStyle name="Note 10 2" xfId="1823" xr:uid="{00000000-0005-0000-0000-000020070000}"/>
    <cellStyle name="Note 10 3" xfId="1824" xr:uid="{00000000-0005-0000-0000-000021070000}"/>
    <cellStyle name="Note 11" xfId="1825" xr:uid="{00000000-0005-0000-0000-000022070000}"/>
    <cellStyle name="Note 12" xfId="1826" xr:uid="{00000000-0005-0000-0000-000023070000}"/>
    <cellStyle name="Note 2" xfId="1827" xr:uid="{00000000-0005-0000-0000-000024070000}"/>
    <cellStyle name="Note 2 2" xfId="1828" xr:uid="{00000000-0005-0000-0000-000025070000}"/>
    <cellStyle name="Note 2 3" xfId="1829" xr:uid="{00000000-0005-0000-0000-000026070000}"/>
    <cellStyle name="Note 2 4" xfId="1830" xr:uid="{00000000-0005-0000-0000-000027070000}"/>
    <cellStyle name="Note 2 5" xfId="1831" xr:uid="{00000000-0005-0000-0000-000028070000}"/>
    <cellStyle name="Note 2 6" xfId="1832" xr:uid="{00000000-0005-0000-0000-000029070000}"/>
    <cellStyle name="Note 2 7" xfId="1833" xr:uid="{00000000-0005-0000-0000-00002A070000}"/>
    <cellStyle name="Note 2 8" xfId="1834" xr:uid="{00000000-0005-0000-0000-00002B070000}"/>
    <cellStyle name="Note 2 9" xfId="1835" xr:uid="{00000000-0005-0000-0000-00002C070000}"/>
    <cellStyle name="Note 3" xfId="1836" xr:uid="{00000000-0005-0000-0000-00002D070000}"/>
    <cellStyle name="Note 3 2" xfId="1837" xr:uid="{00000000-0005-0000-0000-00002E070000}"/>
    <cellStyle name="Note 3 3" xfId="1838" xr:uid="{00000000-0005-0000-0000-00002F070000}"/>
    <cellStyle name="Note 3 4" xfId="1839" xr:uid="{00000000-0005-0000-0000-000030070000}"/>
    <cellStyle name="Note 3 5" xfId="1840" xr:uid="{00000000-0005-0000-0000-000031070000}"/>
    <cellStyle name="Note 3 6" xfId="1841" xr:uid="{00000000-0005-0000-0000-000032070000}"/>
    <cellStyle name="Note 3 7" xfId="1842" xr:uid="{00000000-0005-0000-0000-000033070000}"/>
    <cellStyle name="Note 3 8" xfId="1843" xr:uid="{00000000-0005-0000-0000-000034070000}"/>
    <cellStyle name="Note 3 9" xfId="1844" xr:uid="{00000000-0005-0000-0000-000035070000}"/>
    <cellStyle name="Note 4" xfId="1845" xr:uid="{00000000-0005-0000-0000-000036070000}"/>
    <cellStyle name="Note 4 2" xfId="1846" xr:uid="{00000000-0005-0000-0000-000037070000}"/>
    <cellStyle name="Note 4 3" xfId="1847" xr:uid="{00000000-0005-0000-0000-000038070000}"/>
    <cellStyle name="Note 4 4" xfId="1848" xr:uid="{00000000-0005-0000-0000-000039070000}"/>
    <cellStyle name="Note 4 5" xfId="1849" xr:uid="{00000000-0005-0000-0000-00003A070000}"/>
    <cellStyle name="Note 4 6" xfId="1850" xr:uid="{00000000-0005-0000-0000-00003B070000}"/>
    <cellStyle name="Note 4 7" xfId="1851" xr:uid="{00000000-0005-0000-0000-00003C070000}"/>
    <cellStyle name="Note 4 8" xfId="1852" xr:uid="{00000000-0005-0000-0000-00003D070000}"/>
    <cellStyle name="Note 4 9" xfId="1853" xr:uid="{00000000-0005-0000-0000-00003E070000}"/>
    <cellStyle name="Note 5" xfId="1854" xr:uid="{00000000-0005-0000-0000-00003F070000}"/>
    <cellStyle name="Note 5 2" xfId="1855" xr:uid="{00000000-0005-0000-0000-000040070000}"/>
    <cellStyle name="Note 5 3" xfId="1856" xr:uid="{00000000-0005-0000-0000-000041070000}"/>
    <cellStyle name="Note 6" xfId="1857" xr:uid="{00000000-0005-0000-0000-000042070000}"/>
    <cellStyle name="Note 6 2" xfId="1858" xr:uid="{00000000-0005-0000-0000-000043070000}"/>
    <cellStyle name="Note 6 3" xfId="1859" xr:uid="{00000000-0005-0000-0000-000044070000}"/>
    <cellStyle name="Note 7" xfId="1860" xr:uid="{00000000-0005-0000-0000-000045070000}"/>
    <cellStyle name="Note 7 2" xfId="1861" xr:uid="{00000000-0005-0000-0000-000046070000}"/>
    <cellStyle name="Note 7 3" xfId="1862" xr:uid="{00000000-0005-0000-0000-000047070000}"/>
    <cellStyle name="Note 8" xfId="1863" xr:uid="{00000000-0005-0000-0000-000048070000}"/>
    <cellStyle name="Note 8 2" xfId="1864" xr:uid="{00000000-0005-0000-0000-000049070000}"/>
    <cellStyle name="Note 8 3" xfId="1865" xr:uid="{00000000-0005-0000-0000-00004A070000}"/>
    <cellStyle name="Note 9" xfId="1866" xr:uid="{00000000-0005-0000-0000-00004B070000}"/>
    <cellStyle name="Note 9 2" xfId="1867" xr:uid="{00000000-0005-0000-0000-00004C070000}"/>
    <cellStyle name="Note 9 3" xfId="1868" xr:uid="{00000000-0005-0000-0000-00004D070000}"/>
    <cellStyle name="Output 10" xfId="1869" xr:uid="{00000000-0005-0000-0000-00004E070000}"/>
    <cellStyle name="Output 10 2" xfId="1870" xr:uid="{00000000-0005-0000-0000-00004F070000}"/>
    <cellStyle name="Output 10 3" xfId="1871" xr:uid="{00000000-0005-0000-0000-000050070000}"/>
    <cellStyle name="Output 11" xfId="1872" xr:uid="{00000000-0005-0000-0000-000051070000}"/>
    <cellStyle name="Output 12" xfId="1873" xr:uid="{00000000-0005-0000-0000-000052070000}"/>
    <cellStyle name="Output 2" xfId="1874" xr:uid="{00000000-0005-0000-0000-000053070000}"/>
    <cellStyle name="Output 2 2" xfId="1875" xr:uid="{00000000-0005-0000-0000-000054070000}"/>
    <cellStyle name="Output 2 3" xfId="1876" xr:uid="{00000000-0005-0000-0000-000055070000}"/>
    <cellStyle name="Output 2 4" xfId="1877" xr:uid="{00000000-0005-0000-0000-000056070000}"/>
    <cellStyle name="Output 2 5" xfId="1878" xr:uid="{00000000-0005-0000-0000-000057070000}"/>
    <cellStyle name="Output 2 6" xfId="1879" xr:uid="{00000000-0005-0000-0000-000058070000}"/>
    <cellStyle name="Output 2 7" xfId="1880" xr:uid="{00000000-0005-0000-0000-000059070000}"/>
    <cellStyle name="Output 2 8" xfId="1881" xr:uid="{00000000-0005-0000-0000-00005A070000}"/>
    <cellStyle name="Output 2 9" xfId="1882" xr:uid="{00000000-0005-0000-0000-00005B070000}"/>
    <cellStyle name="Output 3" xfId="1883" xr:uid="{00000000-0005-0000-0000-00005C070000}"/>
    <cellStyle name="Output 3 2" xfId="1884" xr:uid="{00000000-0005-0000-0000-00005D070000}"/>
    <cellStyle name="Output 3 3" xfId="1885" xr:uid="{00000000-0005-0000-0000-00005E070000}"/>
    <cellStyle name="Output 3 4" xfId="1886" xr:uid="{00000000-0005-0000-0000-00005F070000}"/>
    <cellStyle name="Output 3 5" xfId="1887" xr:uid="{00000000-0005-0000-0000-000060070000}"/>
    <cellStyle name="Output 3 6" xfId="1888" xr:uid="{00000000-0005-0000-0000-000061070000}"/>
    <cellStyle name="Output 3 7" xfId="1889" xr:uid="{00000000-0005-0000-0000-000062070000}"/>
    <cellStyle name="Output 3 8" xfId="1890" xr:uid="{00000000-0005-0000-0000-000063070000}"/>
    <cellStyle name="Output 3 9" xfId="1891" xr:uid="{00000000-0005-0000-0000-000064070000}"/>
    <cellStyle name="Output 4" xfId="1892" xr:uid="{00000000-0005-0000-0000-000065070000}"/>
    <cellStyle name="Output 4 2" xfId="1893" xr:uid="{00000000-0005-0000-0000-000066070000}"/>
    <cellStyle name="Output 4 3" xfId="1894" xr:uid="{00000000-0005-0000-0000-000067070000}"/>
    <cellStyle name="Output 4 4" xfId="1895" xr:uid="{00000000-0005-0000-0000-000068070000}"/>
    <cellStyle name="Output 4 5" xfId="1896" xr:uid="{00000000-0005-0000-0000-000069070000}"/>
    <cellStyle name="Output 4 6" xfId="1897" xr:uid="{00000000-0005-0000-0000-00006A070000}"/>
    <cellStyle name="Output 4 7" xfId="1898" xr:uid="{00000000-0005-0000-0000-00006B070000}"/>
    <cellStyle name="Output 4 8" xfId="1899" xr:uid="{00000000-0005-0000-0000-00006C070000}"/>
    <cellStyle name="Output 4 9" xfId="1900" xr:uid="{00000000-0005-0000-0000-00006D070000}"/>
    <cellStyle name="Output 5" xfId="1901" xr:uid="{00000000-0005-0000-0000-00006E070000}"/>
    <cellStyle name="Output 5 2" xfId="1902" xr:uid="{00000000-0005-0000-0000-00006F070000}"/>
    <cellStyle name="Output 5 3" xfId="1903" xr:uid="{00000000-0005-0000-0000-000070070000}"/>
    <cellStyle name="Output 6" xfId="1904" xr:uid="{00000000-0005-0000-0000-000071070000}"/>
    <cellStyle name="Output 6 2" xfId="1905" xr:uid="{00000000-0005-0000-0000-000072070000}"/>
    <cellStyle name="Output 6 3" xfId="1906" xr:uid="{00000000-0005-0000-0000-000073070000}"/>
    <cellStyle name="Output 7" xfId="1907" xr:uid="{00000000-0005-0000-0000-000074070000}"/>
    <cellStyle name="Output 7 2" xfId="1908" xr:uid="{00000000-0005-0000-0000-000075070000}"/>
    <cellStyle name="Output 7 3" xfId="1909" xr:uid="{00000000-0005-0000-0000-000076070000}"/>
    <cellStyle name="Output 8" xfId="1910" xr:uid="{00000000-0005-0000-0000-000077070000}"/>
    <cellStyle name="Output 8 2" xfId="1911" xr:uid="{00000000-0005-0000-0000-000078070000}"/>
    <cellStyle name="Output 8 3" xfId="1912" xr:uid="{00000000-0005-0000-0000-000079070000}"/>
    <cellStyle name="Output 9" xfId="1913" xr:uid="{00000000-0005-0000-0000-00007A070000}"/>
    <cellStyle name="Output 9 2" xfId="1914" xr:uid="{00000000-0005-0000-0000-00007B070000}"/>
    <cellStyle name="Output 9 3" xfId="1915" xr:uid="{00000000-0005-0000-0000-00007C070000}"/>
    <cellStyle name="Percent" xfId="1916" builtinId="5"/>
    <cellStyle name="Percent 2" xfId="1917" xr:uid="{00000000-0005-0000-0000-00007E070000}"/>
    <cellStyle name="Percent 2 2" xfId="1918" xr:uid="{00000000-0005-0000-0000-00007F070000}"/>
    <cellStyle name="Percent 3" xfId="1919" xr:uid="{00000000-0005-0000-0000-000080070000}"/>
    <cellStyle name="Percent 3 2" xfId="1920" xr:uid="{00000000-0005-0000-0000-000081070000}"/>
    <cellStyle name="Percent 4" xfId="1921" xr:uid="{00000000-0005-0000-0000-000082070000}"/>
    <cellStyle name="Percent 5" xfId="1922" xr:uid="{00000000-0005-0000-0000-000083070000}"/>
    <cellStyle name="Percent 5 2" xfId="1923" xr:uid="{00000000-0005-0000-0000-000084070000}"/>
    <cellStyle name="Percent 6" xfId="1924" xr:uid="{00000000-0005-0000-0000-000085070000}"/>
    <cellStyle name="Percent 7" xfId="1925" xr:uid="{00000000-0005-0000-0000-000086070000}"/>
    <cellStyle name="Percent 8" xfId="1926" xr:uid="{00000000-0005-0000-0000-000087070000}"/>
    <cellStyle name="Style 1" xfId="1927" xr:uid="{00000000-0005-0000-0000-000088070000}"/>
    <cellStyle name="Style 1 2" xfId="1928" xr:uid="{00000000-0005-0000-0000-000089070000}"/>
    <cellStyle name="Style 1 3" xfId="1929" xr:uid="{00000000-0005-0000-0000-00008A070000}"/>
    <cellStyle name="Style 1_ACAD -DCB_APRIL_04 2013" xfId="1930" xr:uid="{00000000-0005-0000-0000-00008B070000}"/>
    <cellStyle name="Style 2" xfId="1931" xr:uid="{00000000-0005-0000-0000-00008C070000}"/>
    <cellStyle name="Title 10" xfId="1932" xr:uid="{00000000-0005-0000-0000-00008D070000}"/>
    <cellStyle name="Title 10 2" xfId="1933" xr:uid="{00000000-0005-0000-0000-00008E070000}"/>
    <cellStyle name="Title 10 3" xfId="1934" xr:uid="{00000000-0005-0000-0000-00008F070000}"/>
    <cellStyle name="Title 11" xfId="1935" xr:uid="{00000000-0005-0000-0000-000090070000}"/>
    <cellStyle name="Title 12" xfId="1936" xr:uid="{00000000-0005-0000-0000-000091070000}"/>
    <cellStyle name="Title 2" xfId="1937" xr:uid="{00000000-0005-0000-0000-000092070000}"/>
    <cellStyle name="Title 2 2" xfId="1938" xr:uid="{00000000-0005-0000-0000-000093070000}"/>
    <cellStyle name="Title 2 3" xfId="1939" xr:uid="{00000000-0005-0000-0000-000094070000}"/>
    <cellStyle name="Title 2 4" xfId="1940" xr:uid="{00000000-0005-0000-0000-000095070000}"/>
    <cellStyle name="Title 2 5" xfId="1941" xr:uid="{00000000-0005-0000-0000-000096070000}"/>
    <cellStyle name="Title 2 6" xfId="1942" xr:uid="{00000000-0005-0000-0000-000097070000}"/>
    <cellStyle name="Title 2 7" xfId="1943" xr:uid="{00000000-0005-0000-0000-000098070000}"/>
    <cellStyle name="Title 2 8" xfId="1944" xr:uid="{00000000-0005-0000-0000-000099070000}"/>
    <cellStyle name="Title 2 9" xfId="1945" xr:uid="{00000000-0005-0000-0000-00009A070000}"/>
    <cellStyle name="Title 3" xfId="1946" xr:uid="{00000000-0005-0000-0000-00009B070000}"/>
    <cellStyle name="Title 3 2" xfId="1947" xr:uid="{00000000-0005-0000-0000-00009C070000}"/>
    <cellStyle name="Title 3 3" xfId="1948" xr:uid="{00000000-0005-0000-0000-00009D070000}"/>
    <cellStyle name="Title 3 4" xfId="1949" xr:uid="{00000000-0005-0000-0000-00009E070000}"/>
    <cellStyle name="Title 3 5" xfId="1950" xr:uid="{00000000-0005-0000-0000-00009F070000}"/>
    <cellStyle name="Title 3 6" xfId="1951" xr:uid="{00000000-0005-0000-0000-0000A0070000}"/>
    <cellStyle name="Title 3 7" xfId="1952" xr:uid="{00000000-0005-0000-0000-0000A1070000}"/>
    <cellStyle name="Title 3 8" xfId="1953" xr:uid="{00000000-0005-0000-0000-0000A2070000}"/>
    <cellStyle name="Title 3 9" xfId="1954" xr:uid="{00000000-0005-0000-0000-0000A3070000}"/>
    <cellStyle name="Title 4" xfId="1955" xr:uid="{00000000-0005-0000-0000-0000A4070000}"/>
    <cellStyle name="Title 4 2" xfId="1956" xr:uid="{00000000-0005-0000-0000-0000A5070000}"/>
    <cellStyle name="Title 4 3" xfId="1957" xr:uid="{00000000-0005-0000-0000-0000A6070000}"/>
    <cellStyle name="Title 4 4" xfId="1958" xr:uid="{00000000-0005-0000-0000-0000A7070000}"/>
    <cellStyle name="Title 4 5" xfId="1959" xr:uid="{00000000-0005-0000-0000-0000A8070000}"/>
    <cellStyle name="Title 4 6" xfId="1960" xr:uid="{00000000-0005-0000-0000-0000A9070000}"/>
    <cellStyle name="Title 4 7" xfId="1961" xr:uid="{00000000-0005-0000-0000-0000AA070000}"/>
    <cellStyle name="Title 4 8" xfId="1962" xr:uid="{00000000-0005-0000-0000-0000AB070000}"/>
    <cellStyle name="Title 4 9" xfId="1963" xr:uid="{00000000-0005-0000-0000-0000AC070000}"/>
    <cellStyle name="Title 5" xfId="1964" xr:uid="{00000000-0005-0000-0000-0000AD070000}"/>
    <cellStyle name="Title 5 2" xfId="1965" xr:uid="{00000000-0005-0000-0000-0000AE070000}"/>
    <cellStyle name="Title 5 3" xfId="1966" xr:uid="{00000000-0005-0000-0000-0000AF070000}"/>
    <cellStyle name="Title 6" xfId="1967" xr:uid="{00000000-0005-0000-0000-0000B0070000}"/>
    <cellStyle name="Title 6 2" xfId="1968" xr:uid="{00000000-0005-0000-0000-0000B1070000}"/>
    <cellStyle name="Title 6 3" xfId="1969" xr:uid="{00000000-0005-0000-0000-0000B2070000}"/>
    <cellStyle name="Title 7" xfId="1970" xr:uid="{00000000-0005-0000-0000-0000B3070000}"/>
    <cellStyle name="Title 7 2" xfId="1971" xr:uid="{00000000-0005-0000-0000-0000B4070000}"/>
    <cellStyle name="Title 7 3" xfId="1972" xr:uid="{00000000-0005-0000-0000-0000B5070000}"/>
    <cellStyle name="Title 8" xfId="1973" xr:uid="{00000000-0005-0000-0000-0000B6070000}"/>
    <cellStyle name="Title 8 2" xfId="1974" xr:uid="{00000000-0005-0000-0000-0000B7070000}"/>
    <cellStyle name="Title 8 3" xfId="1975" xr:uid="{00000000-0005-0000-0000-0000B8070000}"/>
    <cellStyle name="Title 9" xfId="1976" xr:uid="{00000000-0005-0000-0000-0000B9070000}"/>
    <cellStyle name="Title 9 2" xfId="1977" xr:uid="{00000000-0005-0000-0000-0000BA070000}"/>
    <cellStyle name="Title 9 3" xfId="1978" xr:uid="{00000000-0005-0000-0000-0000BB070000}"/>
    <cellStyle name="Total 10" xfId="1979" xr:uid="{00000000-0005-0000-0000-0000BC070000}"/>
    <cellStyle name="Total 10 2" xfId="1980" xr:uid="{00000000-0005-0000-0000-0000BD070000}"/>
    <cellStyle name="Total 10 3" xfId="1981" xr:uid="{00000000-0005-0000-0000-0000BE070000}"/>
    <cellStyle name="Total 11" xfId="1982" xr:uid="{00000000-0005-0000-0000-0000BF070000}"/>
    <cellStyle name="Total 12" xfId="1983" xr:uid="{00000000-0005-0000-0000-0000C0070000}"/>
    <cellStyle name="Total 2" xfId="1984" xr:uid="{00000000-0005-0000-0000-0000C1070000}"/>
    <cellStyle name="Total 2 2" xfId="1985" xr:uid="{00000000-0005-0000-0000-0000C2070000}"/>
    <cellStyle name="Total 2 3" xfId="1986" xr:uid="{00000000-0005-0000-0000-0000C3070000}"/>
    <cellStyle name="Total 2 4" xfId="1987" xr:uid="{00000000-0005-0000-0000-0000C4070000}"/>
    <cellStyle name="Total 2 5" xfId="1988" xr:uid="{00000000-0005-0000-0000-0000C5070000}"/>
    <cellStyle name="Total 2 6" xfId="1989" xr:uid="{00000000-0005-0000-0000-0000C6070000}"/>
    <cellStyle name="Total 2 7" xfId="1990" xr:uid="{00000000-0005-0000-0000-0000C7070000}"/>
    <cellStyle name="Total 2 8" xfId="1991" xr:uid="{00000000-0005-0000-0000-0000C8070000}"/>
    <cellStyle name="Total 2 9" xfId="1992" xr:uid="{00000000-0005-0000-0000-0000C9070000}"/>
    <cellStyle name="Total 3" xfId="1993" xr:uid="{00000000-0005-0000-0000-0000CA070000}"/>
    <cellStyle name="Total 3 2" xfId="1994" xr:uid="{00000000-0005-0000-0000-0000CB070000}"/>
    <cellStyle name="Total 3 3" xfId="1995" xr:uid="{00000000-0005-0000-0000-0000CC070000}"/>
    <cellStyle name="Total 3 4" xfId="1996" xr:uid="{00000000-0005-0000-0000-0000CD070000}"/>
    <cellStyle name="Total 3 5" xfId="1997" xr:uid="{00000000-0005-0000-0000-0000CE070000}"/>
    <cellStyle name="Total 3 6" xfId="1998" xr:uid="{00000000-0005-0000-0000-0000CF070000}"/>
    <cellStyle name="Total 3 7" xfId="1999" xr:uid="{00000000-0005-0000-0000-0000D0070000}"/>
    <cellStyle name="Total 3 8" xfId="2000" xr:uid="{00000000-0005-0000-0000-0000D1070000}"/>
    <cellStyle name="Total 3 9" xfId="2001" xr:uid="{00000000-0005-0000-0000-0000D2070000}"/>
    <cellStyle name="Total 4" xfId="2002" xr:uid="{00000000-0005-0000-0000-0000D3070000}"/>
    <cellStyle name="Total 4 2" xfId="2003" xr:uid="{00000000-0005-0000-0000-0000D4070000}"/>
    <cellStyle name="Total 4 3" xfId="2004" xr:uid="{00000000-0005-0000-0000-0000D5070000}"/>
    <cellStyle name="Total 4 4" xfId="2005" xr:uid="{00000000-0005-0000-0000-0000D6070000}"/>
    <cellStyle name="Total 4 5" xfId="2006" xr:uid="{00000000-0005-0000-0000-0000D7070000}"/>
    <cellStyle name="Total 4 6" xfId="2007" xr:uid="{00000000-0005-0000-0000-0000D8070000}"/>
    <cellStyle name="Total 4 7" xfId="2008" xr:uid="{00000000-0005-0000-0000-0000D9070000}"/>
    <cellStyle name="Total 4 8" xfId="2009" xr:uid="{00000000-0005-0000-0000-0000DA070000}"/>
    <cellStyle name="Total 4 9" xfId="2010" xr:uid="{00000000-0005-0000-0000-0000DB070000}"/>
    <cellStyle name="Total 5" xfId="2011" xr:uid="{00000000-0005-0000-0000-0000DC070000}"/>
    <cellStyle name="Total 5 2" xfId="2012" xr:uid="{00000000-0005-0000-0000-0000DD070000}"/>
    <cellStyle name="Total 5 3" xfId="2013" xr:uid="{00000000-0005-0000-0000-0000DE070000}"/>
    <cellStyle name="Total 6" xfId="2014" xr:uid="{00000000-0005-0000-0000-0000DF070000}"/>
    <cellStyle name="Total 6 2" xfId="2015" xr:uid="{00000000-0005-0000-0000-0000E0070000}"/>
    <cellStyle name="Total 6 3" xfId="2016" xr:uid="{00000000-0005-0000-0000-0000E1070000}"/>
    <cellStyle name="Total 7" xfId="2017" xr:uid="{00000000-0005-0000-0000-0000E2070000}"/>
    <cellStyle name="Total 7 2" xfId="2018" xr:uid="{00000000-0005-0000-0000-0000E3070000}"/>
    <cellStyle name="Total 7 3" xfId="2019" xr:uid="{00000000-0005-0000-0000-0000E4070000}"/>
    <cellStyle name="Total 8" xfId="2020" xr:uid="{00000000-0005-0000-0000-0000E5070000}"/>
    <cellStyle name="Total 8 2" xfId="2021" xr:uid="{00000000-0005-0000-0000-0000E6070000}"/>
    <cellStyle name="Total 8 3" xfId="2022" xr:uid="{00000000-0005-0000-0000-0000E7070000}"/>
    <cellStyle name="Total 9" xfId="2023" xr:uid="{00000000-0005-0000-0000-0000E8070000}"/>
    <cellStyle name="Total 9 2" xfId="2024" xr:uid="{00000000-0005-0000-0000-0000E9070000}"/>
    <cellStyle name="Total 9 3" xfId="2025" xr:uid="{00000000-0005-0000-0000-0000EA070000}"/>
    <cellStyle name="Warning Text 10" xfId="2026" xr:uid="{00000000-0005-0000-0000-0000EB070000}"/>
    <cellStyle name="Warning Text 10 2" xfId="2027" xr:uid="{00000000-0005-0000-0000-0000EC070000}"/>
    <cellStyle name="Warning Text 10 3" xfId="2028" xr:uid="{00000000-0005-0000-0000-0000ED070000}"/>
    <cellStyle name="Warning Text 11" xfId="2029" xr:uid="{00000000-0005-0000-0000-0000EE070000}"/>
    <cellStyle name="Warning Text 12" xfId="2030" xr:uid="{00000000-0005-0000-0000-0000EF070000}"/>
    <cellStyle name="Warning Text 2" xfId="2031" xr:uid="{00000000-0005-0000-0000-0000F0070000}"/>
    <cellStyle name="Warning Text 2 2" xfId="2032" xr:uid="{00000000-0005-0000-0000-0000F1070000}"/>
    <cellStyle name="Warning Text 2 3" xfId="2033" xr:uid="{00000000-0005-0000-0000-0000F2070000}"/>
    <cellStyle name="Warning Text 2 4" xfId="2034" xr:uid="{00000000-0005-0000-0000-0000F3070000}"/>
    <cellStyle name="Warning Text 2 5" xfId="2035" xr:uid="{00000000-0005-0000-0000-0000F4070000}"/>
    <cellStyle name="Warning Text 2 6" xfId="2036" xr:uid="{00000000-0005-0000-0000-0000F5070000}"/>
    <cellStyle name="Warning Text 2 7" xfId="2037" xr:uid="{00000000-0005-0000-0000-0000F6070000}"/>
    <cellStyle name="Warning Text 2 8" xfId="2038" xr:uid="{00000000-0005-0000-0000-0000F7070000}"/>
    <cellStyle name="Warning Text 2 9" xfId="2039" xr:uid="{00000000-0005-0000-0000-0000F8070000}"/>
    <cellStyle name="Warning Text 3" xfId="2040" xr:uid="{00000000-0005-0000-0000-0000F9070000}"/>
    <cellStyle name="Warning Text 3 2" xfId="2041" xr:uid="{00000000-0005-0000-0000-0000FA070000}"/>
    <cellStyle name="Warning Text 3 3" xfId="2042" xr:uid="{00000000-0005-0000-0000-0000FB070000}"/>
    <cellStyle name="Warning Text 3 4" xfId="2043" xr:uid="{00000000-0005-0000-0000-0000FC070000}"/>
    <cellStyle name="Warning Text 3 5" xfId="2044" xr:uid="{00000000-0005-0000-0000-0000FD070000}"/>
    <cellStyle name="Warning Text 3 6" xfId="2045" xr:uid="{00000000-0005-0000-0000-0000FE070000}"/>
    <cellStyle name="Warning Text 3 7" xfId="2046" xr:uid="{00000000-0005-0000-0000-0000FF070000}"/>
    <cellStyle name="Warning Text 3 8" xfId="2047" xr:uid="{00000000-0005-0000-0000-000000080000}"/>
    <cellStyle name="Warning Text 3 9" xfId="2048" xr:uid="{00000000-0005-0000-0000-000001080000}"/>
    <cellStyle name="Warning Text 4" xfId="2049" xr:uid="{00000000-0005-0000-0000-000002080000}"/>
    <cellStyle name="Warning Text 4 2" xfId="2050" xr:uid="{00000000-0005-0000-0000-000003080000}"/>
    <cellStyle name="Warning Text 4 3" xfId="2051" xr:uid="{00000000-0005-0000-0000-000004080000}"/>
    <cellStyle name="Warning Text 4 4" xfId="2052" xr:uid="{00000000-0005-0000-0000-000005080000}"/>
    <cellStyle name="Warning Text 4 5" xfId="2053" xr:uid="{00000000-0005-0000-0000-000006080000}"/>
    <cellStyle name="Warning Text 4 6" xfId="2054" xr:uid="{00000000-0005-0000-0000-000007080000}"/>
    <cellStyle name="Warning Text 4 7" xfId="2055" xr:uid="{00000000-0005-0000-0000-000008080000}"/>
    <cellStyle name="Warning Text 4 8" xfId="2056" xr:uid="{00000000-0005-0000-0000-000009080000}"/>
    <cellStyle name="Warning Text 4 9" xfId="2057" xr:uid="{00000000-0005-0000-0000-00000A080000}"/>
    <cellStyle name="Warning Text 5" xfId="2058" xr:uid="{00000000-0005-0000-0000-00000B080000}"/>
    <cellStyle name="Warning Text 5 2" xfId="2059" xr:uid="{00000000-0005-0000-0000-00000C080000}"/>
    <cellStyle name="Warning Text 5 3" xfId="2060" xr:uid="{00000000-0005-0000-0000-00000D080000}"/>
    <cellStyle name="Warning Text 6" xfId="2061" xr:uid="{00000000-0005-0000-0000-00000E080000}"/>
    <cellStyle name="Warning Text 6 2" xfId="2062" xr:uid="{00000000-0005-0000-0000-00000F080000}"/>
    <cellStyle name="Warning Text 6 3" xfId="2063" xr:uid="{00000000-0005-0000-0000-000010080000}"/>
    <cellStyle name="Warning Text 7" xfId="2064" xr:uid="{00000000-0005-0000-0000-000011080000}"/>
    <cellStyle name="Warning Text 7 2" xfId="2065" xr:uid="{00000000-0005-0000-0000-000012080000}"/>
    <cellStyle name="Warning Text 7 3" xfId="2066" xr:uid="{00000000-0005-0000-0000-000013080000}"/>
    <cellStyle name="Warning Text 8" xfId="2067" xr:uid="{00000000-0005-0000-0000-000014080000}"/>
    <cellStyle name="Warning Text 8 2" xfId="2068" xr:uid="{00000000-0005-0000-0000-000015080000}"/>
    <cellStyle name="Warning Text 8 3" xfId="2069" xr:uid="{00000000-0005-0000-0000-000016080000}"/>
    <cellStyle name="Warning Text 9" xfId="2070" xr:uid="{00000000-0005-0000-0000-000017080000}"/>
    <cellStyle name="Warning Text 9 2" xfId="2071" xr:uid="{00000000-0005-0000-0000-000018080000}"/>
    <cellStyle name="Warning Text 9 3" xfId="2072" xr:uid="{00000000-0005-0000-0000-0000190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tyles" Target="styles.xml" /><Relationship Id="rId2" Type="http://schemas.openxmlformats.org/officeDocument/2006/relationships/worksheet" Target="worksheets/sheet2.xml" /><Relationship Id="rId16"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externalLink" Target="externalLinks/externalLink1.xml" /><Relationship Id="rId10" Type="http://schemas.openxmlformats.org/officeDocument/2006/relationships/worksheet" Target="worksheets/sheet10.xml" /><Relationship Id="rId19"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FY24%20filings/sales%20FY24%20Jan%2018..01.23.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0">
          <cell r="P10">
            <v>775057</v>
          </cell>
          <cell r="V10">
            <v>775057</v>
          </cell>
        </row>
        <row r="11">
          <cell r="P11">
            <v>68304</v>
          </cell>
          <cell r="V11">
            <v>68304</v>
          </cell>
        </row>
        <row r="12">
          <cell r="P12">
            <v>9680700</v>
          </cell>
          <cell r="V12">
            <v>9492075</v>
          </cell>
        </row>
        <row r="13">
          <cell r="P13">
            <v>13558</v>
          </cell>
          <cell r="V13">
            <v>13430</v>
          </cell>
        </row>
        <row r="14">
          <cell r="P14">
            <v>1320467</v>
          </cell>
          <cell r="V14">
            <v>1297336</v>
          </cell>
        </row>
        <row r="15">
          <cell r="P15">
            <v>1043427</v>
          </cell>
          <cell r="V15">
            <v>1028907</v>
          </cell>
        </row>
        <row r="16">
          <cell r="P16">
            <v>670</v>
          </cell>
          <cell r="V16">
            <v>650</v>
          </cell>
        </row>
        <row r="17">
          <cell r="P17">
            <v>2199</v>
          </cell>
          <cell r="V17">
            <v>2139</v>
          </cell>
        </row>
        <row r="18">
          <cell r="P18">
            <v>250368</v>
          </cell>
          <cell r="V18">
            <v>246145</v>
          </cell>
        </row>
        <row r="19">
          <cell r="P19">
            <v>97187</v>
          </cell>
          <cell r="V19">
            <v>95247</v>
          </cell>
        </row>
        <row r="20">
          <cell r="P20">
            <v>88814</v>
          </cell>
          <cell r="V20">
            <v>86076</v>
          </cell>
        </row>
        <row r="21">
          <cell r="P21">
            <v>510</v>
          </cell>
          <cell r="V21">
            <v>383</v>
          </cell>
        </row>
        <row r="22">
          <cell r="P22">
            <v>1083461</v>
          </cell>
          <cell r="V22">
            <v>1039228</v>
          </cell>
        </row>
        <row r="25">
          <cell r="P25">
            <v>320</v>
          </cell>
          <cell r="V25">
            <v>312</v>
          </cell>
        </row>
        <row r="26">
          <cell r="P26">
            <v>8637</v>
          </cell>
          <cell r="V26">
            <v>8465</v>
          </cell>
        </row>
        <row r="27">
          <cell r="P27">
            <v>9024</v>
          </cell>
          <cell r="V27">
            <v>8816</v>
          </cell>
        </row>
        <row r="28">
          <cell r="P28">
            <v>1149</v>
          </cell>
          <cell r="V28">
            <v>1103</v>
          </cell>
        </row>
        <row r="29">
          <cell r="P29">
            <v>94</v>
          </cell>
          <cell r="V29">
            <v>89</v>
          </cell>
        </row>
        <row r="30">
          <cell r="P30">
            <v>608</v>
          </cell>
          <cell r="V30">
            <v>565</v>
          </cell>
        </row>
        <row r="31">
          <cell r="P31">
            <v>2675</v>
          </cell>
          <cell r="V31">
            <v>2475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 /><Relationship Id="rId1" Type="http://schemas.openxmlformats.org/officeDocument/2006/relationships/vmlDrawing" Target="../drawings/vmlDrawing2.vml"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242"/>
  <sheetViews>
    <sheetView showOutlineSymbols="0" zoomScale="90" zoomScaleNormal="90" zoomScaleSheetLayoutView="46" workbookViewId="0">
      <pane xSplit="4" ySplit="7" topLeftCell="H8" activePane="bottomRight" state="frozen"/>
      <selection pane="bottomLeft" activeCell="A8" sqref="A8"/>
      <selection pane="topRight" activeCell="E1" sqref="E1"/>
      <selection pane="bottomRight" activeCell="J4" sqref="J4:M4"/>
    </sheetView>
  </sheetViews>
  <sheetFormatPr defaultColWidth="11.19140625" defaultRowHeight="14.25" x14ac:dyDescent="0.15"/>
  <cols>
    <col min="1" max="1" width="5.93359375" style="1" customWidth="1"/>
    <col min="2" max="2" width="11.19140625" style="1"/>
    <col min="3" max="3" width="39.64453125" style="1" customWidth="1"/>
    <col min="4" max="4" width="21.171875" style="1" customWidth="1"/>
    <col min="5" max="8" width="11.19140625" style="1" customWidth="1"/>
    <col min="9" max="9" width="17.93359375" style="221" customWidth="1"/>
    <col min="10" max="10" width="19.01171875" style="1" customWidth="1"/>
    <col min="11" max="11" width="16.31640625" style="221" customWidth="1"/>
    <col min="12" max="12" width="26.16015625" style="1" customWidth="1"/>
    <col min="13" max="13" width="15.640625" style="221" customWidth="1"/>
    <col min="14" max="14" width="16.71875" style="221" customWidth="1"/>
    <col min="15" max="15" width="16.31640625" style="221" customWidth="1"/>
    <col min="16" max="18" width="19.01171875" style="1" customWidth="1"/>
    <col min="19" max="19" width="14.0234375" style="1" customWidth="1"/>
    <col min="20" max="34" width="11.19140625" style="1" customWidth="1"/>
    <col min="35" max="16384" width="11.19140625" style="1"/>
  </cols>
  <sheetData>
    <row r="1" spans="1:21" x14ac:dyDescent="0.15">
      <c r="A1" s="125"/>
      <c r="B1" s="101"/>
      <c r="C1" s="101"/>
      <c r="D1" s="101"/>
      <c r="E1" s="101"/>
      <c r="F1" s="101"/>
      <c r="G1" s="101"/>
      <c r="H1" s="101"/>
      <c r="I1" s="591"/>
      <c r="J1" s="101"/>
      <c r="K1" s="591"/>
      <c r="L1" s="101"/>
      <c r="M1" s="591"/>
      <c r="N1" s="591"/>
      <c r="O1" s="591"/>
      <c r="P1" s="101"/>
      <c r="Q1" s="101"/>
      <c r="R1" s="101"/>
      <c r="S1" s="93"/>
    </row>
    <row r="2" spans="1:21" ht="14.1" customHeight="1" thickBot="1" x14ac:dyDescent="0.25">
      <c r="A2" s="126"/>
      <c r="B2" s="102"/>
      <c r="C2" s="127" t="s">
        <v>17</v>
      </c>
      <c r="D2" s="128"/>
      <c r="E2" s="129" t="s">
        <v>18</v>
      </c>
      <c r="F2" s="129"/>
      <c r="G2" s="129"/>
      <c r="H2" s="129"/>
      <c r="I2" s="643"/>
      <c r="J2" s="102"/>
      <c r="K2" s="592"/>
      <c r="L2" s="102"/>
      <c r="M2" s="592"/>
      <c r="N2" s="592"/>
      <c r="O2" s="592"/>
      <c r="P2" s="102"/>
      <c r="Q2" s="102"/>
      <c r="R2" s="102"/>
      <c r="S2" s="93"/>
    </row>
    <row r="3" spans="1:21" ht="14.1" customHeight="1" thickBot="1" x14ac:dyDescent="0.2">
      <c r="A3" s="130"/>
      <c r="B3" s="131"/>
      <c r="C3" s="131"/>
      <c r="D3" s="131"/>
      <c r="E3" s="131"/>
      <c r="F3" s="131"/>
      <c r="G3" s="131"/>
      <c r="H3" s="131"/>
      <c r="I3" s="644"/>
      <c r="J3" s="103"/>
      <c r="K3" s="593"/>
      <c r="L3" s="103"/>
      <c r="M3" s="593"/>
      <c r="N3" s="593"/>
      <c r="O3" s="593"/>
      <c r="P3" s="103"/>
      <c r="Q3" s="132" t="s">
        <v>19</v>
      </c>
      <c r="R3" s="133"/>
      <c r="S3" s="93"/>
    </row>
    <row r="4" spans="1:21" ht="20.25" customHeight="1" thickBot="1" x14ac:dyDescent="0.2">
      <c r="A4" s="126"/>
      <c r="B4" s="102"/>
      <c r="C4" s="102"/>
      <c r="D4" s="102"/>
      <c r="E4" s="102"/>
      <c r="F4" s="102"/>
      <c r="G4" s="102"/>
      <c r="H4" s="102"/>
      <c r="I4" s="592"/>
      <c r="J4" s="1521" t="s">
        <v>466</v>
      </c>
      <c r="K4" s="1522"/>
      <c r="L4" s="1522"/>
      <c r="M4" s="1523"/>
      <c r="N4" s="594"/>
      <c r="O4" s="595"/>
      <c r="P4" s="102"/>
      <c r="Q4" s="134"/>
      <c r="R4" s="102"/>
      <c r="S4" s="93"/>
    </row>
    <row r="5" spans="1:21" ht="14.1" customHeight="1" thickBot="1" x14ac:dyDescent="0.2">
      <c r="A5" s="126"/>
      <c r="B5" s="102"/>
      <c r="C5" s="102"/>
      <c r="D5" s="102"/>
      <c r="E5" s="102"/>
      <c r="F5" s="102"/>
      <c r="G5" s="102"/>
      <c r="H5" s="102"/>
      <c r="I5" s="592"/>
      <c r="J5" s="351"/>
      <c r="K5" s="596"/>
      <c r="L5" s="351"/>
      <c r="M5" s="596"/>
      <c r="N5" s="596"/>
      <c r="O5" s="592"/>
      <c r="P5" s="102"/>
      <c r="Q5" s="102"/>
      <c r="R5" s="102"/>
      <c r="S5" s="93"/>
    </row>
    <row r="6" spans="1:21" ht="14.1" customHeight="1" thickBot="1" x14ac:dyDescent="0.2">
      <c r="A6" s="488" t="s">
        <v>20</v>
      </c>
      <c r="B6" s="489" t="s">
        <v>21</v>
      </c>
      <c r="C6" s="497" t="s">
        <v>22</v>
      </c>
      <c r="D6" s="493" t="s">
        <v>3</v>
      </c>
      <c r="E6" s="495" t="s">
        <v>23</v>
      </c>
      <c r="F6" s="1153" t="s">
        <v>49</v>
      </c>
      <c r="G6" s="1153" t="s">
        <v>469</v>
      </c>
      <c r="H6" s="1153" t="s">
        <v>470</v>
      </c>
      <c r="I6" s="645" t="s">
        <v>409</v>
      </c>
      <c r="J6" s="499" t="s">
        <v>25</v>
      </c>
      <c r="K6" s="682" t="s">
        <v>26</v>
      </c>
      <c r="L6" s="492"/>
      <c r="M6" s="597" t="s">
        <v>27</v>
      </c>
      <c r="N6" s="598"/>
      <c r="O6" s="599" t="s">
        <v>28</v>
      </c>
      <c r="P6" s="135" t="s">
        <v>29</v>
      </c>
      <c r="Q6" s="135" t="s">
        <v>4</v>
      </c>
      <c r="R6" s="104" t="s">
        <v>30</v>
      </c>
      <c r="S6" s="93"/>
    </row>
    <row r="7" spans="1:21" ht="19.5" customHeight="1" thickBot="1" x14ac:dyDescent="0.2">
      <c r="A7" s="490"/>
      <c r="B7" s="491" t="s">
        <v>31</v>
      </c>
      <c r="C7" s="498"/>
      <c r="D7" s="494"/>
      <c r="E7" s="496" t="s">
        <v>32</v>
      </c>
      <c r="F7" s="1153" t="s">
        <v>33</v>
      </c>
      <c r="G7" s="1153" t="s">
        <v>33</v>
      </c>
      <c r="H7" s="1153" t="s">
        <v>471</v>
      </c>
      <c r="I7" s="646" t="s">
        <v>33</v>
      </c>
      <c r="J7" s="500" t="s">
        <v>34</v>
      </c>
      <c r="K7" s="683" t="s">
        <v>35</v>
      </c>
      <c r="L7" s="501"/>
      <c r="M7" s="600" t="s">
        <v>36</v>
      </c>
      <c r="N7" s="601"/>
      <c r="O7" s="602" t="s">
        <v>36</v>
      </c>
      <c r="P7" s="136" t="s">
        <v>37</v>
      </c>
      <c r="Q7" s="136" t="s">
        <v>37</v>
      </c>
      <c r="R7" s="136" t="s">
        <v>37</v>
      </c>
      <c r="S7" s="93"/>
    </row>
    <row r="8" spans="1:21" ht="14.1" customHeight="1" thickBot="1" x14ac:dyDescent="0.2">
      <c r="A8" s="186">
        <v>1</v>
      </c>
      <c r="B8" s="174" t="s">
        <v>38</v>
      </c>
      <c r="C8" s="174" t="s">
        <v>388</v>
      </c>
      <c r="D8" s="174"/>
      <c r="E8" s="174" t="s">
        <v>39</v>
      </c>
      <c r="F8" s="1156">
        <f>+[1]Sheet1!$P$10</f>
        <v>775057</v>
      </c>
      <c r="G8" s="1156">
        <f>+[1]Sheet1!$V$10</f>
        <v>775057</v>
      </c>
      <c r="H8" s="1156">
        <v>40074</v>
      </c>
      <c r="I8" s="647">
        <v>770651</v>
      </c>
      <c r="J8" s="487">
        <f>I8*0.1</f>
        <v>77065.100000000006</v>
      </c>
      <c r="K8" s="684">
        <v>175.53</v>
      </c>
      <c r="L8" s="174"/>
      <c r="M8" s="603">
        <v>70</v>
      </c>
      <c r="N8" s="604"/>
      <c r="O8" s="604">
        <v>8.6999999999999993</v>
      </c>
      <c r="P8" s="97">
        <f>IF(($I$8*$M$8*12/(10^7))&gt;$K$8*$O$8/10,($I$8*$M$8*12/(10^7)),0)</f>
        <v>0</v>
      </c>
      <c r="Q8" s="97">
        <f>IF($K$8*$O$8/10&gt;($I$8*$M$8*12/(10^7)),($K$8*$O$8/10),0)</f>
        <v>152.71109999999999</v>
      </c>
      <c r="R8" s="139">
        <f>SUM(P8:Q8)</f>
        <v>152.71109999999999</v>
      </c>
      <c r="S8" s="94" t="e">
        <f>#REF!</f>
        <v>#REF!</v>
      </c>
      <c r="U8" s="83" t="e">
        <f>S8-R8</f>
        <v>#REF!</v>
      </c>
    </row>
    <row r="9" spans="1:21" ht="14.1" customHeight="1" thickBot="1" x14ac:dyDescent="0.2">
      <c r="A9" s="137"/>
      <c r="B9" s="138" t="s">
        <v>38</v>
      </c>
      <c r="C9" s="138" t="s">
        <v>389</v>
      </c>
      <c r="D9" s="138"/>
      <c r="E9" s="138"/>
      <c r="F9" s="1156">
        <f>+[1]Sheet1!$P$11</f>
        <v>68304</v>
      </c>
      <c r="G9" s="1156">
        <f>+[1]Sheet1!$V$11</f>
        <v>68304</v>
      </c>
      <c r="H9" s="1156"/>
      <c r="I9" s="648">
        <v>72716</v>
      </c>
      <c r="J9" s="439">
        <f>I9*0.1</f>
        <v>7271.6</v>
      </c>
      <c r="K9" s="685">
        <v>69.39</v>
      </c>
      <c r="L9" s="138"/>
      <c r="M9" s="604">
        <f>M22</f>
        <v>85</v>
      </c>
      <c r="N9" s="604"/>
      <c r="O9" s="604">
        <v>4.05</v>
      </c>
      <c r="P9" s="97">
        <f>I9*12*M9/10000000</f>
        <v>7.4170319999999998</v>
      </c>
      <c r="Q9" s="97">
        <f>(I9*30*12*O25/10000000)+(K9-17.2065)*O26/10</f>
        <v>38.259247799999997</v>
      </c>
      <c r="R9" s="139">
        <f>SUM(P9:Q9)</f>
        <v>45.676279799999996</v>
      </c>
      <c r="S9" s="93"/>
      <c r="U9" s="83">
        <f t="shared" ref="U9:U53" si="0">S9-R9</f>
        <v>-45.676279799999996</v>
      </c>
    </row>
    <row r="10" spans="1:21" ht="14.1" customHeight="1" thickBot="1" x14ac:dyDescent="0.2">
      <c r="A10" s="141" t="s">
        <v>40</v>
      </c>
      <c r="B10" s="142"/>
      <c r="C10" s="142"/>
      <c r="D10" s="142"/>
      <c r="E10" s="142" t="s">
        <v>39</v>
      </c>
      <c r="F10" s="142"/>
      <c r="G10" s="142"/>
      <c r="H10" s="142"/>
      <c r="I10" s="649">
        <f>SUM(I8:I9)</f>
        <v>843367</v>
      </c>
      <c r="J10" s="440">
        <f>SUM(J8:J9)</f>
        <v>84336.700000000012</v>
      </c>
      <c r="K10" s="686">
        <f>K8+K9</f>
        <v>244.92000000000002</v>
      </c>
      <c r="L10" s="142"/>
      <c r="M10" s="605"/>
      <c r="N10" s="605"/>
      <c r="O10" s="605"/>
      <c r="P10" s="143">
        <f>SUM(P8:P9)</f>
        <v>7.4170319999999998</v>
      </c>
      <c r="Q10" s="143">
        <f>SUM(Q8:Q9)</f>
        <v>190.97034779999998</v>
      </c>
      <c r="R10" s="143">
        <f>SUM(R8:R9)</f>
        <v>198.38737979999999</v>
      </c>
      <c r="S10" s="94" t="e">
        <f>S8</f>
        <v>#REF!</v>
      </c>
      <c r="U10" s="83" t="e">
        <f t="shared" si="0"/>
        <v>#REF!</v>
      </c>
    </row>
    <row r="11" spans="1:21" ht="14.1" customHeight="1" thickBot="1" x14ac:dyDescent="0.2">
      <c r="A11" s="137"/>
      <c r="B11" s="138"/>
      <c r="C11" s="138"/>
      <c r="D11" s="138"/>
      <c r="E11" s="138"/>
      <c r="F11" s="138"/>
      <c r="G11" s="138"/>
      <c r="H11" s="138"/>
      <c r="I11" s="650"/>
      <c r="J11" s="439"/>
      <c r="K11" s="687"/>
      <c r="L11" s="78"/>
      <c r="M11" s="214"/>
      <c r="N11" s="214"/>
      <c r="O11" s="214"/>
      <c r="P11" s="97"/>
      <c r="Q11" s="97"/>
      <c r="R11" s="139"/>
      <c r="S11" s="93"/>
      <c r="U11" s="83">
        <f t="shared" si="0"/>
        <v>0</v>
      </c>
    </row>
    <row r="12" spans="1:21" ht="21" customHeight="1" thickBot="1" x14ac:dyDescent="0.2">
      <c r="A12" s="77">
        <v>2</v>
      </c>
      <c r="B12" s="78" t="s">
        <v>41</v>
      </c>
      <c r="C12" s="422" t="s">
        <v>374</v>
      </c>
      <c r="D12" s="80" t="s">
        <v>43</v>
      </c>
      <c r="E12" s="78" t="s">
        <v>39</v>
      </c>
      <c r="F12" s="78"/>
      <c r="G12" s="78"/>
      <c r="H12" s="78">
        <v>2418913</v>
      </c>
      <c r="I12" s="215">
        <f>I19*50.82%</f>
        <v>3561552.5022</v>
      </c>
      <c r="J12" s="434">
        <f>I12*0.9</f>
        <v>3205397.2519800002</v>
      </c>
      <c r="K12" s="688"/>
      <c r="L12" s="80" t="s">
        <v>43</v>
      </c>
      <c r="M12" s="217">
        <v>100</v>
      </c>
      <c r="N12" s="216"/>
      <c r="O12" s="217"/>
      <c r="P12" s="81">
        <f>(MAX(I12,J12)*$M$12*12)/(10^7)</f>
        <v>427.38630026400006</v>
      </c>
      <c r="Q12" s="81"/>
      <c r="R12" s="82"/>
      <c r="S12" s="93"/>
      <c r="U12" s="83">
        <f t="shared" si="0"/>
        <v>0</v>
      </c>
    </row>
    <row r="13" spans="1:21" ht="44.25" customHeight="1" x14ac:dyDescent="0.15">
      <c r="A13" s="146"/>
      <c r="B13" s="147"/>
      <c r="C13" s="1532" t="s">
        <v>375</v>
      </c>
      <c r="D13" s="640" t="s">
        <v>451</v>
      </c>
      <c r="E13" s="147" t="s">
        <v>39</v>
      </c>
      <c r="F13" s="147"/>
      <c r="G13" s="147"/>
      <c r="H13" s="147">
        <v>6297427</v>
      </c>
      <c r="I13" s="651">
        <f>I19-I12-I14</f>
        <v>3444745.4978</v>
      </c>
      <c r="J13" s="434">
        <f>I13*3.25+5000</f>
        <v>11200422.86785</v>
      </c>
      <c r="K13" s="653"/>
      <c r="L13" s="640" t="s">
        <v>451</v>
      </c>
      <c r="M13" s="212">
        <v>110</v>
      </c>
      <c r="N13" s="606"/>
      <c r="O13" s="606"/>
      <c r="P13" s="151">
        <f>(((I13*M12)+(J13-I13)*M13)*12)/10000000</f>
        <v>1437.1188725825998</v>
      </c>
      <c r="Q13" s="151"/>
      <c r="R13" s="153"/>
      <c r="S13" s="93">
        <f>(K9-17.2065)*O16/10</f>
        <v>29.222760000000001</v>
      </c>
      <c r="U13" s="83">
        <f t="shared" si="0"/>
        <v>29.222760000000001</v>
      </c>
    </row>
    <row r="14" spans="1:21" ht="30.75" customHeight="1" x14ac:dyDescent="0.15">
      <c r="A14" s="146"/>
      <c r="B14" s="147"/>
      <c r="C14" s="1532"/>
      <c r="D14" s="640" t="s">
        <v>444</v>
      </c>
      <c r="E14" s="147" t="s">
        <v>39</v>
      </c>
      <c r="F14" s="147"/>
      <c r="G14" s="147"/>
      <c r="H14" s="147">
        <v>113069</v>
      </c>
      <c r="I14" s="652">
        <v>1873</v>
      </c>
      <c r="J14" s="873">
        <f>I14*110</f>
        <v>206030</v>
      </c>
      <c r="K14" s="653"/>
      <c r="L14" s="640" t="s">
        <v>444</v>
      </c>
      <c r="M14" s="212">
        <v>175</v>
      </c>
      <c r="N14" s="606"/>
      <c r="O14" s="606"/>
      <c r="P14" s="151">
        <f>(((I14*M12)+(I14*49*M13)+(J14-I14*50)*M14)*12)/10000000</f>
        <v>35.939124</v>
      </c>
      <c r="Q14" s="151"/>
      <c r="R14" s="153"/>
      <c r="S14" s="93"/>
      <c r="U14" s="83">
        <f t="shared" si="0"/>
        <v>0</v>
      </c>
    </row>
    <row r="15" spans="1:21" ht="14.1" customHeight="1" x14ac:dyDescent="0.15">
      <c r="A15" s="146"/>
      <c r="B15" s="147"/>
      <c r="C15" s="1532"/>
      <c r="D15" s="421"/>
      <c r="E15" s="147"/>
      <c r="F15" s="147"/>
      <c r="G15" s="147"/>
      <c r="H15" s="147"/>
      <c r="I15" s="652"/>
      <c r="J15" s="442"/>
      <c r="K15" s="689">
        <f>K19*19/100</f>
        <v>1304.6824999999999</v>
      </c>
      <c r="L15" s="205"/>
      <c r="M15" s="607"/>
      <c r="N15" s="212" t="s">
        <v>426</v>
      </c>
      <c r="O15" s="608">
        <v>4.1500000000000004</v>
      </c>
      <c r="P15" s="151"/>
      <c r="Q15" s="151">
        <f>(K15*O15)/10</f>
        <v>541.44323750000001</v>
      </c>
      <c r="R15" s="153"/>
      <c r="S15" s="93"/>
      <c r="U15" s="83">
        <f t="shared" si="0"/>
        <v>0</v>
      </c>
    </row>
    <row r="16" spans="1:21" ht="14.1" customHeight="1" x14ac:dyDescent="0.15">
      <c r="A16" s="146"/>
      <c r="B16" s="147"/>
      <c r="C16" s="424"/>
      <c r="D16" s="421"/>
      <c r="E16" s="147"/>
      <c r="F16" s="147"/>
      <c r="G16" s="147"/>
      <c r="H16" s="147"/>
      <c r="I16" s="653"/>
      <c r="J16" s="442"/>
      <c r="K16" s="689">
        <f>K19*25.01/100</f>
        <v>1717.3741750000002</v>
      </c>
      <c r="L16" s="205"/>
      <c r="M16" s="607"/>
      <c r="N16" s="212" t="s">
        <v>432</v>
      </c>
      <c r="O16" s="212">
        <v>5.6</v>
      </c>
      <c r="P16" s="151"/>
      <c r="Q16" s="151">
        <f>(K16*O16)/10</f>
        <v>961.72953799999993</v>
      </c>
      <c r="R16" s="153"/>
      <c r="S16" s="93"/>
      <c r="U16" s="83">
        <f t="shared" si="0"/>
        <v>0</v>
      </c>
    </row>
    <row r="17" spans="1:21" ht="14.1" customHeight="1" x14ac:dyDescent="0.15">
      <c r="A17" s="146"/>
      <c r="B17" s="147"/>
      <c r="C17" s="1532"/>
      <c r="D17" s="421"/>
      <c r="E17" s="147"/>
      <c r="F17" s="147"/>
      <c r="G17" s="147"/>
      <c r="H17" s="147"/>
      <c r="I17" s="653"/>
      <c r="J17" s="442"/>
      <c r="K17" s="689">
        <f>K19*30.7/100</f>
        <v>2108.0922500000001</v>
      </c>
      <c r="L17" s="205"/>
      <c r="M17" s="607"/>
      <c r="N17" s="212" t="s">
        <v>380</v>
      </c>
      <c r="O17" s="212">
        <v>7.15</v>
      </c>
      <c r="P17" s="151"/>
      <c r="Q17" s="151">
        <f>(K17*O17)/10</f>
        <v>1507.2859587500002</v>
      </c>
      <c r="R17" s="153"/>
      <c r="S17" s="93"/>
      <c r="U17" s="83">
        <f t="shared" si="0"/>
        <v>0</v>
      </c>
    </row>
    <row r="18" spans="1:21" ht="14.1" customHeight="1" x14ac:dyDescent="0.15">
      <c r="A18" s="146"/>
      <c r="B18" s="147"/>
      <c r="C18" s="1532"/>
      <c r="D18" s="421"/>
      <c r="E18" s="147"/>
      <c r="F18" s="147"/>
      <c r="G18" s="147"/>
      <c r="H18" s="147"/>
      <c r="I18" s="652"/>
      <c r="J18" s="442"/>
      <c r="K18" s="689">
        <f>K19-K15-K16-K17</f>
        <v>1736.601075</v>
      </c>
      <c r="L18" s="205"/>
      <c r="M18" s="607"/>
      <c r="N18" s="464" t="s">
        <v>411</v>
      </c>
      <c r="O18" s="212">
        <v>8.1999999999999993</v>
      </c>
      <c r="P18" s="151"/>
      <c r="Q18" s="151">
        <f>(K18*O18)/10</f>
        <v>1424.0128814999998</v>
      </c>
      <c r="R18" s="153"/>
      <c r="S18" s="93"/>
      <c r="U18" s="83">
        <f t="shared" si="0"/>
        <v>0</v>
      </c>
    </row>
    <row r="19" spans="1:21" ht="14.1" customHeight="1" thickBot="1" x14ac:dyDescent="0.2">
      <c r="A19" s="146"/>
      <c r="B19" s="147"/>
      <c r="C19" s="425"/>
      <c r="D19" s="423" t="s">
        <v>49</v>
      </c>
      <c r="E19" s="155" t="s">
        <v>39</v>
      </c>
      <c r="F19" s="155"/>
      <c r="G19" s="155"/>
      <c r="H19" s="155">
        <f>SUM(H12:H14)</f>
        <v>8829409</v>
      </c>
      <c r="I19" s="654">
        <v>7008171</v>
      </c>
      <c r="J19" s="435">
        <f>J12+J13+J14</f>
        <v>14611850.119830001</v>
      </c>
      <c r="K19" s="690">
        <v>6866.75</v>
      </c>
      <c r="L19" s="157"/>
      <c r="M19" s="609"/>
      <c r="N19" s="609"/>
      <c r="O19" s="609"/>
      <c r="P19" s="159">
        <f>SUM(P12:P14)</f>
        <v>1900.4442968465999</v>
      </c>
      <c r="Q19" s="159">
        <f>SUM(Q15:Q18)</f>
        <v>4434.4716157499997</v>
      </c>
      <c r="R19" s="160">
        <f>SUM(P19:Q19)</f>
        <v>6334.9159125965998</v>
      </c>
      <c r="S19" s="94" t="e">
        <f>#REF!</f>
        <v>#REF!</v>
      </c>
      <c r="T19" s="83" t="e">
        <f>R19-S19</f>
        <v>#REF!</v>
      </c>
      <c r="U19" s="83" t="e">
        <f t="shared" si="0"/>
        <v>#REF!</v>
      </c>
    </row>
    <row r="20" spans="1:21" ht="14.1" customHeight="1" thickBot="1" x14ac:dyDescent="0.2">
      <c r="A20" s="137"/>
      <c r="B20" s="138"/>
      <c r="C20" s="174"/>
      <c r="D20" s="138"/>
      <c r="E20" s="138"/>
      <c r="F20" s="138"/>
      <c r="G20" s="138"/>
      <c r="H20" s="138"/>
      <c r="I20" s="650"/>
      <c r="J20" s="433"/>
      <c r="K20" s="687"/>
      <c r="L20" s="138"/>
      <c r="M20" s="604"/>
      <c r="N20" s="604"/>
      <c r="O20" s="604"/>
      <c r="P20" s="97"/>
      <c r="Q20" s="97"/>
      <c r="R20" s="139"/>
      <c r="S20" s="93"/>
      <c r="T20" s="83">
        <f t="shared" ref="T20:T64" si="1">R20-S20</f>
        <v>0</v>
      </c>
      <c r="U20" s="83">
        <f t="shared" si="0"/>
        <v>0</v>
      </c>
    </row>
    <row r="21" spans="1:21" ht="14.1" customHeight="1" thickBot="1" x14ac:dyDescent="0.2">
      <c r="A21" s="137"/>
      <c r="B21" s="138"/>
      <c r="C21" s="138"/>
      <c r="D21" s="138"/>
      <c r="E21" s="138"/>
      <c r="F21" s="138"/>
      <c r="G21" s="138"/>
      <c r="H21" s="138"/>
      <c r="I21" s="650"/>
      <c r="J21" s="433"/>
      <c r="K21" s="687"/>
      <c r="L21" s="138"/>
      <c r="M21" s="604"/>
      <c r="N21" s="604"/>
      <c r="O21" s="604"/>
      <c r="P21" s="97"/>
      <c r="Q21" s="97"/>
      <c r="R21" s="139"/>
      <c r="S21" s="93"/>
      <c r="T21" s="83">
        <f t="shared" si="1"/>
        <v>0</v>
      </c>
      <c r="U21" s="83">
        <f t="shared" si="0"/>
        <v>0</v>
      </c>
    </row>
    <row r="22" spans="1:21" ht="14.1" customHeight="1" thickBot="1" x14ac:dyDescent="0.2">
      <c r="A22" s="77">
        <v>4</v>
      </c>
      <c r="B22" s="78" t="s">
        <v>50</v>
      </c>
      <c r="C22" s="144" t="s">
        <v>51</v>
      </c>
      <c r="D22" s="80" t="s">
        <v>43</v>
      </c>
      <c r="E22" s="78" t="s">
        <v>39</v>
      </c>
      <c r="F22" s="78"/>
      <c r="G22" s="78"/>
      <c r="H22" s="78">
        <v>1097466</v>
      </c>
      <c r="I22" s="215">
        <f>I30*85.37%</f>
        <v>1787092.895</v>
      </c>
      <c r="J22" s="434">
        <f>I22*0.85</f>
        <v>1519028.9607500001</v>
      </c>
      <c r="K22" s="688"/>
      <c r="L22" s="80" t="s">
        <v>43</v>
      </c>
      <c r="M22" s="217">
        <v>85</v>
      </c>
      <c r="N22" s="216"/>
      <c r="O22" s="216"/>
      <c r="P22" s="81">
        <f>(MAX(I22,J22)*M22*12)/(10^7)</f>
        <v>182.28347528999998</v>
      </c>
      <c r="Q22" s="81"/>
      <c r="R22" s="82"/>
      <c r="S22" s="93"/>
      <c r="T22" s="83">
        <f t="shared" si="1"/>
        <v>0</v>
      </c>
      <c r="U22" s="83">
        <f t="shared" si="0"/>
        <v>0</v>
      </c>
    </row>
    <row r="23" spans="1:21" ht="54.75" customHeight="1" x14ac:dyDescent="0.15">
      <c r="A23" s="146"/>
      <c r="B23" s="147"/>
      <c r="C23" s="148" t="s">
        <v>53</v>
      </c>
      <c r="D23" s="640" t="s">
        <v>431</v>
      </c>
      <c r="E23" s="147" t="s">
        <v>39</v>
      </c>
      <c r="F23" s="481"/>
      <c r="G23" s="481"/>
      <c r="H23" s="481">
        <v>433146</v>
      </c>
      <c r="I23" s="655">
        <f>I30-I22-I24</f>
        <v>306062.10499999998</v>
      </c>
      <c r="J23" s="571">
        <f>I23*3.2+9650</f>
        <v>989048.73600000003</v>
      </c>
      <c r="K23" s="688"/>
      <c r="L23" s="640" t="s">
        <v>431</v>
      </c>
      <c r="M23" s="212">
        <v>100</v>
      </c>
      <c r="N23" s="606"/>
      <c r="O23" s="606"/>
      <c r="P23" s="151">
        <f>(((I23*M22)+(J23-I23)*M23)*12)/(10^7)</f>
        <v>113.17673043000002</v>
      </c>
      <c r="Q23" s="151"/>
      <c r="R23" s="153"/>
      <c r="S23" s="93"/>
      <c r="T23" s="83">
        <f t="shared" si="1"/>
        <v>0</v>
      </c>
      <c r="U23" s="83">
        <f t="shared" si="0"/>
        <v>0</v>
      </c>
    </row>
    <row r="24" spans="1:21" ht="36.75" customHeight="1" x14ac:dyDescent="0.15">
      <c r="A24" s="146"/>
      <c r="B24" s="147"/>
      <c r="C24" s="148" t="s">
        <v>54</v>
      </c>
      <c r="D24" s="640" t="s">
        <v>445</v>
      </c>
      <c r="E24" s="147" t="s">
        <v>39</v>
      </c>
      <c r="F24" s="174"/>
      <c r="G24" s="174"/>
      <c r="H24" s="174">
        <v>13802</v>
      </c>
      <c r="I24" s="656">
        <v>195</v>
      </c>
      <c r="J24" s="873">
        <f>I24*160</f>
        <v>31200</v>
      </c>
      <c r="K24" s="653"/>
      <c r="L24" s="640" t="s">
        <v>445</v>
      </c>
      <c r="M24" s="212">
        <v>160</v>
      </c>
      <c r="N24" s="606"/>
      <c r="O24" s="606"/>
      <c r="P24" s="151">
        <f>(((I24*M22)+(I24*49*M23)+(J24-I24*50)*M24)*12)/10000000</f>
        <v>5.2848899999999999</v>
      </c>
      <c r="Q24" s="151"/>
      <c r="R24" s="153"/>
      <c r="S24" s="93"/>
      <c r="T24" s="83">
        <f t="shared" si="1"/>
        <v>0</v>
      </c>
      <c r="U24" s="83">
        <f t="shared" si="0"/>
        <v>0</v>
      </c>
    </row>
    <row r="25" spans="1:21" ht="14.1" customHeight="1" x14ac:dyDescent="0.15">
      <c r="A25" s="146"/>
      <c r="B25" s="147"/>
      <c r="C25" s="148" t="s">
        <v>55</v>
      </c>
      <c r="D25" s="147"/>
      <c r="E25" s="147"/>
      <c r="F25" s="147"/>
      <c r="G25" s="147"/>
      <c r="H25" s="147"/>
      <c r="I25" s="652"/>
      <c r="J25" s="441">
        <f>K25/$K$30</f>
        <v>0.25603000000000004</v>
      </c>
      <c r="K25" s="689">
        <f>K30*25.603/100</f>
        <v>195.34320910000002</v>
      </c>
      <c r="L25" s="206"/>
      <c r="M25" s="607"/>
      <c r="N25" s="212" t="s">
        <v>426</v>
      </c>
      <c r="O25" s="608">
        <v>4.05</v>
      </c>
      <c r="P25" s="151"/>
      <c r="Q25" s="151">
        <f>K25*O25/10</f>
        <v>79.113999685500005</v>
      </c>
      <c r="R25" s="153"/>
      <c r="S25" s="93"/>
      <c r="T25" s="83">
        <f t="shared" si="1"/>
        <v>0</v>
      </c>
      <c r="U25" s="83">
        <f t="shared" si="0"/>
        <v>0</v>
      </c>
    </row>
    <row r="26" spans="1:21" ht="14.1" customHeight="1" x14ac:dyDescent="0.15">
      <c r="A26" s="146"/>
      <c r="B26" s="147"/>
      <c r="C26" s="147"/>
      <c r="D26" s="147"/>
      <c r="E26" s="147"/>
      <c r="F26" s="147"/>
      <c r="G26" s="147"/>
      <c r="H26" s="147"/>
      <c r="I26" s="653"/>
      <c r="J26" s="441">
        <f>K26/$K$30</f>
        <v>0.35000000000000003</v>
      </c>
      <c r="K26" s="689">
        <f>K30*35/100</f>
        <v>267.03950000000003</v>
      </c>
      <c r="L26" s="206"/>
      <c r="M26" s="607"/>
      <c r="N26" s="212" t="s">
        <v>432</v>
      </c>
      <c r="O26" s="212">
        <v>5.3</v>
      </c>
      <c r="P26" s="151"/>
      <c r="Q26" s="151">
        <f>K26*O26/10</f>
        <v>141.53093500000003</v>
      </c>
      <c r="R26" s="153"/>
      <c r="S26" s="93"/>
      <c r="T26" s="83">
        <f t="shared" si="1"/>
        <v>0</v>
      </c>
      <c r="U26" s="83">
        <f t="shared" si="0"/>
        <v>0</v>
      </c>
    </row>
    <row r="27" spans="1:21" ht="14.1" customHeight="1" x14ac:dyDescent="0.15">
      <c r="A27" s="146"/>
      <c r="B27" s="147"/>
      <c r="C27" s="147"/>
      <c r="D27" s="147"/>
      <c r="E27" s="147"/>
      <c r="F27" s="147"/>
      <c r="G27" s="147"/>
      <c r="H27" s="147"/>
      <c r="I27" s="653"/>
      <c r="J27" s="441">
        <f>K27/$K$30</f>
        <v>0.26</v>
      </c>
      <c r="K27" s="689">
        <f>K30*26/100</f>
        <v>198.37220000000002</v>
      </c>
      <c r="L27" s="206"/>
      <c r="M27" s="607"/>
      <c r="N27" s="212" t="s">
        <v>380</v>
      </c>
      <c r="O27" s="212">
        <v>6.85</v>
      </c>
      <c r="P27" s="151"/>
      <c r="Q27" s="151">
        <f>K27*O27/10</f>
        <v>135.88495700000001</v>
      </c>
      <c r="R27" s="153"/>
      <c r="S27" s="93"/>
      <c r="T27" s="83">
        <f t="shared" si="1"/>
        <v>0</v>
      </c>
      <c r="U27" s="83">
        <f t="shared" si="0"/>
        <v>0</v>
      </c>
    </row>
    <row r="28" spans="1:21" ht="14.1" customHeight="1" x14ac:dyDescent="0.15">
      <c r="A28" s="146"/>
      <c r="B28" s="147"/>
      <c r="C28" s="147"/>
      <c r="D28" s="147"/>
      <c r="E28" s="147"/>
      <c r="F28" s="147"/>
      <c r="G28" s="147"/>
      <c r="H28" s="147"/>
      <c r="I28" s="652"/>
      <c r="J28" s="441">
        <f>K28/$K$30</f>
        <v>0.13397000000000001</v>
      </c>
      <c r="K28" s="689">
        <f>K30-K25-K26-K27</f>
        <v>102.21509090000001</v>
      </c>
      <c r="L28" s="206"/>
      <c r="M28" s="607"/>
      <c r="N28" s="464" t="s">
        <v>411</v>
      </c>
      <c r="O28" s="212">
        <v>7.7</v>
      </c>
      <c r="P28" s="151"/>
      <c r="Q28" s="151">
        <f>K28*O28/10</f>
        <v>78.705619992999999</v>
      </c>
      <c r="R28" s="153"/>
      <c r="S28" s="93"/>
      <c r="T28" s="83">
        <f t="shared" si="1"/>
        <v>0</v>
      </c>
      <c r="U28" s="83">
        <f t="shared" si="0"/>
        <v>0</v>
      </c>
    </row>
    <row r="29" spans="1:21" ht="14.1" customHeight="1" x14ac:dyDescent="0.15">
      <c r="A29" s="146"/>
      <c r="B29" s="147"/>
      <c r="C29" s="147"/>
      <c r="D29" s="147"/>
      <c r="E29" s="147"/>
      <c r="F29" s="147"/>
      <c r="G29" s="147"/>
      <c r="H29" s="147"/>
      <c r="I29" s="652"/>
      <c r="J29" s="108"/>
      <c r="K29" s="689"/>
      <c r="L29" s="165"/>
      <c r="M29" s="610"/>
      <c r="N29" s="212"/>
      <c r="O29" s="212"/>
      <c r="P29" s="151"/>
      <c r="Q29" s="151"/>
      <c r="R29" s="153"/>
      <c r="S29" s="93"/>
      <c r="T29" s="83">
        <f t="shared" si="1"/>
        <v>0</v>
      </c>
      <c r="U29" s="83">
        <f t="shared" si="0"/>
        <v>0</v>
      </c>
    </row>
    <row r="30" spans="1:21" ht="14.1" customHeight="1" thickBot="1" x14ac:dyDescent="0.2">
      <c r="A30" s="146"/>
      <c r="B30" s="147"/>
      <c r="C30" s="147"/>
      <c r="D30" s="155" t="s">
        <v>49</v>
      </c>
      <c r="E30" s="155" t="s">
        <v>39</v>
      </c>
      <c r="F30" s="155"/>
      <c r="G30" s="155"/>
      <c r="H30" s="155">
        <f>SUM(H22:H25)</f>
        <v>1544414</v>
      </c>
      <c r="I30" s="654">
        <v>2093350</v>
      </c>
      <c r="J30" s="156">
        <f>J22+J23+J24</f>
        <v>2539277.6967500001</v>
      </c>
      <c r="K30" s="690">
        <v>762.97</v>
      </c>
      <c r="L30" s="157"/>
      <c r="M30" s="609"/>
      <c r="N30" s="609"/>
      <c r="O30" s="609"/>
      <c r="P30" s="159">
        <f>SUM(P22:P24)</f>
        <v>300.74509571999999</v>
      </c>
      <c r="Q30" s="159">
        <f>SUM(Q25:Q29)</f>
        <v>435.23551167850007</v>
      </c>
      <c r="R30" s="160">
        <f>SUM(P30:Q30)</f>
        <v>735.98060739850007</v>
      </c>
      <c r="S30" s="94" t="e">
        <f>#REF!</f>
        <v>#REF!</v>
      </c>
      <c r="T30" s="83" t="e">
        <f t="shared" si="1"/>
        <v>#REF!</v>
      </c>
      <c r="U30" s="83" t="e">
        <f t="shared" si="0"/>
        <v>#REF!</v>
      </c>
    </row>
    <row r="31" spans="1:21" ht="14.1" customHeight="1" thickBot="1" x14ac:dyDescent="0.2">
      <c r="A31" s="137"/>
      <c r="B31" s="138"/>
      <c r="C31" s="138"/>
      <c r="D31" s="166"/>
      <c r="E31" s="138"/>
      <c r="F31" s="138"/>
      <c r="G31" s="138"/>
      <c r="H31" s="138"/>
      <c r="I31" s="657"/>
      <c r="J31" s="167"/>
      <c r="K31" s="691"/>
      <c r="L31" s="78"/>
      <c r="M31" s="214"/>
      <c r="N31" s="214"/>
      <c r="O31" s="214"/>
      <c r="P31" s="139"/>
      <c r="Q31" s="139"/>
      <c r="R31" s="139"/>
      <c r="S31" s="93"/>
      <c r="T31" s="83">
        <f t="shared" si="1"/>
        <v>0</v>
      </c>
      <c r="U31" s="83">
        <f t="shared" si="0"/>
        <v>0</v>
      </c>
    </row>
    <row r="32" spans="1:21" ht="14.1" customHeight="1" x14ac:dyDescent="0.15">
      <c r="A32" s="168" t="s">
        <v>56</v>
      </c>
      <c r="B32" s="169"/>
      <c r="C32" s="169"/>
      <c r="D32" s="169"/>
      <c r="E32" s="169" t="s">
        <v>39</v>
      </c>
      <c r="F32" s="1156">
        <f>+[1]Sheet1!$P$12</f>
        <v>9680700</v>
      </c>
      <c r="G32" s="1156">
        <f>+[1]Sheet1!$V$12</f>
        <v>9492075</v>
      </c>
      <c r="H32" s="1156">
        <f>+[1]Sheet1!$V$12</f>
        <v>9492075</v>
      </c>
      <c r="I32" s="658">
        <f>I19+I30</f>
        <v>9101521</v>
      </c>
      <c r="J32" s="114">
        <f>J19+J30</f>
        <v>17151127.816580001</v>
      </c>
      <c r="K32" s="692">
        <f>K19+K30</f>
        <v>7629.72</v>
      </c>
      <c r="L32" s="170"/>
      <c r="M32" s="611"/>
      <c r="N32" s="611"/>
      <c r="O32" s="611"/>
      <c r="P32" s="171">
        <f>SUM(P19,P30)</f>
        <v>2201.1893925666</v>
      </c>
      <c r="Q32" s="171">
        <f>SUM(Q19,Q30)</f>
        <v>4869.7071274284999</v>
      </c>
      <c r="R32" s="171">
        <f>SUM(R19,R30)</f>
        <v>7070.8965199950999</v>
      </c>
      <c r="S32" s="94"/>
      <c r="T32" s="83">
        <f t="shared" si="1"/>
        <v>7070.8965199950999</v>
      </c>
      <c r="U32" s="83">
        <f t="shared" si="0"/>
        <v>-7070.8965199950999</v>
      </c>
    </row>
    <row r="33" spans="1:21" ht="14.1" customHeight="1" thickBot="1" x14ac:dyDescent="0.2">
      <c r="A33" s="172"/>
      <c r="B33" s="173"/>
      <c r="C33" s="173"/>
      <c r="D33" s="174"/>
      <c r="E33" s="174"/>
      <c r="F33" s="174"/>
      <c r="G33" s="174"/>
      <c r="H33" s="174"/>
      <c r="I33" s="659"/>
      <c r="J33" s="175"/>
      <c r="K33" s="693"/>
      <c r="L33" s="174"/>
      <c r="M33" s="603"/>
      <c r="N33" s="603"/>
      <c r="O33" s="603"/>
      <c r="P33" s="96"/>
      <c r="Q33" s="96"/>
      <c r="R33" s="176"/>
      <c r="S33" s="93"/>
      <c r="T33" s="83">
        <f t="shared" si="1"/>
        <v>0</v>
      </c>
      <c r="U33" s="83">
        <f t="shared" si="0"/>
        <v>0</v>
      </c>
    </row>
    <row r="34" spans="1:21" ht="50.25" customHeight="1" x14ac:dyDescent="0.15">
      <c r="A34" s="77">
        <v>5</v>
      </c>
      <c r="B34" s="78" t="s">
        <v>57</v>
      </c>
      <c r="C34" s="144" t="s">
        <v>58</v>
      </c>
      <c r="D34" s="78"/>
      <c r="E34" s="78" t="s">
        <v>39</v>
      </c>
      <c r="F34" s="78"/>
      <c r="G34" s="78"/>
      <c r="H34" s="78">
        <v>41786</v>
      </c>
      <c r="I34" s="215">
        <f>I40*98.96%</f>
        <v>10016.731199999998</v>
      </c>
      <c r="J34" s="553">
        <f>I34*6.4</f>
        <v>64107.079679999995</v>
      </c>
      <c r="K34" s="688"/>
      <c r="L34" s="640" t="s">
        <v>433</v>
      </c>
      <c r="M34" s="217">
        <v>120</v>
      </c>
      <c r="N34" s="216"/>
      <c r="O34" s="216"/>
      <c r="P34" s="81">
        <f>(I34*M35*12)/10^7</f>
        <v>1.8030116159999996</v>
      </c>
      <c r="Q34" s="81"/>
      <c r="R34" s="82"/>
      <c r="S34" s="93"/>
      <c r="T34" s="83">
        <f t="shared" si="1"/>
        <v>0</v>
      </c>
      <c r="U34" s="83">
        <f t="shared" si="0"/>
        <v>0</v>
      </c>
    </row>
    <row r="35" spans="1:21" ht="14.1" customHeight="1" x14ac:dyDescent="0.15">
      <c r="A35" s="146"/>
      <c r="B35" s="147"/>
      <c r="C35" s="148" t="s">
        <v>60</v>
      </c>
      <c r="D35" s="147"/>
      <c r="E35" s="147" t="s">
        <v>39</v>
      </c>
      <c r="F35" s="481"/>
      <c r="G35" s="481"/>
      <c r="H35" s="481">
        <v>6091</v>
      </c>
      <c r="K35" s="653"/>
      <c r="L35" s="150" t="s">
        <v>62</v>
      </c>
      <c r="M35" s="212">
        <v>150</v>
      </c>
      <c r="N35" s="606"/>
      <c r="O35" s="606"/>
      <c r="Q35" s="151"/>
      <c r="R35" s="153"/>
      <c r="S35" s="93"/>
      <c r="T35" s="83">
        <f t="shared" si="1"/>
        <v>0</v>
      </c>
      <c r="U35" s="83">
        <f t="shared" si="0"/>
        <v>0</v>
      </c>
    </row>
    <row r="36" spans="1:21" ht="26.25" customHeight="1" x14ac:dyDescent="0.15">
      <c r="A36" s="146"/>
      <c r="B36" s="147"/>
      <c r="C36" s="148" t="s">
        <v>63</v>
      </c>
      <c r="D36" s="147"/>
      <c r="E36" s="147"/>
      <c r="F36" s="147"/>
      <c r="G36" s="147"/>
      <c r="H36" s="147"/>
      <c r="I36" s="651">
        <f>I40-I34</f>
        <v>105.26880000000165</v>
      </c>
      <c r="J36" s="149">
        <f>I36*104</f>
        <v>10947.955200000171</v>
      </c>
      <c r="K36" s="653"/>
      <c r="L36" s="640" t="s">
        <v>444</v>
      </c>
      <c r="M36" s="212">
        <v>175</v>
      </c>
      <c r="N36" s="606"/>
      <c r="O36" s="606"/>
      <c r="P36" s="151">
        <f>(((I36*M34)+(J36-I36)*M35)*12)/10000000</f>
        <v>1.9668422592000305</v>
      </c>
      <c r="Q36" s="151"/>
      <c r="R36" s="153"/>
      <c r="S36" s="93"/>
      <c r="T36" s="83">
        <f t="shared" si="1"/>
        <v>0</v>
      </c>
      <c r="U36" s="83">
        <f t="shared" si="0"/>
        <v>0</v>
      </c>
    </row>
    <row r="37" spans="1:21" ht="14.1" customHeight="1" x14ac:dyDescent="0.15">
      <c r="A37" s="146"/>
      <c r="B37" s="147"/>
      <c r="C37" s="147"/>
      <c r="D37" s="147"/>
      <c r="E37" s="147"/>
      <c r="F37" s="147"/>
      <c r="G37" s="147"/>
      <c r="H37" s="147"/>
      <c r="I37" s="652"/>
      <c r="J37" s="207">
        <f>K37/$K$40</f>
        <v>0.2</v>
      </c>
      <c r="K37" s="689">
        <f>K40*20/100</f>
        <v>10.318000000000001</v>
      </c>
      <c r="L37" s="206"/>
      <c r="M37" s="607"/>
      <c r="N37" s="212" t="s">
        <v>307</v>
      </c>
      <c r="O37" s="608">
        <v>7.35</v>
      </c>
      <c r="P37" s="151"/>
      <c r="Q37" s="151">
        <f>K37*O37/10</f>
        <v>7.583730000000001</v>
      </c>
      <c r="R37" s="153"/>
      <c r="S37" s="93"/>
      <c r="T37" s="83">
        <f t="shared" si="1"/>
        <v>0</v>
      </c>
      <c r="U37" s="83">
        <f t="shared" si="0"/>
        <v>0</v>
      </c>
    </row>
    <row r="38" spans="1:21" ht="14.1" customHeight="1" x14ac:dyDescent="0.15">
      <c r="A38" s="146"/>
      <c r="B38" s="147"/>
      <c r="C38" s="147"/>
      <c r="D38" s="147"/>
      <c r="E38" s="147"/>
      <c r="F38" s="147"/>
      <c r="G38" s="147"/>
      <c r="H38" s="147"/>
      <c r="I38" s="652"/>
      <c r="J38" s="207">
        <f>K38/$K$40</f>
        <v>0.8</v>
      </c>
      <c r="K38" s="689">
        <f>K40-K37</f>
        <v>41.272000000000006</v>
      </c>
      <c r="L38" s="206"/>
      <c r="M38" s="607"/>
      <c r="N38" s="212" t="s">
        <v>308</v>
      </c>
      <c r="O38" s="212">
        <v>8.6</v>
      </c>
      <c r="P38" s="151"/>
      <c r="Q38" s="151">
        <f>K38*O38/10</f>
        <v>35.493920000000003</v>
      </c>
      <c r="R38" s="153"/>
      <c r="S38" s="93"/>
      <c r="T38" s="83">
        <f t="shared" si="1"/>
        <v>0</v>
      </c>
      <c r="U38" s="83">
        <f t="shared" si="0"/>
        <v>0</v>
      </c>
    </row>
    <row r="39" spans="1:21" ht="14.1" customHeight="1" x14ac:dyDescent="0.15">
      <c r="A39" s="146"/>
      <c r="B39" s="147"/>
      <c r="C39" s="147"/>
      <c r="D39" s="147"/>
      <c r="E39" s="147"/>
      <c r="F39" s="147"/>
      <c r="G39" s="147"/>
      <c r="H39" s="147"/>
      <c r="I39" s="652"/>
      <c r="J39" s="108"/>
      <c r="K39" s="689"/>
      <c r="L39" s="92"/>
      <c r="M39" s="610"/>
      <c r="N39" s="212"/>
      <c r="O39" s="606"/>
      <c r="P39" s="151"/>
      <c r="Q39" s="151"/>
      <c r="R39" s="153"/>
      <c r="S39" s="93"/>
      <c r="T39" s="83">
        <f t="shared" si="1"/>
        <v>0</v>
      </c>
      <c r="U39" s="83">
        <f t="shared" si="0"/>
        <v>0</v>
      </c>
    </row>
    <row r="40" spans="1:21" ht="14.1" customHeight="1" thickBot="1" x14ac:dyDescent="0.2">
      <c r="A40" s="146"/>
      <c r="B40" s="147"/>
      <c r="C40" s="147"/>
      <c r="D40" s="155" t="s">
        <v>49</v>
      </c>
      <c r="E40" s="155" t="s">
        <v>39</v>
      </c>
      <c r="F40" s="155"/>
      <c r="G40" s="155"/>
      <c r="H40" s="155">
        <f>SUM(H34:H35)</f>
        <v>47877</v>
      </c>
      <c r="I40" s="654">
        <v>10122</v>
      </c>
      <c r="J40" s="156">
        <f>J34+J36</f>
        <v>75055.034880000167</v>
      </c>
      <c r="K40" s="690">
        <v>51.59</v>
      </c>
      <c r="L40" s="157"/>
      <c r="M40" s="609"/>
      <c r="N40" s="609"/>
      <c r="O40" s="609"/>
      <c r="P40" s="159">
        <f>SUM(P34:P36)</f>
        <v>3.7698538752000301</v>
      </c>
      <c r="Q40" s="159">
        <f>SUM(Q37:Q39)</f>
        <v>43.077650000000006</v>
      </c>
      <c r="R40" s="160">
        <f>SUM(P40:Q40)</f>
        <v>46.847503875200033</v>
      </c>
      <c r="S40" s="94" t="e">
        <f>#REF!</f>
        <v>#REF!</v>
      </c>
      <c r="T40" s="83" t="e">
        <f t="shared" si="1"/>
        <v>#REF!</v>
      </c>
      <c r="U40" s="83" t="e">
        <f t="shared" si="0"/>
        <v>#REF!</v>
      </c>
    </row>
    <row r="41" spans="1:21" ht="14.1" customHeight="1" thickBot="1" x14ac:dyDescent="0.2">
      <c r="A41" s="137"/>
      <c r="B41" s="138"/>
      <c r="C41" s="138"/>
      <c r="D41" s="138"/>
      <c r="E41" s="138"/>
      <c r="F41" s="138"/>
      <c r="G41" s="138"/>
      <c r="H41" s="138"/>
      <c r="I41" s="650"/>
      <c r="J41" s="140"/>
      <c r="K41" s="687"/>
      <c r="L41" s="138"/>
      <c r="M41" s="604"/>
      <c r="N41" s="604"/>
      <c r="O41" s="604"/>
      <c r="P41" s="97"/>
      <c r="Q41" s="97"/>
      <c r="R41" s="139"/>
      <c r="S41" s="93"/>
      <c r="T41" s="83">
        <f t="shared" si="1"/>
        <v>0</v>
      </c>
      <c r="U41" s="83">
        <f t="shared" si="0"/>
        <v>0</v>
      </c>
    </row>
    <row r="42" spans="1:21" ht="43.5" customHeight="1" x14ac:dyDescent="0.15">
      <c r="A42" s="77">
        <v>6</v>
      </c>
      <c r="B42" s="78" t="s">
        <v>64</v>
      </c>
      <c r="C42" s="79" t="s">
        <v>65</v>
      </c>
      <c r="D42" s="78"/>
      <c r="E42" s="78" t="s">
        <v>39</v>
      </c>
      <c r="F42" s="78"/>
      <c r="G42" s="78"/>
      <c r="H42" s="78">
        <v>10345</v>
      </c>
      <c r="I42" s="215">
        <f>I48*65%</f>
        <v>1749.15</v>
      </c>
      <c r="J42" s="115">
        <f>I42*1.5</f>
        <v>2623.7250000000004</v>
      </c>
      <c r="K42" s="694"/>
      <c r="L42" s="640" t="s">
        <v>433</v>
      </c>
      <c r="M42" s="217">
        <v>110</v>
      </c>
      <c r="N42" s="216"/>
      <c r="O42" s="216"/>
      <c r="P42" s="81">
        <f>(I42*M43*12)/(10^7)</f>
        <v>0.28336230000000001</v>
      </c>
      <c r="Q42" s="81"/>
      <c r="R42" s="82"/>
      <c r="S42" s="93"/>
      <c r="T42" s="83">
        <f t="shared" si="1"/>
        <v>0</v>
      </c>
      <c r="U42" s="83">
        <f t="shared" si="0"/>
        <v>0</v>
      </c>
    </row>
    <row r="43" spans="1:21" ht="13.5" customHeight="1" thickBot="1" x14ac:dyDescent="0.2">
      <c r="A43" s="146"/>
      <c r="B43" s="147"/>
      <c r="C43" s="161" t="s">
        <v>53</v>
      </c>
      <c r="D43" s="147"/>
      <c r="K43" s="695"/>
      <c r="L43" s="150" t="s">
        <v>62</v>
      </c>
      <c r="M43" s="212">
        <v>135</v>
      </c>
      <c r="N43" s="606"/>
      <c r="O43" s="606"/>
      <c r="P43" s="151"/>
      <c r="Q43" s="151"/>
      <c r="R43" s="153"/>
      <c r="S43" s="93"/>
      <c r="T43" s="83">
        <f t="shared" si="1"/>
        <v>0</v>
      </c>
      <c r="U43" s="83">
        <f t="shared" si="0"/>
        <v>0</v>
      </c>
    </row>
    <row r="44" spans="1:21" ht="25.5" customHeight="1" x14ac:dyDescent="0.15">
      <c r="A44" s="146"/>
      <c r="B44" s="147"/>
      <c r="C44" s="161" t="s">
        <v>66</v>
      </c>
      <c r="D44" s="147"/>
      <c r="E44" s="147" t="s">
        <v>39</v>
      </c>
      <c r="F44" s="147"/>
      <c r="G44" s="147"/>
      <c r="H44" s="147">
        <v>357</v>
      </c>
      <c r="I44" s="651">
        <f>I48-I42</f>
        <v>941.84999999999991</v>
      </c>
      <c r="J44" s="115">
        <f>I44*4.5</f>
        <v>4238.3249999999998</v>
      </c>
      <c r="K44" s="695"/>
      <c r="L44" s="640" t="s">
        <v>444</v>
      </c>
      <c r="M44" s="212">
        <v>165</v>
      </c>
      <c r="N44" s="606"/>
      <c r="O44" s="606"/>
      <c r="P44" s="151">
        <f>(((I44*M42)+(J44-I44)*M43)*12)/10000000</f>
        <v>0.65835315000000005</v>
      </c>
      <c r="Q44" s="151"/>
      <c r="R44" s="153"/>
      <c r="S44" s="93"/>
      <c r="T44" s="83">
        <f t="shared" si="1"/>
        <v>0</v>
      </c>
      <c r="U44" s="83">
        <f t="shared" si="0"/>
        <v>0</v>
      </c>
    </row>
    <row r="45" spans="1:21" ht="13.5" customHeight="1" x14ac:dyDescent="0.15">
      <c r="A45" s="146"/>
      <c r="B45" s="147"/>
      <c r="C45" s="147"/>
      <c r="D45" s="147"/>
      <c r="E45" s="147"/>
      <c r="F45" s="147"/>
      <c r="G45" s="147"/>
      <c r="H45" s="147"/>
      <c r="I45" s="660"/>
      <c r="J45" s="207">
        <f>K45/$K$48</f>
        <v>0.15000000000000002</v>
      </c>
      <c r="K45" s="689">
        <f>K48*15/100</f>
        <v>1.1565000000000001</v>
      </c>
      <c r="L45" s="206"/>
      <c r="M45" s="607"/>
      <c r="N45" s="212" t="s">
        <v>307</v>
      </c>
      <c r="O45" s="608">
        <v>6.8</v>
      </c>
      <c r="P45" s="151"/>
      <c r="Q45" s="151">
        <f>K45*O45/10</f>
        <v>0.78642000000000001</v>
      </c>
      <c r="R45" s="153"/>
      <c r="S45" s="93"/>
      <c r="T45" s="83">
        <f t="shared" si="1"/>
        <v>0</v>
      </c>
      <c r="U45" s="83">
        <f t="shared" si="0"/>
        <v>0</v>
      </c>
    </row>
    <row r="46" spans="1:21" ht="14.1" customHeight="1" x14ac:dyDescent="0.15">
      <c r="A46" s="146"/>
      <c r="B46" s="147"/>
      <c r="C46" s="147"/>
      <c r="D46" s="147"/>
      <c r="E46" s="147"/>
      <c r="F46" s="147"/>
      <c r="G46" s="147"/>
      <c r="H46" s="147"/>
      <c r="I46" s="660"/>
      <c r="J46" s="207">
        <f>K46/$K$48</f>
        <v>0.85</v>
      </c>
      <c r="K46" s="689">
        <f>K48-K45</f>
        <v>6.5534999999999997</v>
      </c>
      <c r="L46" s="206"/>
      <c r="M46" s="607"/>
      <c r="N46" s="212" t="s">
        <v>308</v>
      </c>
      <c r="O46" s="212">
        <v>8.0500000000000007</v>
      </c>
      <c r="P46" s="151"/>
      <c r="Q46" s="151">
        <f>K46*O46/10</f>
        <v>5.2755675000000002</v>
      </c>
      <c r="R46" s="153"/>
      <c r="S46" s="93"/>
      <c r="T46" s="83">
        <f t="shared" si="1"/>
        <v>0</v>
      </c>
      <c r="U46" s="83">
        <f t="shared" si="0"/>
        <v>0</v>
      </c>
    </row>
    <row r="47" spans="1:21" ht="14.1" customHeight="1" x14ac:dyDescent="0.15">
      <c r="A47" s="146"/>
      <c r="B47" s="147"/>
      <c r="C47" s="147"/>
      <c r="D47" s="147"/>
      <c r="E47" s="147"/>
      <c r="F47" s="147"/>
      <c r="G47" s="147"/>
      <c r="H47" s="147"/>
      <c r="I47" s="660"/>
      <c r="J47" s="110"/>
      <c r="K47" s="689"/>
      <c r="L47" s="177"/>
      <c r="M47" s="610"/>
      <c r="N47" s="212"/>
      <c r="O47" s="606"/>
      <c r="P47" s="151"/>
      <c r="Q47" s="151"/>
      <c r="R47" s="153"/>
      <c r="S47" s="93"/>
      <c r="T47" s="83">
        <f t="shared" si="1"/>
        <v>0</v>
      </c>
      <c r="U47" s="83">
        <f t="shared" si="0"/>
        <v>0</v>
      </c>
    </row>
    <row r="48" spans="1:21" ht="14.1" customHeight="1" thickBot="1" x14ac:dyDescent="0.2">
      <c r="A48" s="146"/>
      <c r="B48" s="147"/>
      <c r="C48" s="147"/>
      <c r="D48" s="155" t="s">
        <v>49</v>
      </c>
      <c r="E48" s="155" t="s">
        <v>39</v>
      </c>
      <c r="F48" s="155"/>
      <c r="G48" s="155"/>
      <c r="H48" s="155">
        <f>SUM(H42:H44)</f>
        <v>10702</v>
      </c>
      <c r="I48" s="661">
        <v>2691</v>
      </c>
      <c r="J48" s="163">
        <f>J42+J44</f>
        <v>6862.05</v>
      </c>
      <c r="K48" s="696">
        <v>7.71</v>
      </c>
      <c r="L48" s="178"/>
      <c r="M48" s="609"/>
      <c r="N48" s="609"/>
      <c r="O48" s="609"/>
      <c r="P48" s="159">
        <f>SUM(P42:P44)</f>
        <v>0.94171545000000001</v>
      </c>
      <c r="Q48" s="159">
        <f>SUM(Q45:Q47)</f>
        <v>6.0619874999999999</v>
      </c>
      <c r="R48" s="160">
        <f>SUM(P48:Q48)</f>
        <v>7.0037029500000001</v>
      </c>
      <c r="S48" s="94" t="e">
        <f>#REF!</f>
        <v>#REF!</v>
      </c>
      <c r="T48" s="83" t="e">
        <f t="shared" si="1"/>
        <v>#REF!</v>
      </c>
      <c r="U48" s="83" t="e">
        <f t="shared" si="0"/>
        <v>#REF!</v>
      </c>
    </row>
    <row r="49" spans="1:21" ht="14.1" customHeight="1" thickBot="1" x14ac:dyDescent="0.2">
      <c r="A49" s="137"/>
      <c r="B49" s="138"/>
      <c r="C49" s="138"/>
      <c r="D49" s="138"/>
      <c r="E49" s="138"/>
      <c r="F49" s="138"/>
      <c r="G49" s="138"/>
      <c r="H49" s="138"/>
      <c r="I49" s="650"/>
      <c r="J49" s="140"/>
      <c r="K49" s="687"/>
      <c r="L49" s="78"/>
      <c r="M49" s="214"/>
      <c r="N49" s="214"/>
      <c r="O49" s="214"/>
      <c r="P49" s="97"/>
      <c r="Q49" s="97"/>
      <c r="R49" s="139"/>
      <c r="S49" s="93"/>
      <c r="T49" s="83">
        <f t="shared" si="1"/>
        <v>0</v>
      </c>
      <c r="U49" s="83">
        <f t="shared" si="0"/>
        <v>0</v>
      </c>
    </row>
    <row r="50" spans="1:21" ht="12.95" customHeight="1" x14ac:dyDescent="0.15">
      <c r="A50" s="168" t="s">
        <v>67</v>
      </c>
      <c r="B50" s="169"/>
      <c r="C50" s="169"/>
      <c r="D50" s="169"/>
      <c r="E50" s="169" t="s">
        <v>39</v>
      </c>
      <c r="F50" s="1156">
        <f>+[1]Sheet1!$P$13</f>
        <v>13558</v>
      </c>
      <c r="G50" s="1156">
        <f>+[1]Sheet1!$V$13</f>
        <v>13430</v>
      </c>
      <c r="H50" s="1156">
        <f>+[1]Sheet1!$V$13</f>
        <v>13430</v>
      </c>
      <c r="I50" s="658">
        <f>I40+I48</f>
        <v>12813</v>
      </c>
      <c r="J50" s="114">
        <f>J40+J48</f>
        <v>81917.08488000017</v>
      </c>
      <c r="K50" s="692">
        <f>K40+K48</f>
        <v>59.300000000000004</v>
      </c>
      <c r="L50" s="170"/>
      <c r="M50" s="611"/>
      <c r="N50" s="611"/>
      <c r="O50" s="611"/>
      <c r="P50" s="171">
        <f>SUM(P40,P48)</f>
        <v>4.7115693252000304</v>
      </c>
      <c r="Q50" s="171">
        <f>SUM(Q40,Q48)</f>
        <v>49.139637500000006</v>
      </c>
      <c r="R50" s="171">
        <f>SUM(R40,R48)</f>
        <v>53.85120682520003</v>
      </c>
      <c r="S50" s="94" t="e">
        <f>S48+S40</f>
        <v>#REF!</v>
      </c>
      <c r="T50" s="83" t="e">
        <f t="shared" si="1"/>
        <v>#REF!</v>
      </c>
      <c r="U50" s="83" t="e">
        <f t="shared" si="0"/>
        <v>#REF!</v>
      </c>
    </row>
    <row r="51" spans="1:21" ht="14.1" customHeight="1" thickBot="1" x14ac:dyDescent="0.2">
      <c r="A51" s="172"/>
      <c r="B51" s="173"/>
      <c r="C51" s="173"/>
      <c r="D51" s="173"/>
      <c r="E51" s="173"/>
      <c r="F51" s="173"/>
      <c r="G51" s="173"/>
      <c r="H51" s="173"/>
      <c r="I51" s="662"/>
      <c r="J51" s="179"/>
      <c r="K51" s="697"/>
      <c r="L51" s="180"/>
      <c r="M51" s="612"/>
      <c r="N51" s="612"/>
      <c r="O51" s="612"/>
      <c r="P51" s="176"/>
      <c r="Q51" s="176"/>
      <c r="R51" s="176"/>
      <c r="S51" s="94"/>
      <c r="T51" s="83">
        <f t="shared" si="1"/>
        <v>0</v>
      </c>
      <c r="U51" s="83">
        <f t="shared" si="0"/>
        <v>0</v>
      </c>
    </row>
    <row r="52" spans="1:21" ht="14.1" customHeight="1" thickBot="1" x14ac:dyDescent="0.2">
      <c r="A52" s="141" t="s">
        <v>68</v>
      </c>
      <c r="B52" s="142"/>
      <c r="C52" s="142"/>
      <c r="D52" s="142"/>
      <c r="E52" s="142" t="s">
        <v>39</v>
      </c>
      <c r="F52" s="142"/>
      <c r="G52" s="142"/>
      <c r="H52" s="142"/>
      <c r="I52" s="649">
        <f>SUM(I32,I50)</f>
        <v>9114334</v>
      </c>
      <c r="J52" s="113">
        <f>J32+J50</f>
        <v>17233044.901460003</v>
      </c>
      <c r="K52" s="686">
        <f>SUM(K32,K50)</f>
        <v>7689.02</v>
      </c>
      <c r="L52" s="143"/>
      <c r="M52" s="613"/>
      <c r="N52" s="613"/>
      <c r="O52" s="613"/>
      <c r="P52" s="143">
        <f>SUM(P32,P50)</f>
        <v>2205.9009618917999</v>
      </c>
      <c r="Q52" s="143">
        <f>SUM(Q32,Q50)</f>
        <v>4918.8467649285003</v>
      </c>
      <c r="R52" s="143">
        <f>SUM(R32,R50)</f>
        <v>7124.7477268203002</v>
      </c>
      <c r="S52" s="94" t="e">
        <f>S50+S32</f>
        <v>#REF!</v>
      </c>
      <c r="T52" s="83" t="e">
        <f t="shared" si="1"/>
        <v>#REF!</v>
      </c>
      <c r="U52" s="83" t="e">
        <f t="shared" si="0"/>
        <v>#REF!</v>
      </c>
    </row>
    <row r="53" spans="1:21" ht="14.1" customHeight="1" thickBot="1" x14ac:dyDescent="0.2">
      <c r="A53" s="181"/>
      <c r="B53" s="166"/>
      <c r="C53" s="166"/>
      <c r="D53" s="138"/>
      <c r="E53" s="138"/>
      <c r="F53" s="138"/>
      <c r="G53" s="138"/>
      <c r="H53" s="138"/>
      <c r="I53" s="650"/>
      <c r="J53" s="140"/>
      <c r="K53" s="687"/>
      <c r="L53" s="78"/>
      <c r="M53" s="214"/>
      <c r="N53" s="214"/>
      <c r="O53" s="214"/>
      <c r="P53" s="97"/>
      <c r="Q53" s="97"/>
      <c r="R53" s="139"/>
      <c r="S53" s="94"/>
      <c r="T53" s="83">
        <f t="shared" si="1"/>
        <v>0</v>
      </c>
      <c r="U53" s="83">
        <f t="shared" si="0"/>
        <v>0</v>
      </c>
    </row>
    <row r="54" spans="1:21" ht="28.5" customHeight="1" x14ac:dyDescent="0.15">
      <c r="A54" s="77">
        <v>7</v>
      </c>
      <c r="B54" s="78" t="s">
        <v>69</v>
      </c>
      <c r="C54" s="182" t="s">
        <v>70</v>
      </c>
      <c r="D54" s="355"/>
      <c r="E54" s="78" t="s">
        <v>39</v>
      </c>
      <c r="F54" s="78"/>
      <c r="G54" s="78"/>
      <c r="H54" s="78"/>
      <c r="I54" s="215">
        <f>I58*99.82%</f>
        <v>1095088.2866</v>
      </c>
      <c r="J54" s="115">
        <f>I54*2.38</f>
        <v>2606310.1221079999</v>
      </c>
      <c r="K54" s="694"/>
      <c r="L54" s="641" t="s">
        <v>455</v>
      </c>
      <c r="M54" s="217">
        <v>125</v>
      </c>
      <c r="N54" s="614"/>
      <c r="O54" s="216"/>
      <c r="P54" s="81">
        <f>(MAX(I54,J54)*$M$54*12)/(10^7)</f>
        <v>390.94651831619996</v>
      </c>
      <c r="Q54" s="81"/>
      <c r="R54" s="82"/>
      <c r="S54" s="93"/>
      <c r="T54" s="83">
        <f t="shared" si="1"/>
        <v>0</v>
      </c>
      <c r="U54" s="83">
        <f t="shared" ref="U54:U103" si="2">S54-R54</f>
        <v>0</v>
      </c>
    </row>
    <row r="55" spans="1:21" ht="29.25" customHeight="1" x14ac:dyDescent="0.15">
      <c r="A55" s="146"/>
      <c r="B55" s="147"/>
      <c r="C55" s="1527" t="s">
        <v>368</v>
      </c>
      <c r="D55" s="147"/>
      <c r="E55" s="147" t="s">
        <v>39</v>
      </c>
      <c r="F55" s="147"/>
      <c r="G55" s="147"/>
      <c r="H55" s="147"/>
      <c r="I55" s="651">
        <f>I58-I54</f>
        <v>1974.7134000000078</v>
      </c>
      <c r="J55" s="149">
        <f>I55*72</f>
        <v>142179.36480000056</v>
      </c>
      <c r="K55" s="695"/>
      <c r="L55" s="640" t="s">
        <v>445</v>
      </c>
      <c r="M55" s="608">
        <v>230</v>
      </c>
      <c r="N55" s="606"/>
      <c r="O55" s="606"/>
      <c r="P55" s="151">
        <f>(((I55*M54*50)+(J55-(I55*50))*M55)*12)/10000000</f>
        <v>26.800810264800106</v>
      </c>
      <c r="Q55" s="151"/>
      <c r="R55" s="153"/>
      <c r="S55" s="93"/>
      <c r="T55" s="83">
        <f t="shared" si="1"/>
        <v>0</v>
      </c>
      <c r="U55" s="83">
        <f t="shared" si="2"/>
        <v>0</v>
      </c>
    </row>
    <row r="56" spans="1:21" ht="14.1" customHeight="1" x14ac:dyDescent="0.15">
      <c r="A56" s="146"/>
      <c r="B56" s="147"/>
      <c r="C56" s="1528"/>
      <c r="D56" s="147"/>
      <c r="E56" s="147"/>
      <c r="F56" s="147"/>
      <c r="G56" s="147"/>
      <c r="H56" s="147"/>
      <c r="I56" s="660"/>
      <c r="J56" s="207">
        <f>K56/$K$58</f>
        <v>0.15</v>
      </c>
      <c r="K56" s="689">
        <f>K58*15/100</f>
        <v>321.84899999999999</v>
      </c>
      <c r="L56" s="206"/>
      <c r="M56" s="607"/>
      <c r="N56" s="212" t="s">
        <v>72</v>
      </c>
      <c r="O56" s="608">
        <v>8.4</v>
      </c>
      <c r="P56" s="151"/>
      <c r="Q56" s="151">
        <f>K56*O56/10</f>
        <v>270.35316</v>
      </c>
      <c r="R56" s="153"/>
      <c r="S56" s="93"/>
      <c r="T56" s="83">
        <f t="shared" si="1"/>
        <v>0</v>
      </c>
      <c r="U56" s="83">
        <f t="shared" si="2"/>
        <v>0</v>
      </c>
    </row>
    <row r="57" spans="1:21" ht="14.1" customHeight="1" x14ac:dyDescent="0.15">
      <c r="A57" s="146"/>
      <c r="B57" s="147"/>
      <c r="C57" s="147"/>
      <c r="D57" s="147"/>
      <c r="E57" s="147"/>
      <c r="F57" s="147"/>
      <c r="G57" s="147"/>
      <c r="H57" s="147"/>
      <c r="I57" s="660"/>
      <c r="J57" s="207">
        <f>K57/$K$58</f>
        <v>0.85</v>
      </c>
      <c r="K57" s="689">
        <f>K58-K56</f>
        <v>1823.8109999999999</v>
      </c>
      <c r="L57" s="206"/>
      <c r="M57" s="607"/>
      <c r="N57" s="212" t="s">
        <v>73</v>
      </c>
      <c r="O57" s="608">
        <v>9.4</v>
      </c>
      <c r="P57" s="151"/>
      <c r="Q57" s="151">
        <f>K57*O57/10</f>
        <v>1714.3823400000001</v>
      </c>
      <c r="R57" s="153"/>
      <c r="S57" s="93"/>
      <c r="T57" s="83">
        <f t="shared" si="1"/>
        <v>0</v>
      </c>
      <c r="U57" s="83">
        <f t="shared" si="2"/>
        <v>0</v>
      </c>
    </row>
    <row r="58" spans="1:21" ht="14.1" customHeight="1" thickBot="1" x14ac:dyDescent="0.2">
      <c r="A58" s="146"/>
      <c r="B58" s="147"/>
      <c r="C58" s="147"/>
      <c r="D58" s="155" t="s">
        <v>49</v>
      </c>
      <c r="E58" s="155" t="s">
        <v>39</v>
      </c>
      <c r="F58" s="155"/>
      <c r="G58" s="155"/>
      <c r="H58" s="155"/>
      <c r="I58" s="661">
        <v>1097063</v>
      </c>
      <c r="J58" s="163">
        <f>J54+J55</f>
        <v>2748489.4869080004</v>
      </c>
      <c r="K58" s="696">
        <v>2145.66</v>
      </c>
      <c r="L58" s="157"/>
      <c r="M58" s="609"/>
      <c r="N58" s="609"/>
      <c r="O58" s="609"/>
      <c r="P58" s="159">
        <f>SUM(P54:P55)</f>
        <v>417.74732858100003</v>
      </c>
      <c r="Q58" s="159">
        <f>SUM(Q56:Q57)</f>
        <v>1984.7355000000002</v>
      </c>
      <c r="R58" s="160">
        <f>SUM(P58:Q58)</f>
        <v>2402.4828285810004</v>
      </c>
      <c r="S58" s="95" t="e">
        <f>#REF!</f>
        <v>#REF!</v>
      </c>
      <c r="T58" s="83" t="e">
        <f t="shared" si="1"/>
        <v>#REF!</v>
      </c>
      <c r="U58" s="83" t="e">
        <f t="shared" si="2"/>
        <v>#REF!</v>
      </c>
    </row>
    <row r="59" spans="1:21" ht="12.95" customHeight="1" thickBot="1" x14ac:dyDescent="0.2">
      <c r="A59" s="137"/>
      <c r="B59" s="138"/>
      <c r="C59" s="138"/>
      <c r="D59" s="138"/>
      <c r="E59" s="138"/>
      <c r="F59" s="138"/>
      <c r="G59" s="138"/>
      <c r="H59" s="138"/>
      <c r="I59" s="650"/>
      <c r="J59" s="106"/>
      <c r="K59" s="687"/>
      <c r="L59" s="78"/>
      <c r="M59" s="214"/>
      <c r="N59" s="214"/>
      <c r="O59" s="214"/>
      <c r="P59" s="97"/>
      <c r="Q59" s="97"/>
      <c r="R59" s="139"/>
      <c r="S59" s="93"/>
      <c r="T59" s="83">
        <f t="shared" si="1"/>
        <v>0</v>
      </c>
      <c r="U59" s="83">
        <f t="shared" si="2"/>
        <v>0</v>
      </c>
    </row>
    <row r="60" spans="1:21" ht="37.5" customHeight="1" x14ac:dyDescent="0.15">
      <c r="A60" s="77">
        <v>9</v>
      </c>
      <c r="B60" s="78" t="s">
        <v>76</v>
      </c>
      <c r="C60" s="144" t="s">
        <v>77</v>
      </c>
      <c r="D60" s="355"/>
      <c r="E60" s="78" t="s">
        <v>39</v>
      </c>
      <c r="F60" s="78"/>
      <c r="G60" s="78"/>
      <c r="H60" s="78"/>
      <c r="I60" s="215">
        <f>I64*99.9%</f>
        <v>149449.40100000001</v>
      </c>
      <c r="J60" s="115">
        <f>I60*1.75</f>
        <v>261536.45175000001</v>
      </c>
      <c r="K60" s="688"/>
      <c r="L60" s="641" t="s">
        <v>455</v>
      </c>
      <c r="M60" s="217">
        <v>115</v>
      </c>
      <c r="N60" s="216"/>
      <c r="O60" s="216"/>
      <c r="P60" s="81">
        <f>(MAX(I60,J60)*$M$60*12)/(10^7)</f>
        <v>36.092030341499999</v>
      </c>
      <c r="Q60" s="81"/>
      <c r="R60" s="82"/>
      <c r="S60" s="93"/>
      <c r="T60" s="83">
        <f t="shared" si="1"/>
        <v>0</v>
      </c>
      <c r="U60" s="83">
        <f t="shared" ref="U60:U65" si="3">S60-R60</f>
        <v>0</v>
      </c>
    </row>
    <row r="61" spans="1:21" ht="31.5" customHeight="1" x14ac:dyDescent="0.15">
      <c r="A61" s="146"/>
      <c r="B61" s="147" t="s">
        <v>185</v>
      </c>
      <c r="C61" s="148" t="s">
        <v>78</v>
      </c>
      <c r="D61" s="147"/>
      <c r="E61" s="147" t="s">
        <v>39</v>
      </c>
      <c r="F61" s="147"/>
      <c r="G61" s="147"/>
      <c r="H61" s="147"/>
      <c r="I61" s="651">
        <f>I64-I60</f>
        <v>149.59899999998743</v>
      </c>
      <c r="J61" s="149">
        <f>I61*80.2</f>
        <v>11997.839799998992</v>
      </c>
      <c r="K61" s="653"/>
      <c r="L61" s="642" t="s">
        <v>444</v>
      </c>
      <c r="M61" s="608">
        <v>220</v>
      </c>
      <c r="N61" s="606"/>
      <c r="O61" s="606"/>
      <c r="P61" s="151">
        <f>(((I61*M60*50)+(J61-(I61*50))*M61)*12)/10000000</f>
        <v>2.2249560071998129</v>
      </c>
      <c r="Q61" s="151"/>
      <c r="R61" s="153"/>
      <c r="S61" s="93"/>
      <c r="T61" s="83">
        <f t="shared" si="1"/>
        <v>0</v>
      </c>
      <c r="U61" s="83">
        <f t="shared" si="3"/>
        <v>0</v>
      </c>
    </row>
    <row r="62" spans="1:21" ht="14.1" customHeight="1" x14ac:dyDescent="0.15">
      <c r="A62" s="146"/>
      <c r="B62" s="147"/>
      <c r="C62" s="148" t="s">
        <v>55</v>
      </c>
      <c r="D62" s="147"/>
      <c r="E62" s="147"/>
      <c r="F62" s="147"/>
      <c r="G62" s="147"/>
      <c r="H62" s="147"/>
      <c r="I62" s="652"/>
      <c r="J62" s="207">
        <v>0.32</v>
      </c>
      <c r="K62" s="689">
        <f>K64*25/100</f>
        <v>53.052500000000002</v>
      </c>
      <c r="L62" s="206"/>
      <c r="M62" s="607"/>
      <c r="N62" s="212" t="s">
        <v>72</v>
      </c>
      <c r="O62" s="212">
        <v>7.9</v>
      </c>
      <c r="P62" s="151"/>
      <c r="Q62" s="151">
        <f>K62*O62/10</f>
        <v>41.911475000000003</v>
      </c>
      <c r="R62" s="153"/>
      <c r="S62" s="93"/>
      <c r="T62" s="83">
        <f t="shared" si="1"/>
        <v>0</v>
      </c>
      <c r="U62" s="83">
        <f t="shared" si="3"/>
        <v>0</v>
      </c>
    </row>
    <row r="63" spans="1:21" ht="12.95" customHeight="1" x14ac:dyDescent="0.15">
      <c r="A63" s="146"/>
      <c r="B63" s="147"/>
      <c r="C63" s="147"/>
      <c r="D63" s="147"/>
      <c r="E63" s="147"/>
      <c r="F63" s="147"/>
      <c r="G63" s="147"/>
      <c r="H63" s="147"/>
      <c r="I63" s="652"/>
      <c r="J63" s="207">
        <v>0.68</v>
      </c>
      <c r="K63" s="689">
        <f>K64-K62</f>
        <v>159.1575</v>
      </c>
      <c r="L63" s="206"/>
      <c r="M63" s="607"/>
      <c r="N63" s="212" t="s">
        <v>73</v>
      </c>
      <c r="O63" s="212">
        <v>8.9</v>
      </c>
      <c r="P63" s="151"/>
      <c r="Q63" s="151">
        <f>K63*O63/10</f>
        <v>141.65017500000002</v>
      </c>
      <c r="R63" s="153"/>
      <c r="S63" s="93"/>
      <c r="T63" s="83">
        <f t="shared" si="1"/>
        <v>0</v>
      </c>
      <c r="U63" s="83">
        <f t="shared" si="3"/>
        <v>0</v>
      </c>
    </row>
    <row r="64" spans="1:21" ht="14.1" customHeight="1" thickBot="1" x14ac:dyDescent="0.2">
      <c r="A64" s="146"/>
      <c r="B64" s="147"/>
      <c r="C64" s="147"/>
      <c r="D64" s="155" t="s">
        <v>49</v>
      </c>
      <c r="E64" s="155" t="s">
        <v>39</v>
      </c>
      <c r="F64" s="155"/>
      <c r="G64" s="155"/>
      <c r="H64" s="155"/>
      <c r="I64" s="654">
        <v>149599</v>
      </c>
      <c r="J64" s="156">
        <f>J60+J61</f>
        <v>273534.29154999898</v>
      </c>
      <c r="K64" s="690">
        <v>212.21</v>
      </c>
      <c r="L64" s="157"/>
      <c r="M64" s="609"/>
      <c r="N64" s="609"/>
      <c r="O64" s="609"/>
      <c r="P64" s="159">
        <f>SUM(P60:P61)</f>
        <v>38.316986348699814</v>
      </c>
      <c r="Q64" s="159">
        <f>SUM(Q62:Q63)</f>
        <v>183.56165000000001</v>
      </c>
      <c r="R64" s="160">
        <f>SUM(P64:Q64)</f>
        <v>221.87863634869984</v>
      </c>
      <c r="S64" s="95" t="e">
        <f>#REF!</f>
        <v>#REF!</v>
      </c>
      <c r="T64" s="83" t="e">
        <f t="shared" si="1"/>
        <v>#REF!</v>
      </c>
      <c r="U64" s="83" t="e">
        <f t="shared" si="3"/>
        <v>#REF!</v>
      </c>
    </row>
    <row r="65" spans="1:21" ht="12.95" customHeight="1" thickBot="1" x14ac:dyDescent="0.2">
      <c r="A65" s="137"/>
      <c r="B65" s="138"/>
      <c r="C65" s="138"/>
      <c r="D65" s="138"/>
      <c r="E65" s="138"/>
      <c r="F65" s="138"/>
      <c r="G65" s="138"/>
      <c r="H65" s="138"/>
      <c r="I65" s="650"/>
      <c r="J65" s="106"/>
      <c r="K65" s="687"/>
      <c r="L65" s="78"/>
      <c r="M65" s="214"/>
      <c r="N65" s="214"/>
      <c r="O65" s="214"/>
      <c r="P65" s="97"/>
      <c r="Q65" s="97"/>
      <c r="R65" s="139"/>
      <c r="S65" s="93"/>
      <c r="T65" s="83">
        <f t="shared" ref="T65:T125" si="4">R65-S65</f>
        <v>0</v>
      </c>
      <c r="U65" s="83">
        <f t="shared" si="3"/>
        <v>0</v>
      </c>
    </row>
    <row r="66" spans="1:21" ht="14.1" customHeight="1" thickBot="1" x14ac:dyDescent="0.2">
      <c r="A66" s="141" t="s">
        <v>79</v>
      </c>
      <c r="B66" s="142"/>
      <c r="C66" s="142"/>
      <c r="D66" s="142"/>
      <c r="E66" s="142" t="s">
        <v>39</v>
      </c>
      <c r="F66" s="1156">
        <f>+[1]Sheet1!$P$14</f>
        <v>1320467</v>
      </c>
      <c r="G66" s="1156">
        <f>+[1]Sheet1!$V$14</f>
        <v>1297336</v>
      </c>
      <c r="H66" s="1156">
        <f>+[1]Sheet1!$V$14</f>
        <v>1297336</v>
      </c>
      <c r="I66" s="649">
        <f>I58+I64</f>
        <v>1246662</v>
      </c>
      <c r="J66" s="113">
        <f>J58+J64</f>
        <v>3022023.7784579992</v>
      </c>
      <c r="K66" s="686">
        <f>K58+K64</f>
        <v>2357.87</v>
      </c>
      <c r="L66" s="143"/>
      <c r="M66" s="613"/>
      <c r="N66" s="613"/>
      <c r="O66" s="613"/>
      <c r="P66" s="143">
        <f>SUM(P58,P64)</f>
        <v>456.06431492969983</v>
      </c>
      <c r="Q66" s="143">
        <f>SUM(Q58,Q64)</f>
        <v>2168.2971500000003</v>
      </c>
      <c r="R66" s="143">
        <f>SUM(R64,R58)</f>
        <v>2624.3614649297001</v>
      </c>
      <c r="S66" s="95" t="e">
        <f>#REF!+S58+S64</f>
        <v>#REF!</v>
      </c>
      <c r="T66" s="83" t="e">
        <f t="shared" si="4"/>
        <v>#REF!</v>
      </c>
      <c r="U66" s="83" t="e">
        <f t="shared" si="2"/>
        <v>#REF!</v>
      </c>
    </row>
    <row r="67" spans="1:21" ht="14.1" customHeight="1" thickBot="1" x14ac:dyDescent="0.2">
      <c r="A67" s="181"/>
      <c r="B67" s="166"/>
      <c r="C67" s="166"/>
      <c r="D67" s="138"/>
      <c r="E67" s="138"/>
      <c r="F67" s="138"/>
      <c r="G67" s="138"/>
      <c r="H67" s="138"/>
      <c r="I67" s="650"/>
      <c r="J67" s="106"/>
      <c r="K67" s="687"/>
      <c r="L67" s="78"/>
      <c r="M67" s="214"/>
      <c r="N67" s="214"/>
      <c r="O67" s="214"/>
      <c r="P67" s="97"/>
      <c r="Q67" s="97"/>
      <c r="R67" s="139"/>
      <c r="S67" s="93"/>
      <c r="T67" s="83">
        <f t="shared" si="4"/>
        <v>0</v>
      </c>
      <c r="U67" s="83">
        <f t="shared" si="2"/>
        <v>0</v>
      </c>
    </row>
    <row r="68" spans="1:21" ht="14.1" customHeight="1" x14ac:dyDescent="0.15">
      <c r="A68" s="77">
        <v>10</v>
      </c>
      <c r="B68" s="78" t="s">
        <v>430</v>
      </c>
      <c r="C68" s="78" t="s">
        <v>376</v>
      </c>
      <c r="D68" s="78"/>
      <c r="E68" s="78" t="s">
        <v>10</v>
      </c>
      <c r="F68" s="78"/>
      <c r="G68" s="78"/>
      <c r="H68" s="78"/>
      <c r="I68" s="215">
        <f>I70</f>
        <v>981853</v>
      </c>
      <c r="J68" s="115">
        <f>I68*6.12</f>
        <v>6008940.3600000003</v>
      </c>
      <c r="K68" s="688"/>
      <c r="L68" s="80" t="s">
        <v>82</v>
      </c>
      <c r="M68" s="217"/>
      <c r="N68" s="216"/>
      <c r="O68" s="216"/>
      <c r="P68" s="81">
        <f>J68*M68*12/(10^7)</f>
        <v>0</v>
      </c>
      <c r="Q68" s="81"/>
      <c r="R68" s="82"/>
      <c r="S68" s="93"/>
      <c r="T68" s="83">
        <f t="shared" si="4"/>
        <v>0</v>
      </c>
      <c r="U68" s="83">
        <f t="shared" si="2"/>
        <v>0</v>
      </c>
    </row>
    <row r="69" spans="1:21" ht="14.1" customHeight="1" x14ac:dyDescent="0.15">
      <c r="A69" s="146"/>
      <c r="B69" s="147"/>
      <c r="C69" s="147"/>
      <c r="D69" s="147"/>
      <c r="E69" s="147"/>
      <c r="F69" s="147"/>
      <c r="G69" s="147"/>
      <c r="H69" s="147"/>
      <c r="I69" s="652"/>
      <c r="J69" s="108"/>
      <c r="K69" s="689">
        <v>7147.62</v>
      </c>
      <c r="L69" s="152"/>
      <c r="M69" s="606"/>
      <c r="N69" s="212"/>
      <c r="O69" s="212">
        <v>4.55</v>
      </c>
      <c r="P69" s="151"/>
      <c r="Q69" s="151">
        <f>K69*O69/10</f>
        <v>3252.1670999999997</v>
      </c>
      <c r="R69" s="153"/>
      <c r="S69" s="93"/>
      <c r="T69" s="83">
        <f t="shared" si="4"/>
        <v>0</v>
      </c>
      <c r="U69" s="83">
        <f t="shared" si="2"/>
        <v>0</v>
      </c>
    </row>
    <row r="70" spans="1:21" ht="14.1" customHeight="1" thickBot="1" x14ac:dyDescent="0.2">
      <c r="A70" s="716"/>
      <c r="B70" s="147"/>
      <c r="C70" s="147"/>
      <c r="D70" s="155" t="s">
        <v>49</v>
      </c>
      <c r="E70" s="155" t="s">
        <v>10</v>
      </c>
      <c r="F70" s="155"/>
      <c r="G70" s="155"/>
      <c r="H70" s="155"/>
      <c r="I70" s="654">
        <v>981853</v>
      </c>
      <c r="J70" s="156">
        <f>J68</f>
        <v>6008940.3600000003</v>
      </c>
      <c r="K70" s="690">
        <f>K69</f>
        <v>7147.62</v>
      </c>
      <c r="L70" s="356"/>
      <c r="M70" s="615"/>
      <c r="N70" s="615"/>
      <c r="O70" s="615"/>
      <c r="P70" s="427">
        <f>P68</f>
        <v>0</v>
      </c>
      <c r="Q70" s="427">
        <f>Q69</f>
        <v>3252.1670999999997</v>
      </c>
      <c r="R70" s="358">
        <f>SUM(P70:Q70)</f>
        <v>3252.1670999999997</v>
      </c>
      <c r="S70" s="95" t="e">
        <f>#REF!</f>
        <v>#REF!</v>
      </c>
      <c r="T70" s="83" t="e">
        <f t="shared" si="4"/>
        <v>#REF!</v>
      </c>
      <c r="U70" s="83" t="e">
        <f t="shared" si="2"/>
        <v>#REF!</v>
      </c>
    </row>
    <row r="71" spans="1:21" ht="14.1" customHeight="1" thickBot="1" x14ac:dyDescent="0.2">
      <c r="A71" s="168" t="s">
        <v>84</v>
      </c>
      <c r="B71" s="428"/>
      <c r="C71" s="429"/>
      <c r="D71" s="429"/>
      <c r="E71" s="429" t="s">
        <v>39</v>
      </c>
      <c r="F71" s="1156">
        <f>+[1]Sheet1!$P$15</f>
        <v>1043427</v>
      </c>
      <c r="G71" s="1156">
        <f>+[1]Sheet1!$V$15</f>
        <v>1028907</v>
      </c>
      <c r="H71" s="1156">
        <f>+[1]Sheet1!$V$15</f>
        <v>1028907</v>
      </c>
      <c r="I71" s="663">
        <f>I70</f>
        <v>981853</v>
      </c>
      <c r="J71" s="430">
        <f>J70</f>
        <v>6008940.3600000003</v>
      </c>
      <c r="K71" s="698">
        <f>K70</f>
        <v>7147.62</v>
      </c>
      <c r="L71" s="431"/>
      <c r="M71" s="616"/>
      <c r="N71" s="616"/>
      <c r="O71" s="616"/>
      <c r="P71" s="431">
        <f>P70</f>
        <v>0</v>
      </c>
      <c r="Q71" s="431">
        <f>Q70</f>
        <v>3252.1670999999997</v>
      </c>
      <c r="R71" s="432">
        <f>R70</f>
        <v>3252.1670999999997</v>
      </c>
      <c r="S71" s="426" t="e">
        <f>S70+#REF!</f>
        <v>#REF!</v>
      </c>
      <c r="T71" s="83" t="e">
        <f t="shared" si="4"/>
        <v>#REF!</v>
      </c>
      <c r="U71" s="83" t="e">
        <f t="shared" si="2"/>
        <v>#REF!</v>
      </c>
    </row>
    <row r="72" spans="1:21" ht="14.1" customHeight="1" thickBot="1" x14ac:dyDescent="0.2">
      <c r="A72" s="172"/>
      <c r="B72" s="173"/>
      <c r="C72" s="173"/>
      <c r="D72" s="174"/>
      <c r="E72" s="174"/>
      <c r="F72" s="174"/>
      <c r="G72" s="174"/>
      <c r="H72" s="174"/>
      <c r="I72" s="659"/>
      <c r="J72" s="112"/>
      <c r="K72" s="693"/>
      <c r="L72" s="174"/>
      <c r="M72" s="603"/>
      <c r="N72" s="603"/>
      <c r="O72" s="603"/>
      <c r="P72" s="96"/>
      <c r="Q72" s="96"/>
      <c r="R72" s="176"/>
      <c r="S72" s="93"/>
      <c r="T72" s="83">
        <f t="shared" si="4"/>
        <v>0</v>
      </c>
      <c r="U72" s="83">
        <f t="shared" si="2"/>
        <v>0</v>
      </c>
    </row>
    <row r="73" spans="1:21" s="221" customFormat="1" ht="14.1" customHeight="1" x14ac:dyDescent="0.15">
      <c r="A73" s="213">
        <v>12</v>
      </c>
      <c r="B73" s="214" t="s">
        <v>8</v>
      </c>
      <c r="C73" s="214" t="s">
        <v>85</v>
      </c>
      <c r="D73" s="214"/>
      <c r="E73" s="214" t="s">
        <v>10</v>
      </c>
      <c r="F73" s="1156">
        <f>+[1]Sheet1!$P$16</f>
        <v>670</v>
      </c>
      <c r="G73" s="1156">
        <f>+[1]Sheet1!$V$16</f>
        <v>650</v>
      </c>
      <c r="H73" s="1156">
        <f>+[1]Sheet1!$V$16</f>
        <v>650</v>
      </c>
      <c r="I73" s="215">
        <f>I75</f>
        <v>240</v>
      </c>
      <c r="J73" s="215">
        <f>I73*16.1</f>
        <v>3864.0000000000005</v>
      </c>
      <c r="K73" s="688"/>
      <c r="L73" s="216" t="s">
        <v>82</v>
      </c>
      <c r="M73" s="217">
        <v>110</v>
      </c>
      <c r="N73" s="216"/>
      <c r="O73" s="216"/>
      <c r="P73" s="217">
        <f>(J73*M73*12)/(10^7)</f>
        <v>0.51004800000000006</v>
      </c>
      <c r="Q73" s="217"/>
      <c r="R73" s="218"/>
      <c r="S73" s="219"/>
      <c r="T73" s="220">
        <f t="shared" si="4"/>
        <v>0</v>
      </c>
      <c r="U73" s="220">
        <f t="shared" si="2"/>
        <v>0</v>
      </c>
    </row>
    <row r="74" spans="1:21" ht="14.1" customHeight="1" x14ac:dyDescent="0.15">
      <c r="A74" s="146"/>
      <c r="B74" s="147"/>
      <c r="C74" s="147"/>
      <c r="D74" s="147"/>
      <c r="E74" s="147"/>
      <c r="F74" s="147"/>
      <c r="G74" s="147"/>
      <c r="H74" s="147"/>
      <c r="I74" s="664"/>
      <c r="J74" s="108"/>
      <c r="K74" s="689">
        <v>1.87</v>
      </c>
      <c r="L74" s="152"/>
      <c r="M74" s="606"/>
      <c r="N74" s="212"/>
      <c r="O74" s="212">
        <v>3.9</v>
      </c>
      <c r="P74" s="151"/>
      <c r="Q74" s="151">
        <f>K74*O74/10</f>
        <v>0.72930000000000006</v>
      </c>
      <c r="R74" s="153"/>
      <c r="S74" s="93"/>
      <c r="T74" s="83">
        <f t="shared" si="4"/>
        <v>0</v>
      </c>
      <c r="U74" s="83">
        <f t="shared" si="2"/>
        <v>0</v>
      </c>
    </row>
    <row r="75" spans="1:21" ht="14.1" customHeight="1" thickBot="1" x14ac:dyDescent="0.2">
      <c r="A75" s="146"/>
      <c r="B75" s="147"/>
      <c r="C75" s="147"/>
      <c r="D75" s="155" t="s">
        <v>49</v>
      </c>
      <c r="E75" s="155" t="s">
        <v>10</v>
      </c>
      <c r="F75" s="155"/>
      <c r="G75" s="155"/>
      <c r="H75" s="155"/>
      <c r="I75" s="654">
        <v>240</v>
      </c>
      <c r="J75" s="156">
        <f>J73</f>
        <v>3864.0000000000005</v>
      </c>
      <c r="K75" s="690">
        <f>SUM(K74)</f>
        <v>1.87</v>
      </c>
      <c r="L75" s="158"/>
      <c r="M75" s="609"/>
      <c r="N75" s="609"/>
      <c r="O75" s="609"/>
      <c r="P75" s="159">
        <f>P73</f>
        <v>0.51004800000000006</v>
      </c>
      <c r="Q75" s="159">
        <f>Q74</f>
        <v>0.72930000000000006</v>
      </c>
      <c r="R75" s="160">
        <f>SUM(P75:Q75)</f>
        <v>1.2393480000000001</v>
      </c>
      <c r="S75" s="94" t="e">
        <f>#REF!</f>
        <v>#REF!</v>
      </c>
      <c r="T75" s="83" t="e">
        <f t="shared" si="4"/>
        <v>#REF!</v>
      </c>
      <c r="U75" s="83" t="e">
        <f t="shared" si="2"/>
        <v>#REF!</v>
      </c>
    </row>
    <row r="76" spans="1:21" ht="14.1" customHeight="1" x14ac:dyDescent="0.15">
      <c r="A76" s="137"/>
      <c r="B76" s="138"/>
      <c r="C76" s="138"/>
      <c r="D76" s="166"/>
      <c r="E76" s="138"/>
      <c r="F76" s="138"/>
      <c r="G76" s="138"/>
      <c r="H76" s="138"/>
      <c r="I76" s="657"/>
      <c r="J76" s="111"/>
      <c r="K76" s="691"/>
      <c r="L76" s="78"/>
      <c r="M76" s="214"/>
      <c r="N76" s="214"/>
      <c r="O76" s="214"/>
      <c r="P76" s="139"/>
      <c r="Q76" s="139"/>
      <c r="R76" s="139"/>
      <c r="S76" s="93"/>
      <c r="T76" s="83">
        <f t="shared" si="4"/>
        <v>0</v>
      </c>
      <c r="U76" s="83">
        <f t="shared" si="2"/>
        <v>0</v>
      </c>
    </row>
    <row r="77" spans="1:21" ht="14.1" customHeight="1" x14ac:dyDescent="0.15">
      <c r="A77" s="168" t="s">
        <v>86</v>
      </c>
      <c r="B77" s="169"/>
      <c r="C77" s="169"/>
      <c r="D77" s="169"/>
      <c r="E77" s="169" t="s">
        <v>39</v>
      </c>
      <c r="F77" s="169"/>
      <c r="G77" s="169"/>
      <c r="H77" s="169"/>
      <c r="I77" s="658">
        <f>I75</f>
        <v>240</v>
      </c>
      <c r="J77" s="114">
        <f>J75</f>
        <v>3864.0000000000005</v>
      </c>
      <c r="K77" s="692">
        <f>K75</f>
        <v>1.87</v>
      </c>
      <c r="L77" s="171"/>
      <c r="M77" s="617"/>
      <c r="N77" s="617"/>
      <c r="O77" s="617"/>
      <c r="P77" s="171">
        <f>P75</f>
        <v>0.51004800000000006</v>
      </c>
      <c r="Q77" s="171">
        <f>Q75</f>
        <v>0.72930000000000006</v>
      </c>
      <c r="R77" s="171">
        <f>R75</f>
        <v>1.2393480000000001</v>
      </c>
      <c r="S77" s="96" t="e">
        <f>S75</f>
        <v>#REF!</v>
      </c>
      <c r="T77" s="83" t="e">
        <f t="shared" si="4"/>
        <v>#REF!</v>
      </c>
      <c r="U77" s="83" t="e">
        <f t="shared" si="2"/>
        <v>#REF!</v>
      </c>
    </row>
    <row r="78" spans="1:21" ht="14.1" customHeight="1" thickBot="1" x14ac:dyDescent="0.2">
      <c r="A78" s="172"/>
      <c r="B78" s="173"/>
      <c r="C78" s="173"/>
      <c r="D78" s="173"/>
      <c r="E78" s="173"/>
      <c r="F78" s="173"/>
      <c r="G78" s="173"/>
      <c r="H78" s="173"/>
      <c r="I78" s="662"/>
      <c r="J78" s="179"/>
      <c r="K78" s="697"/>
      <c r="L78" s="180"/>
      <c r="M78" s="612"/>
      <c r="N78" s="612"/>
      <c r="O78" s="612"/>
      <c r="P78" s="176"/>
      <c r="Q78" s="176"/>
      <c r="R78" s="176"/>
      <c r="S78" s="93"/>
      <c r="T78" s="83">
        <f t="shared" si="4"/>
        <v>0</v>
      </c>
      <c r="U78" s="83">
        <f t="shared" si="2"/>
        <v>0</v>
      </c>
    </row>
    <row r="79" spans="1:21" ht="14.1" customHeight="1" x14ac:dyDescent="0.15">
      <c r="A79" s="77">
        <v>13</v>
      </c>
      <c r="B79" s="78" t="s">
        <v>434</v>
      </c>
      <c r="C79" s="78" t="s">
        <v>88</v>
      </c>
      <c r="D79" s="78"/>
      <c r="E79" s="78" t="s">
        <v>10</v>
      </c>
      <c r="F79" s="78"/>
      <c r="G79" s="78"/>
      <c r="H79" s="78"/>
      <c r="I79" s="215">
        <f>I81</f>
        <v>1964</v>
      </c>
      <c r="J79" s="115">
        <f>I79*8.5</f>
        <v>16694</v>
      </c>
      <c r="K79" s="688"/>
      <c r="L79" s="80" t="s">
        <v>82</v>
      </c>
      <c r="M79" s="217">
        <v>100</v>
      </c>
      <c r="N79" s="216"/>
      <c r="O79" s="216"/>
      <c r="P79" s="81">
        <f>(J79*M79*12)/(10^7)</f>
        <v>2.0032800000000002</v>
      </c>
      <c r="Q79" s="81"/>
      <c r="R79" s="82"/>
      <c r="S79" s="93"/>
      <c r="T79" s="83">
        <f t="shared" si="4"/>
        <v>0</v>
      </c>
      <c r="U79" s="83">
        <f t="shared" si="2"/>
        <v>0</v>
      </c>
    </row>
    <row r="80" spans="1:21" ht="14.1" customHeight="1" thickBot="1" x14ac:dyDescent="0.2">
      <c r="A80" s="146"/>
      <c r="B80" s="147"/>
      <c r="C80" s="147" t="s">
        <v>184</v>
      </c>
      <c r="D80" s="147"/>
      <c r="E80" s="147"/>
      <c r="F80" s="147"/>
      <c r="G80" s="147"/>
      <c r="H80" s="147"/>
      <c r="I80" s="652"/>
      <c r="J80" s="154"/>
      <c r="K80" s="689">
        <v>6.06</v>
      </c>
      <c r="L80" s="152"/>
      <c r="M80" s="606"/>
      <c r="N80" s="212"/>
      <c r="O80" s="212">
        <v>3.9</v>
      </c>
      <c r="P80" s="151"/>
      <c r="Q80" s="212">
        <f>K80*O80/10</f>
        <v>2.3633999999999995</v>
      </c>
      <c r="R80" s="153"/>
      <c r="S80" s="93"/>
      <c r="T80" s="83">
        <f t="shared" si="4"/>
        <v>0</v>
      </c>
      <c r="U80" s="83">
        <f t="shared" si="2"/>
        <v>0</v>
      </c>
    </row>
    <row r="81" spans="1:21" ht="14.1" customHeight="1" thickBot="1" x14ac:dyDescent="0.2">
      <c r="A81" s="146"/>
      <c r="B81" s="147"/>
      <c r="C81" s="147" t="s">
        <v>183</v>
      </c>
      <c r="D81" s="155" t="s">
        <v>49</v>
      </c>
      <c r="E81" s="155" t="s">
        <v>10</v>
      </c>
      <c r="F81" s="1156">
        <f>+[1]Sheet1!$P$17</f>
        <v>2199</v>
      </c>
      <c r="G81" s="1156">
        <f>+[1]Sheet1!$V$17</f>
        <v>2139</v>
      </c>
      <c r="H81" s="1156">
        <f>+[1]Sheet1!$V$17</f>
        <v>2139</v>
      </c>
      <c r="I81" s="654">
        <v>1964</v>
      </c>
      <c r="J81" s="156">
        <f>J79</f>
        <v>16694</v>
      </c>
      <c r="K81" s="690">
        <f>SUM(K80)</f>
        <v>6.06</v>
      </c>
      <c r="L81" s="158"/>
      <c r="M81" s="609"/>
      <c r="N81" s="609"/>
      <c r="O81" s="609"/>
      <c r="P81" s="159">
        <f>P79</f>
        <v>2.0032800000000002</v>
      </c>
      <c r="Q81" s="159">
        <f>Q80</f>
        <v>2.3633999999999995</v>
      </c>
      <c r="R81" s="160">
        <f>SUM(P81:Q81)</f>
        <v>4.3666799999999997</v>
      </c>
      <c r="S81" s="94" t="e">
        <f>#REF!</f>
        <v>#REF!</v>
      </c>
      <c r="T81" s="83" t="e">
        <f t="shared" si="4"/>
        <v>#REF!</v>
      </c>
      <c r="U81" s="83" t="e">
        <f t="shared" si="2"/>
        <v>#REF!</v>
      </c>
    </row>
    <row r="82" spans="1:21" ht="14.1" customHeight="1" thickBot="1" x14ac:dyDescent="0.2">
      <c r="A82" s="137"/>
      <c r="B82" s="138"/>
      <c r="C82" s="138"/>
      <c r="D82" s="138"/>
      <c r="E82" s="138"/>
      <c r="F82" s="138"/>
      <c r="G82" s="138"/>
      <c r="H82" s="138"/>
      <c r="I82" s="650"/>
      <c r="J82" s="106"/>
      <c r="K82" s="687"/>
      <c r="L82" s="78"/>
      <c r="M82" s="214"/>
      <c r="N82" s="214"/>
      <c r="O82" s="214"/>
      <c r="P82" s="97"/>
      <c r="Q82" s="97"/>
      <c r="R82" s="139"/>
      <c r="S82" s="93"/>
      <c r="T82" s="83">
        <f t="shared" si="4"/>
        <v>0</v>
      </c>
      <c r="U82" s="83">
        <f t="shared" si="2"/>
        <v>0</v>
      </c>
    </row>
    <row r="83" spans="1:21" ht="14.1" customHeight="1" x14ac:dyDescent="0.15">
      <c r="A83" s="137"/>
      <c r="B83" s="138"/>
      <c r="C83" s="138"/>
      <c r="D83" s="138"/>
      <c r="E83" s="138"/>
      <c r="F83" s="138"/>
      <c r="G83" s="138"/>
      <c r="H83" s="138"/>
      <c r="I83" s="650"/>
      <c r="J83" s="106"/>
      <c r="K83" s="687"/>
      <c r="L83" s="78"/>
      <c r="M83" s="214"/>
      <c r="N83" s="214"/>
      <c r="O83" s="214"/>
      <c r="P83" s="97"/>
      <c r="Q83" s="97"/>
      <c r="R83" s="139"/>
      <c r="S83" s="93"/>
      <c r="T83" s="83">
        <f t="shared" si="4"/>
        <v>0</v>
      </c>
      <c r="U83" s="83">
        <f>S83-R83</f>
        <v>0</v>
      </c>
    </row>
    <row r="84" spans="1:21" ht="14.1" customHeight="1" x14ac:dyDescent="0.15">
      <c r="A84" s="168" t="s">
        <v>89</v>
      </c>
      <c r="B84" s="169"/>
      <c r="C84" s="169"/>
      <c r="D84" s="169"/>
      <c r="E84" s="169" t="s">
        <v>39</v>
      </c>
      <c r="F84" s="169"/>
      <c r="G84" s="169"/>
      <c r="H84" s="169"/>
      <c r="I84" s="658">
        <v>1964</v>
      </c>
      <c r="J84" s="114">
        <f>J81</f>
        <v>16694</v>
      </c>
      <c r="K84" s="865">
        <f>K81</f>
        <v>6.06</v>
      </c>
      <c r="L84" s="171"/>
      <c r="M84" s="617"/>
      <c r="N84" s="617"/>
      <c r="O84" s="617"/>
      <c r="P84" s="171">
        <f>P81</f>
        <v>2.0032800000000002</v>
      </c>
      <c r="Q84" s="171">
        <f>Q81</f>
        <v>2.3633999999999995</v>
      </c>
      <c r="R84" s="171">
        <f>R81</f>
        <v>4.3666799999999997</v>
      </c>
      <c r="S84" s="96" t="e">
        <f>S81</f>
        <v>#REF!</v>
      </c>
      <c r="T84" s="83" t="e">
        <f t="shared" si="4"/>
        <v>#REF!</v>
      </c>
      <c r="U84" s="83" t="e">
        <f t="shared" si="2"/>
        <v>#REF!</v>
      </c>
    </row>
    <row r="85" spans="1:21" ht="14.1" customHeight="1" thickBot="1" x14ac:dyDescent="0.2">
      <c r="A85" s="172"/>
      <c r="B85" s="173"/>
      <c r="C85" s="173"/>
      <c r="D85" s="173"/>
      <c r="E85" s="173"/>
      <c r="F85" s="173"/>
      <c r="G85" s="173"/>
      <c r="H85" s="173"/>
      <c r="I85" s="662"/>
      <c r="J85" s="179"/>
      <c r="K85" s="697"/>
      <c r="L85" s="180"/>
      <c r="M85" s="612"/>
      <c r="N85" s="612"/>
      <c r="O85" s="612"/>
      <c r="P85" s="176"/>
      <c r="Q85" s="176"/>
      <c r="R85" s="176"/>
      <c r="S85" s="93"/>
      <c r="T85" s="83">
        <f t="shared" si="4"/>
        <v>0</v>
      </c>
      <c r="U85" s="83">
        <f t="shared" si="2"/>
        <v>0</v>
      </c>
    </row>
    <row r="86" spans="1:21" ht="14.1" customHeight="1" thickBot="1" x14ac:dyDescent="0.2">
      <c r="A86" s="141" t="s">
        <v>90</v>
      </c>
      <c r="B86" s="142"/>
      <c r="C86" s="142"/>
      <c r="D86" s="142"/>
      <c r="E86" s="142" t="s">
        <v>39</v>
      </c>
      <c r="F86" s="142"/>
      <c r="G86" s="142"/>
      <c r="H86" s="142"/>
      <c r="I86" s="649">
        <f>SUM(I71,I77,I84)</f>
        <v>984057</v>
      </c>
      <c r="J86" s="113">
        <f>J84+J77+J71</f>
        <v>6029498.3600000003</v>
      </c>
      <c r="K86" s="686">
        <f>SUM(K71,K77,K84)</f>
        <v>7155.55</v>
      </c>
      <c r="L86" s="143"/>
      <c r="M86" s="613"/>
      <c r="N86" s="613"/>
      <c r="O86" s="613"/>
      <c r="P86" s="143">
        <f>SUM(P71,P77,P84)</f>
        <v>2.5133280000000005</v>
      </c>
      <c r="Q86" s="143">
        <f>SUM(Q71,Q77,Q84)</f>
        <v>3255.2597999999998</v>
      </c>
      <c r="R86" s="143">
        <f>SUM(R71,R77,R84)</f>
        <v>3257.7731279999998</v>
      </c>
      <c r="S86" s="97" t="e">
        <f>SUM(S71,S77,S84)</f>
        <v>#REF!</v>
      </c>
      <c r="T86" s="83" t="e">
        <f t="shared" si="4"/>
        <v>#REF!</v>
      </c>
      <c r="U86" s="83" t="e">
        <f t="shared" si="2"/>
        <v>#REF!</v>
      </c>
    </row>
    <row r="87" spans="1:21" ht="14.1" customHeight="1" thickBot="1" x14ac:dyDescent="0.2">
      <c r="A87" s="181"/>
      <c r="B87" s="166"/>
      <c r="C87" s="166"/>
      <c r="D87" s="166"/>
      <c r="E87" s="166"/>
      <c r="F87" s="166"/>
      <c r="G87" s="166"/>
      <c r="H87" s="166"/>
      <c r="I87" s="657"/>
      <c r="J87" s="111"/>
      <c r="K87" s="691"/>
      <c r="L87" s="138"/>
      <c r="M87" s="604"/>
      <c r="N87" s="214"/>
      <c r="O87" s="214"/>
      <c r="P87" s="139"/>
      <c r="Q87" s="139"/>
      <c r="R87" s="139"/>
      <c r="S87" s="93"/>
      <c r="T87" s="83">
        <f t="shared" si="4"/>
        <v>0</v>
      </c>
      <c r="U87" s="83">
        <f t="shared" si="2"/>
        <v>0</v>
      </c>
    </row>
    <row r="88" spans="1:21" ht="14.1" customHeight="1" x14ac:dyDescent="0.15">
      <c r="A88" s="77">
        <v>15</v>
      </c>
      <c r="B88" s="78" t="s">
        <v>9</v>
      </c>
      <c r="C88" s="355" t="s">
        <v>91</v>
      </c>
      <c r="D88" s="78" t="s">
        <v>92</v>
      </c>
      <c r="E88" s="540" t="s">
        <v>10</v>
      </c>
      <c r="F88" s="540"/>
      <c r="G88" s="540"/>
      <c r="H88" s="540"/>
      <c r="I88" s="215">
        <f>I96*0.2575</f>
        <v>30614.432499999999</v>
      </c>
      <c r="J88" s="541">
        <f>I88*4</f>
        <v>122457.73</v>
      </c>
      <c r="K88" s="216"/>
      <c r="L88" s="80" t="s">
        <v>82</v>
      </c>
      <c r="M88" s="217">
        <v>90</v>
      </c>
      <c r="N88" s="217"/>
      <c r="O88" s="217"/>
      <c r="P88" s="81">
        <f>(MAX(I88,J88)*M88*12)/(10^7)</f>
        <v>13.225434839999998</v>
      </c>
      <c r="Q88" s="81"/>
      <c r="R88" s="82"/>
      <c r="S88" s="93"/>
      <c r="T88" s="83">
        <f t="shared" si="4"/>
        <v>0</v>
      </c>
      <c r="U88" s="83">
        <f t="shared" si="2"/>
        <v>0</v>
      </c>
    </row>
    <row r="89" spans="1:21" ht="14.1" customHeight="1" x14ac:dyDescent="0.15">
      <c r="A89" s="146"/>
      <c r="B89" s="147"/>
      <c r="C89" s="1529" t="s">
        <v>369</v>
      </c>
      <c r="D89" s="147" t="s">
        <v>94</v>
      </c>
      <c r="E89" s="542" t="s">
        <v>10</v>
      </c>
      <c r="F89" s="542"/>
      <c r="G89" s="542"/>
      <c r="H89" s="542"/>
      <c r="I89" s="651">
        <f>I96*0.604</f>
        <v>71810.164000000004</v>
      </c>
      <c r="J89" s="543">
        <f>I89*17.5</f>
        <v>1256677.8700000001</v>
      </c>
      <c r="K89" s="606"/>
      <c r="L89" s="150" t="s">
        <v>82</v>
      </c>
      <c r="M89" s="212">
        <v>100</v>
      </c>
      <c r="N89" s="606"/>
      <c r="O89" s="606"/>
      <c r="P89" s="151">
        <f>J89*M89*12/(10^7)</f>
        <v>150.80134440000003</v>
      </c>
      <c r="Q89" s="151"/>
      <c r="R89" s="153"/>
      <c r="S89" s="93"/>
      <c r="T89" s="83">
        <f t="shared" si="4"/>
        <v>0</v>
      </c>
      <c r="U89" s="83">
        <f t="shared" si="2"/>
        <v>0</v>
      </c>
    </row>
    <row r="90" spans="1:21" ht="14.1" customHeight="1" x14ac:dyDescent="0.15">
      <c r="A90" s="146"/>
      <c r="B90" s="147"/>
      <c r="C90" s="1530"/>
      <c r="D90" s="147" t="s">
        <v>95</v>
      </c>
      <c r="E90" s="542" t="s">
        <v>10</v>
      </c>
      <c r="F90" s="542"/>
      <c r="G90" s="542"/>
      <c r="H90" s="542"/>
      <c r="I90" s="651">
        <f>I96*0.1295</f>
        <v>15396.3845</v>
      </c>
      <c r="J90" s="543">
        <f>I90*56</f>
        <v>862197.53200000001</v>
      </c>
      <c r="K90" s="606"/>
      <c r="L90" s="150" t="s">
        <v>82</v>
      </c>
      <c r="M90" s="212">
        <v>125</v>
      </c>
      <c r="N90" s="606"/>
      <c r="O90" s="606"/>
      <c r="P90" s="151">
        <f>J90*M90*12/(10^7)</f>
        <v>129.32962979999999</v>
      </c>
      <c r="Q90" s="151"/>
      <c r="R90" s="153"/>
      <c r="S90" s="93"/>
      <c r="T90" s="83">
        <f t="shared" si="4"/>
        <v>0</v>
      </c>
      <c r="U90" s="83">
        <f t="shared" si="2"/>
        <v>0</v>
      </c>
    </row>
    <row r="91" spans="1:21" ht="14.1" customHeight="1" x14ac:dyDescent="0.15">
      <c r="A91" s="146"/>
      <c r="B91" s="147"/>
      <c r="C91" s="147"/>
      <c r="D91" s="147" t="s">
        <v>420</v>
      </c>
      <c r="E91" s="542" t="s">
        <v>10</v>
      </c>
      <c r="F91" s="542"/>
      <c r="G91" s="542"/>
      <c r="H91" s="542"/>
      <c r="I91" s="651">
        <f>I96*0.008</f>
        <v>951.12800000000004</v>
      </c>
      <c r="J91" s="543">
        <f>I91*95</f>
        <v>90357.16</v>
      </c>
      <c r="K91" s="606"/>
      <c r="L91" s="150" t="s">
        <v>82</v>
      </c>
      <c r="M91" s="212">
        <v>190</v>
      </c>
      <c r="N91" s="606"/>
      <c r="O91" s="606"/>
      <c r="P91" s="151">
        <f>J91*M91*12/(10^7)</f>
        <v>20.60143248</v>
      </c>
      <c r="Q91" s="151"/>
      <c r="R91" s="153"/>
      <c r="S91" s="93"/>
      <c r="T91" s="83">
        <f t="shared" si="4"/>
        <v>0</v>
      </c>
      <c r="U91" s="83">
        <f t="shared" si="2"/>
        <v>0</v>
      </c>
    </row>
    <row r="92" spans="1:21" ht="14.1" customHeight="1" x14ac:dyDescent="0.15">
      <c r="A92" s="146"/>
      <c r="B92" s="147"/>
      <c r="C92" s="147"/>
      <c r="D92" s="642" t="s">
        <v>446</v>
      </c>
      <c r="E92" s="542" t="s">
        <v>10</v>
      </c>
      <c r="F92" s="542"/>
      <c r="G92" s="542"/>
      <c r="H92" s="542"/>
      <c r="I92" s="651">
        <f>I96*0.001</f>
        <v>118.89100000000001</v>
      </c>
      <c r="J92" s="550">
        <f>I92*145</f>
        <v>17239.195</v>
      </c>
      <c r="K92" s="653"/>
      <c r="L92" s="150" t="s">
        <v>82</v>
      </c>
      <c r="M92" s="212">
        <v>225</v>
      </c>
      <c r="N92" s="606"/>
      <c r="O92" s="606"/>
      <c r="P92" s="151">
        <f>J92*M92*12/(10^7)</f>
        <v>4.65458265</v>
      </c>
      <c r="Q92" s="151"/>
      <c r="R92" s="153"/>
      <c r="S92" s="93"/>
      <c r="T92" s="83">
        <f t="shared" si="4"/>
        <v>0</v>
      </c>
      <c r="U92" s="83">
        <f t="shared" si="2"/>
        <v>0</v>
      </c>
    </row>
    <row r="93" spans="1:21" ht="14.1" customHeight="1" x14ac:dyDescent="0.15">
      <c r="A93" s="146"/>
      <c r="B93" s="147"/>
      <c r="C93" s="147"/>
      <c r="D93" s="147" t="s">
        <v>97</v>
      </c>
      <c r="E93" s="542"/>
      <c r="F93" s="542"/>
      <c r="G93" s="542"/>
      <c r="H93" s="542"/>
      <c r="I93" s="653"/>
      <c r="J93" s="545">
        <f>K93/K96</f>
        <v>0.19999999999999998</v>
      </c>
      <c r="K93" s="689">
        <f>K96*20/100</f>
        <v>178.04</v>
      </c>
      <c r="L93" s="208"/>
      <c r="M93" s="618"/>
      <c r="N93" s="212" t="s">
        <v>98</v>
      </c>
      <c r="O93" s="212">
        <v>6.05</v>
      </c>
      <c r="P93" s="151"/>
      <c r="Q93" s="151">
        <f>K93*O93/10</f>
        <v>107.71419999999998</v>
      </c>
      <c r="R93" s="153"/>
      <c r="S93" s="93"/>
      <c r="T93" s="83">
        <f t="shared" si="4"/>
        <v>0</v>
      </c>
      <c r="U93" s="83">
        <f t="shared" si="2"/>
        <v>0</v>
      </c>
    </row>
    <row r="94" spans="1:21" ht="14.1" customHeight="1" x14ac:dyDescent="0.15">
      <c r="A94" s="146"/>
      <c r="B94" s="147"/>
      <c r="C94" s="147"/>
      <c r="D94" s="147" t="s">
        <v>311</v>
      </c>
      <c r="E94" s="542"/>
      <c r="F94" s="542"/>
      <c r="G94" s="542"/>
      <c r="H94" s="542"/>
      <c r="I94" s="653"/>
      <c r="J94" s="545">
        <f>K94/K96</f>
        <v>0.8</v>
      </c>
      <c r="K94" s="689">
        <f>K96-K93</f>
        <v>712.16000000000008</v>
      </c>
      <c r="L94" s="208"/>
      <c r="M94" s="618"/>
      <c r="N94" s="212" t="s">
        <v>310</v>
      </c>
      <c r="O94" s="212">
        <v>7.35</v>
      </c>
      <c r="P94" s="151"/>
      <c r="Q94" s="151">
        <f>K94*O94/10</f>
        <v>523.43759999999997</v>
      </c>
      <c r="R94" s="153"/>
      <c r="S94" s="93"/>
      <c r="T94" s="83">
        <f t="shared" si="4"/>
        <v>0</v>
      </c>
      <c r="U94" s="83">
        <f t="shared" si="2"/>
        <v>0</v>
      </c>
    </row>
    <row r="95" spans="1:21" ht="14.1" customHeight="1" x14ac:dyDescent="0.15">
      <c r="A95" s="146"/>
      <c r="B95" s="147"/>
      <c r="C95" s="147"/>
      <c r="D95" s="147"/>
      <c r="E95" s="542"/>
      <c r="F95" s="542"/>
      <c r="G95" s="542"/>
      <c r="H95" s="542"/>
      <c r="I95" s="653"/>
      <c r="J95" s="544"/>
      <c r="K95" s="689"/>
      <c r="L95" s="120"/>
      <c r="M95" s="606"/>
      <c r="N95" s="212"/>
      <c r="O95" s="212"/>
      <c r="P95" s="151"/>
      <c r="Q95" s="151"/>
      <c r="R95" s="153"/>
      <c r="S95" s="93"/>
      <c r="T95" s="83">
        <f t="shared" si="4"/>
        <v>0</v>
      </c>
      <c r="U95" s="83">
        <f t="shared" si="2"/>
        <v>0</v>
      </c>
    </row>
    <row r="96" spans="1:21" ht="14.1" customHeight="1" thickBot="1" x14ac:dyDescent="0.2">
      <c r="A96" s="146"/>
      <c r="B96" s="147"/>
      <c r="C96" s="147"/>
      <c r="D96" s="155" t="s">
        <v>49</v>
      </c>
      <c r="E96" s="546" t="s">
        <v>10</v>
      </c>
      <c r="F96" s="546"/>
      <c r="G96" s="546"/>
      <c r="H96" s="546"/>
      <c r="I96" s="654">
        <v>118891</v>
      </c>
      <c r="J96" s="547">
        <f>SUM(J88:J92)</f>
        <v>2348929.4870000002</v>
      </c>
      <c r="K96" s="690">
        <v>890.2</v>
      </c>
      <c r="L96" s="158"/>
      <c r="M96" s="609"/>
      <c r="N96" s="609"/>
      <c r="O96" s="609"/>
      <c r="P96" s="159">
        <f>SUM(P88:P92)</f>
        <v>318.61242417</v>
      </c>
      <c r="Q96" s="159">
        <f>SUM(Q93:Q95)</f>
        <v>631.15179999999998</v>
      </c>
      <c r="R96" s="160">
        <f>SUM(P96:Q96)</f>
        <v>949.76422417000003</v>
      </c>
      <c r="S96" s="94" t="e">
        <f>#REF!</f>
        <v>#REF!</v>
      </c>
      <c r="T96" s="83" t="e">
        <f t="shared" si="4"/>
        <v>#REF!</v>
      </c>
      <c r="U96" s="83" t="e">
        <f t="shared" si="2"/>
        <v>#REF!</v>
      </c>
    </row>
    <row r="97" spans="1:21" ht="14.1" customHeight="1" thickBot="1" x14ac:dyDescent="0.2">
      <c r="A97" s="137"/>
      <c r="B97" s="138"/>
      <c r="C97" s="138"/>
      <c r="D97" s="138"/>
      <c r="E97" s="548"/>
      <c r="F97" s="548"/>
      <c r="G97" s="548"/>
      <c r="H97" s="548"/>
      <c r="I97" s="650"/>
      <c r="J97" s="549"/>
      <c r="K97" s="687"/>
      <c r="L97" s="78"/>
      <c r="M97" s="214"/>
      <c r="N97" s="214"/>
      <c r="O97" s="214"/>
      <c r="P97" s="97"/>
      <c r="Q97" s="97"/>
      <c r="R97" s="139"/>
      <c r="S97" s="93"/>
      <c r="T97" s="83">
        <f t="shared" si="4"/>
        <v>0</v>
      </c>
      <c r="U97" s="83">
        <f t="shared" si="2"/>
        <v>0</v>
      </c>
    </row>
    <row r="98" spans="1:21" ht="14.1" customHeight="1" x14ac:dyDescent="0.15">
      <c r="A98" s="77">
        <v>16</v>
      </c>
      <c r="B98" s="78" t="s">
        <v>11</v>
      </c>
      <c r="C98" s="78" t="s">
        <v>103</v>
      </c>
      <c r="D98" s="78" t="s">
        <v>92</v>
      </c>
      <c r="E98" s="540" t="s">
        <v>10</v>
      </c>
      <c r="F98" s="540"/>
      <c r="G98" s="540"/>
      <c r="H98" s="540"/>
      <c r="I98" s="215">
        <f>I106*0.482</f>
        <v>57304.979999999996</v>
      </c>
      <c r="J98" s="541">
        <f>I98*3.5</f>
        <v>200567.43</v>
      </c>
      <c r="K98" s="216"/>
      <c r="L98" s="80" t="s">
        <v>82</v>
      </c>
      <c r="M98" s="217">
        <v>80</v>
      </c>
      <c r="N98" s="216"/>
      <c r="O98" s="216"/>
      <c r="P98" s="81">
        <f>(MAX(I98,J98)*M98*12)/(10^7)</f>
        <v>19.254473279999999</v>
      </c>
      <c r="Q98" s="81"/>
      <c r="R98" s="82"/>
      <c r="S98" s="93"/>
      <c r="T98" s="83">
        <f t="shared" si="4"/>
        <v>0</v>
      </c>
      <c r="U98" s="83">
        <f t="shared" si="2"/>
        <v>0</v>
      </c>
    </row>
    <row r="99" spans="1:21" ht="14.1" customHeight="1" x14ac:dyDescent="0.15">
      <c r="A99" s="146"/>
      <c r="B99" s="147"/>
      <c r="C99" s="147" t="s">
        <v>104</v>
      </c>
      <c r="D99" s="147" t="s">
        <v>94</v>
      </c>
      <c r="E99" s="542" t="s">
        <v>10</v>
      </c>
      <c r="F99" s="542"/>
      <c r="G99" s="542"/>
      <c r="H99" s="542"/>
      <c r="I99" s="651">
        <f>I106*0.462</f>
        <v>54927.18</v>
      </c>
      <c r="J99" s="543">
        <f>I99*15.03152</f>
        <v>825639.00471360004</v>
      </c>
      <c r="K99" s="606"/>
      <c r="L99" s="150" t="s">
        <v>82</v>
      </c>
      <c r="M99" s="212">
        <v>95</v>
      </c>
      <c r="N99" s="606"/>
      <c r="O99" s="606"/>
      <c r="P99" s="151">
        <f>J99*M99*12/(10^7)</f>
        <v>94.122846537350412</v>
      </c>
      <c r="Q99" s="151"/>
      <c r="R99" s="153"/>
      <c r="S99" s="93"/>
      <c r="T99" s="83">
        <f t="shared" si="4"/>
        <v>0</v>
      </c>
      <c r="U99" s="83">
        <f t="shared" si="2"/>
        <v>0</v>
      </c>
    </row>
    <row r="100" spans="1:21" ht="14.1" customHeight="1" x14ac:dyDescent="0.15">
      <c r="A100" s="146"/>
      <c r="B100" s="147"/>
      <c r="C100" s="183" t="s">
        <v>9</v>
      </c>
      <c r="D100" s="147" t="s">
        <v>95</v>
      </c>
      <c r="E100" s="542" t="s">
        <v>10</v>
      </c>
      <c r="F100" s="542"/>
      <c r="G100" s="542"/>
      <c r="H100" s="542"/>
      <c r="I100" s="651">
        <f>I106*0.052</f>
        <v>6182.28</v>
      </c>
      <c r="J100" s="543">
        <f>I100*60</f>
        <v>370936.8</v>
      </c>
      <c r="K100" s="606"/>
      <c r="L100" s="150" t="s">
        <v>82</v>
      </c>
      <c r="M100" s="212">
        <v>120</v>
      </c>
      <c r="N100" s="606"/>
      <c r="O100" s="606"/>
      <c r="P100" s="151">
        <f>J100*M100*12/(10^7)</f>
        <v>53.414899200000001</v>
      </c>
      <c r="Q100" s="151"/>
      <c r="R100" s="153"/>
      <c r="S100" s="93"/>
      <c r="T100" s="83">
        <f t="shared" si="4"/>
        <v>0</v>
      </c>
      <c r="U100" s="83">
        <f t="shared" si="2"/>
        <v>0</v>
      </c>
    </row>
    <row r="101" spans="1:21" ht="14.1" customHeight="1" x14ac:dyDescent="0.15">
      <c r="A101" s="146"/>
      <c r="B101" s="147"/>
      <c r="C101" s="147"/>
      <c r="D101" s="147" t="s">
        <v>420</v>
      </c>
      <c r="E101" s="542" t="s">
        <v>10</v>
      </c>
      <c r="F101" s="542"/>
      <c r="G101" s="542"/>
      <c r="H101" s="542"/>
      <c r="I101" s="651">
        <f>I106-I98-I99-I100-I102</f>
        <v>405.56000000000404</v>
      </c>
      <c r="J101" s="543">
        <f>I101*92</f>
        <v>37311.520000000368</v>
      </c>
      <c r="K101" s="606"/>
      <c r="L101" s="150" t="s">
        <v>82</v>
      </c>
      <c r="M101" s="212">
        <v>175</v>
      </c>
      <c r="N101" s="606"/>
      <c r="O101" s="606"/>
      <c r="P101" s="151">
        <f>J101*M101*12/(10^7)</f>
        <v>7.8354192000000777</v>
      </c>
      <c r="Q101" s="151"/>
      <c r="R101" s="153"/>
      <c r="S101" s="93"/>
      <c r="T101" s="83">
        <f t="shared" si="4"/>
        <v>0</v>
      </c>
      <c r="U101" s="83">
        <f t="shared" si="2"/>
        <v>0</v>
      </c>
    </row>
    <row r="102" spans="1:21" ht="13.5" customHeight="1" x14ac:dyDescent="0.15">
      <c r="A102" s="146"/>
      <c r="B102" s="147"/>
      <c r="C102" s="147"/>
      <c r="D102" s="642" t="s">
        <v>446</v>
      </c>
      <c r="E102" s="542" t="s">
        <v>10</v>
      </c>
      <c r="F102" s="542"/>
      <c r="G102" s="542"/>
      <c r="H102" s="542"/>
      <c r="I102" s="652">
        <v>70</v>
      </c>
      <c r="J102" s="550">
        <f>I102*165</f>
        <v>11550</v>
      </c>
      <c r="K102" s="653"/>
      <c r="L102" s="150" t="s">
        <v>82</v>
      </c>
      <c r="M102" s="212">
        <v>210</v>
      </c>
      <c r="N102" s="606"/>
      <c r="O102" s="606"/>
      <c r="P102" s="151">
        <f>J102*M102*12/(10^7)</f>
        <v>2.9106000000000001</v>
      </c>
      <c r="Q102" s="151"/>
      <c r="R102" s="153"/>
      <c r="S102" s="93"/>
      <c r="T102" s="83">
        <f t="shared" si="4"/>
        <v>0</v>
      </c>
      <c r="U102" s="83">
        <f t="shared" si="2"/>
        <v>0</v>
      </c>
    </row>
    <row r="103" spans="1:21" ht="24" customHeight="1" x14ac:dyDescent="0.15">
      <c r="A103" s="146"/>
      <c r="B103" s="147"/>
      <c r="C103" s="147"/>
      <c r="D103" s="147" t="s">
        <v>97</v>
      </c>
      <c r="E103" s="542"/>
      <c r="F103" s="542"/>
      <c r="G103" s="542"/>
      <c r="H103" s="542"/>
      <c r="I103" s="653"/>
      <c r="J103" s="545">
        <f>K103/K106</f>
        <v>0.23</v>
      </c>
      <c r="K103" s="689">
        <f>K106*23/100</f>
        <v>79.623699999999999</v>
      </c>
      <c r="L103" s="208"/>
      <c r="M103" s="618"/>
      <c r="N103" s="212" t="s">
        <v>98</v>
      </c>
      <c r="O103" s="212">
        <v>5.75</v>
      </c>
      <c r="P103" s="151"/>
      <c r="Q103" s="151">
        <f>K103*O103/10</f>
        <v>45.783627500000001</v>
      </c>
      <c r="R103" s="153"/>
      <c r="S103" s="93"/>
      <c r="T103" s="83">
        <f t="shared" si="4"/>
        <v>0</v>
      </c>
      <c r="U103" s="83">
        <f t="shared" si="2"/>
        <v>0</v>
      </c>
    </row>
    <row r="104" spans="1:21" ht="14.1" customHeight="1" x14ac:dyDescent="0.15">
      <c r="A104" s="146"/>
      <c r="B104" s="147"/>
      <c r="C104" s="147"/>
      <c r="D104" s="147" t="s">
        <v>99</v>
      </c>
      <c r="E104" s="542"/>
      <c r="F104" s="542"/>
      <c r="G104" s="542"/>
      <c r="H104" s="542"/>
      <c r="I104" s="653"/>
      <c r="J104" s="545">
        <f>K104/K106</f>
        <v>0.12</v>
      </c>
      <c r="K104" s="689">
        <f>K106*12%</f>
        <v>41.5428</v>
      </c>
      <c r="L104" s="208"/>
      <c r="M104" s="618"/>
      <c r="N104" s="212" t="s">
        <v>100</v>
      </c>
      <c r="O104" s="212">
        <v>6.7</v>
      </c>
      <c r="P104" s="151"/>
      <c r="Q104" s="151">
        <f>K104*O104/10</f>
        <v>27.833676000000004</v>
      </c>
      <c r="R104" s="153"/>
      <c r="S104" s="93"/>
      <c r="T104" s="83">
        <f t="shared" si="4"/>
        <v>0</v>
      </c>
      <c r="U104" s="83">
        <f t="shared" ref="U104:U190" si="5">S104-R104</f>
        <v>0</v>
      </c>
    </row>
    <row r="105" spans="1:21" ht="14.1" customHeight="1" x14ac:dyDescent="0.15">
      <c r="A105" s="146"/>
      <c r="B105" s="147"/>
      <c r="C105" s="147"/>
      <c r="D105" s="147" t="s">
        <v>101</v>
      </c>
      <c r="E105" s="542"/>
      <c r="F105" s="542"/>
      <c r="G105" s="542"/>
      <c r="H105" s="542"/>
      <c r="I105" s="653"/>
      <c r="J105" s="545">
        <f>K105/K106</f>
        <v>0.65</v>
      </c>
      <c r="K105" s="689">
        <f>K106-K104-K103</f>
        <v>225.02350000000001</v>
      </c>
      <c r="L105" s="208"/>
      <c r="M105" s="618"/>
      <c r="N105" s="212" t="s">
        <v>102</v>
      </c>
      <c r="O105" s="212">
        <v>7</v>
      </c>
      <c r="P105" s="151"/>
      <c r="Q105" s="151">
        <f>K105*O105/10</f>
        <v>157.51645000000002</v>
      </c>
      <c r="R105" s="153"/>
      <c r="S105" s="93"/>
      <c r="T105" s="83">
        <f t="shared" si="4"/>
        <v>0</v>
      </c>
      <c r="U105" s="83">
        <f t="shared" si="5"/>
        <v>0</v>
      </c>
    </row>
    <row r="106" spans="1:21" ht="14.1" customHeight="1" thickBot="1" x14ac:dyDescent="0.2">
      <c r="A106" s="146"/>
      <c r="B106" s="147"/>
      <c r="C106" s="147"/>
      <c r="D106" s="155" t="s">
        <v>49</v>
      </c>
      <c r="E106" s="546" t="s">
        <v>10</v>
      </c>
      <c r="F106" s="546"/>
      <c r="G106" s="546"/>
      <c r="H106" s="546"/>
      <c r="I106" s="654">
        <v>118890</v>
      </c>
      <c r="J106" s="547">
        <f>SUM(J98:J102)</f>
        <v>1446004.7547136005</v>
      </c>
      <c r="K106" s="690">
        <v>346.19</v>
      </c>
      <c r="L106" s="165"/>
      <c r="M106" s="609"/>
      <c r="N106" s="619"/>
      <c r="O106" s="619"/>
      <c r="P106" s="159">
        <f>SUM(P98:P102)</f>
        <v>177.53823821735048</v>
      </c>
      <c r="Q106" s="159">
        <f>SUM(Q103:Q105)</f>
        <v>231.13375350000001</v>
      </c>
      <c r="R106" s="160">
        <f>SUM(P106:Q106)</f>
        <v>408.67199171735047</v>
      </c>
      <c r="S106" s="94" t="e">
        <f>#REF!</f>
        <v>#REF!</v>
      </c>
      <c r="T106" s="83" t="e">
        <f t="shared" si="4"/>
        <v>#REF!</v>
      </c>
      <c r="U106" s="83" t="e">
        <f t="shared" si="5"/>
        <v>#REF!</v>
      </c>
    </row>
    <row r="107" spans="1:21" ht="14.1" customHeight="1" thickBot="1" x14ac:dyDescent="0.2">
      <c r="A107" s="137"/>
      <c r="B107" s="138"/>
      <c r="C107" s="138"/>
      <c r="D107" s="138"/>
      <c r="E107" s="548"/>
      <c r="F107" s="548"/>
      <c r="G107" s="548"/>
      <c r="H107" s="548"/>
      <c r="I107" s="650"/>
      <c r="J107" s="549"/>
      <c r="K107" s="687"/>
      <c r="L107" s="78"/>
      <c r="M107" s="214"/>
      <c r="N107" s="214"/>
      <c r="O107" s="214"/>
      <c r="P107" s="97"/>
      <c r="Q107" s="97"/>
      <c r="R107" s="139"/>
      <c r="S107" s="93"/>
      <c r="T107" s="83">
        <f t="shared" si="4"/>
        <v>0</v>
      </c>
      <c r="U107" s="83">
        <f t="shared" si="5"/>
        <v>0</v>
      </c>
    </row>
    <row r="108" spans="1:21" ht="14.1" customHeight="1" thickBot="1" x14ac:dyDescent="0.2">
      <c r="A108" s="141" t="s">
        <v>105</v>
      </c>
      <c r="B108" s="142"/>
      <c r="C108" s="142"/>
      <c r="D108" s="142"/>
      <c r="E108" s="142" t="s">
        <v>39</v>
      </c>
      <c r="F108" s="1156">
        <f>+[1]Sheet1!$P$18</f>
        <v>250368</v>
      </c>
      <c r="G108" s="1156">
        <f>+[1]Sheet1!$V$18</f>
        <v>246145</v>
      </c>
      <c r="H108" s="1156">
        <f>+[1]Sheet1!$V$18</f>
        <v>246145</v>
      </c>
      <c r="I108" s="649">
        <f>I96+I106</f>
        <v>237781</v>
      </c>
      <c r="J108" s="113">
        <f>J96+J106</f>
        <v>3794934.2417136007</v>
      </c>
      <c r="K108" s="686">
        <f>K96+K106</f>
        <v>1236.3900000000001</v>
      </c>
      <c r="L108" s="143"/>
      <c r="M108" s="613"/>
      <c r="N108" s="613"/>
      <c r="O108" s="613"/>
      <c r="P108" s="143">
        <f>SUM(P96,P106)</f>
        <v>496.15066238735051</v>
      </c>
      <c r="Q108" s="143">
        <f>SUM(Q96,Q106)</f>
        <v>862.28555349999999</v>
      </c>
      <c r="R108" s="143">
        <f>SUM(R96,R106)</f>
        <v>1358.4362158873505</v>
      </c>
      <c r="S108" s="97" t="e">
        <f>SUM(S96,S106)</f>
        <v>#REF!</v>
      </c>
      <c r="T108" s="83" t="e">
        <f t="shared" si="4"/>
        <v>#REF!</v>
      </c>
      <c r="U108" s="83" t="e">
        <f t="shared" si="5"/>
        <v>#REF!</v>
      </c>
    </row>
    <row r="109" spans="1:21" ht="14.1" customHeight="1" thickBot="1" x14ac:dyDescent="0.2">
      <c r="A109" s="137"/>
      <c r="B109" s="138"/>
      <c r="C109" s="138"/>
      <c r="D109" s="138"/>
      <c r="E109" s="138"/>
      <c r="F109" s="138"/>
      <c r="G109" s="138"/>
      <c r="H109" s="138"/>
      <c r="I109" s="650"/>
      <c r="J109" s="106"/>
      <c r="K109" s="687"/>
      <c r="L109" s="78"/>
      <c r="M109" s="214"/>
      <c r="N109" s="214"/>
      <c r="O109" s="214"/>
      <c r="P109" s="97"/>
      <c r="Q109" s="97"/>
      <c r="R109" s="139"/>
      <c r="S109" s="93"/>
      <c r="T109" s="83">
        <f t="shared" si="4"/>
        <v>0</v>
      </c>
      <c r="U109" s="83">
        <f t="shared" si="5"/>
        <v>0</v>
      </c>
    </row>
    <row r="110" spans="1:21" ht="14.1" customHeight="1" thickBot="1" x14ac:dyDescent="0.2">
      <c r="A110" s="77">
        <v>16</v>
      </c>
      <c r="B110" s="78" t="s">
        <v>395</v>
      </c>
      <c r="C110" s="78" t="s">
        <v>13</v>
      </c>
      <c r="D110" s="78"/>
      <c r="E110" s="78" t="s">
        <v>10</v>
      </c>
      <c r="F110" s="1156">
        <f>+[1]Sheet1!$P$19</f>
        <v>97187</v>
      </c>
      <c r="G110" s="1156">
        <f>+[1]Sheet1!$V$19</f>
        <v>95247</v>
      </c>
      <c r="H110" s="1156">
        <f>+[1]Sheet1!$V$19</f>
        <v>95247</v>
      </c>
      <c r="I110" s="215">
        <f>I112-I111</f>
        <v>93553</v>
      </c>
      <c r="J110" s="115">
        <f>I110*9.5</f>
        <v>888753.5</v>
      </c>
      <c r="K110" s="688"/>
      <c r="L110" s="80" t="s">
        <v>435</v>
      </c>
      <c r="M110" s="217">
        <v>110</v>
      </c>
      <c r="N110" s="216"/>
      <c r="O110" s="216"/>
      <c r="P110" s="81">
        <f>(MAX(I110,J110)*M110*12)/(10^7)</f>
        <v>117.315462</v>
      </c>
      <c r="Q110" s="81"/>
      <c r="R110" s="82"/>
      <c r="S110" s="93"/>
      <c r="T110" s="83">
        <f t="shared" si="4"/>
        <v>0</v>
      </c>
      <c r="U110" s="83">
        <f t="shared" si="5"/>
        <v>0</v>
      </c>
    </row>
    <row r="111" spans="1:21" ht="14.1" customHeight="1" x14ac:dyDescent="0.15">
      <c r="A111" s="146"/>
      <c r="B111" s="147"/>
      <c r="C111" s="147"/>
      <c r="D111" s="147"/>
      <c r="E111" s="147"/>
      <c r="F111" s="147"/>
      <c r="G111" s="147"/>
      <c r="H111" s="147"/>
      <c r="I111" s="652">
        <v>50</v>
      </c>
      <c r="J111" s="108">
        <f>I111*120</f>
        <v>6000</v>
      </c>
      <c r="K111" s="689">
        <v>1515.82</v>
      </c>
      <c r="L111" s="152" t="s">
        <v>436</v>
      </c>
      <c r="M111" s="608">
        <v>215</v>
      </c>
      <c r="N111" s="212"/>
      <c r="O111" s="212">
        <v>5</v>
      </c>
      <c r="P111" s="81">
        <f>(MAX(I111,J111)*M111*12)/(10^7)</f>
        <v>1.548</v>
      </c>
      <c r="Q111" s="151">
        <f>K111*O111/10</f>
        <v>757.91</v>
      </c>
      <c r="R111" s="153"/>
      <c r="S111" s="93"/>
      <c r="T111" s="83">
        <f t="shared" si="4"/>
        <v>0</v>
      </c>
      <c r="U111" s="83">
        <f t="shared" si="5"/>
        <v>0</v>
      </c>
    </row>
    <row r="112" spans="1:21" ht="14.1" customHeight="1" thickBot="1" x14ac:dyDescent="0.2">
      <c r="A112" s="146"/>
      <c r="B112" s="147"/>
      <c r="C112" s="147"/>
      <c r="D112" s="155" t="s">
        <v>49</v>
      </c>
      <c r="E112" s="155" t="s">
        <v>10</v>
      </c>
      <c r="F112" s="155"/>
      <c r="G112" s="155"/>
      <c r="H112" s="155"/>
      <c r="I112" s="654">
        <v>93603</v>
      </c>
      <c r="J112" s="156">
        <f>J110+J111</f>
        <v>894753.5</v>
      </c>
      <c r="K112" s="690">
        <f>SUM(K111)</f>
        <v>1515.82</v>
      </c>
      <c r="L112" s="158"/>
      <c r="M112" s="609"/>
      <c r="N112" s="609"/>
      <c r="O112" s="609"/>
      <c r="P112" s="159">
        <f>P110+P111</f>
        <v>118.863462</v>
      </c>
      <c r="Q112" s="159">
        <f>Q111</f>
        <v>757.91</v>
      </c>
      <c r="R112" s="160">
        <f>SUM(P112:Q112)</f>
        <v>876.77346199999999</v>
      </c>
      <c r="S112" s="94" t="e">
        <f>#REF!</f>
        <v>#REF!</v>
      </c>
      <c r="T112" s="83" t="e">
        <f t="shared" si="4"/>
        <v>#REF!</v>
      </c>
      <c r="U112" s="83" t="e">
        <f t="shared" si="5"/>
        <v>#REF!</v>
      </c>
    </row>
    <row r="113" spans="1:21" ht="14.1" customHeight="1" thickBot="1" x14ac:dyDescent="0.2">
      <c r="A113" s="137"/>
      <c r="B113" s="138"/>
      <c r="C113" s="138"/>
      <c r="D113" s="138"/>
      <c r="E113" s="138"/>
      <c r="F113" s="138"/>
      <c r="G113" s="138"/>
      <c r="H113" s="138"/>
      <c r="I113" s="650"/>
      <c r="J113" s="106"/>
      <c r="K113" s="687"/>
      <c r="L113" s="78"/>
      <c r="M113" s="214"/>
      <c r="N113" s="214"/>
      <c r="O113" s="214"/>
      <c r="P113" s="97"/>
      <c r="Q113" s="97"/>
      <c r="R113" s="139"/>
      <c r="S113" s="93"/>
      <c r="T113" s="83">
        <f t="shared" si="4"/>
        <v>0</v>
      </c>
      <c r="U113" s="83">
        <f t="shared" si="5"/>
        <v>0</v>
      </c>
    </row>
    <row r="114" spans="1:21" ht="14.1" customHeight="1" x14ac:dyDescent="0.15">
      <c r="A114" s="77">
        <v>17</v>
      </c>
      <c r="B114" s="78" t="s">
        <v>400</v>
      </c>
      <c r="C114" s="78" t="s">
        <v>106</v>
      </c>
      <c r="D114" s="78"/>
      <c r="E114" s="78" t="s">
        <v>39</v>
      </c>
      <c r="F114" s="1156">
        <f>+[1]Sheet1!$P$20</f>
        <v>88814</v>
      </c>
      <c r="G114" s="1156">
        <f>+[1]Sheet1!$V$20</f>
        <v>86076</v>
      </c>
      <c r="H114" s="1156">
        <f>+[1]Sheet1!$V$20</f>
        <v>86076</v>
      </c>
      <c r="I114" s="215">
        <f>I116</f>
        <v>77350</v>
      </c>
      <c r="J114" s="115">
        <f>I114*3</f>
        <v>232050</v>
      </c>
      <c r="K114" s="688"/>
      <c r="L114" s="80" t="s">
        <v>82</v>
      </c>
      <c r="M114" s="217">
        <v>125</v>
      </c>
      <c r="N114" s="216"/>
      <c r="O114" s="216"/>
      <c r="P114" s="81">
        <f>(MAX(I114,J114)*M114*12)/(10^7)</f>
        <v>34.807499999999997</v>
      </c>
      <c r="Q114" s="81"/>
      <c r="R114" s="82"/>
      <c r="S114" s="93"/>
      <c r="T114" s="83">
        <f t="shared" si="4"/>
        <v>0</v>
      </c>
      <c r="U114" s="83">
        <f t="shared" si="5"/>
        <v>0</v>
      </c>
    </row>
    <row r="115" spans="1:21" ht="14.1" customHeight="1" x14ac:dyDescent="0.15">
      <c r="A115" s="350"/>
      <c r="B115" s="147"/>
      <c r="C115" s="147"/>
      <c r="D115" s="147"/>
      <c r="E115" s="147"/>
      <c r="F115" s="147"/>
      <c r="G115" s="147"/>
      <c r="H115" s="147"/>
      <c r="I115" s="652"/>
      <c r="J115" s="108"/>
      <c r="K115" s="689">
        <v>573.71</v>
      </c>
      <c r="L115" s="152"/>
      <c r="M115" s="606"/>
      <c r="N115" s="212" t="s">
        <v>437</v>
      </c>
      <c r="O115" s="212">
        <v>6.7</v>
      </c>
      <c r="P115" s="151"/>
      <c r="Q115" s="151">
        <f>K115*O115/10</f>
        <v>384.38570000000004</v>
      </c>
      <c r="R115" s="153"/>
      <c r="S115" s="93"/>
      <c r="T115" s="83">
        <f t="shared" si="4"/>
        <v>0</v>
      </c>
      <c r="U115" s="83">
        <f t="shared" si="5"/>
        <v>0</v>
      </c>
    </row>
    <row r="116" spans="1:21" ht="14.1" customHeight="1" thickBot="1" x14ac:dyDescent="0.2">
      <c r="A116" s="146"/>
      <c r="B116" s="147"/>
      <c r="C116" s="147"/>
      <c r="D116" s="155" t="s">
        <v>49</v>
      </c>
      <c r="E116" s="155" t="s">
        <v>39</v>
      </c>
      <c r="F116" s="155"/>
      <c r="G116" s="155"/>
      <c r="H116" s="155"/>
      <c r="I116" s="654">
        <v>77350</v>
      </c>
      <c r="J116" s="156">
        <f>J114</f>
        <v>232050</v>
      </c>
      <c r="K116" s="690">
        <f>SUM(K115)</f>
        <v>573.71</v>
      </c>
      <c r="L116" s="356"/>
      <c r="M116" s="615"/>
      <c r="N116" s="615" t="s">
        <v>438</v>
      </c>
      <c r="O116" s="620">
        <v>5.65</v>
      </c>
      <c r="P116" s="427">
        <f>P114</f>
        <v>34.807499999999997</v>
      </c>
      <c r="Q116" s="427">
        <f>Q115</f>
        <v>384.38570000000004</v>
      </c>
      <c r="R116" s="358">
        <f>SUM(P116:Q116)</f>
        <v>419.19320000000005</v>
      </c>
      <c r="S116" s="94" t="e">
        <f>#REF!</f>
        <v>#REF!</v>
      </c>
      <c r="T116" s="83" t="e">
        <f t="shared" si="4"/>
        <v>#REF!</v>
      </c>
      <c r="U116" s="83" t="e">
        <f t="shared" si="5"/>
        <v>#REF!</v>
      </c>
    </row>
    <row r="117" spans="1:21" ht="14.1" customHeight="1" thickBot="1" x14ac:dyDescent="0.2">
      <c r="A117" s="359"/>
      <c r="B117" s="360"/>
      <c r="C117" s="360"/>
      <c r="D117" s="361"/>
      <c r="E117" s="361"/>
      <c r="F117" s="1154"/>
      <c r="G117" s="1154"/>
      <c r="H117" s="1154"/>
      <c r="I117" s="668"/>
      <c r="J117" s="362"/>
      <c r="K117" s="701"/>
      <c r="L117" s="466"/>
      <c r="M117" s="587"/>
      <c r="N117" s="572"/>
      <c r="O117" s="586"/>
      <c r="P117" s="466"/>
      <c r="Q117" s="466"/>
      <c r="R117" s="366"/>
      <c r="S117" s="85"/>
      <c r="T117" s="83"/>
      <c r="U117" s="83"/>
    </row>
    <row r="118" spans="1:21" ht="14.1" customHeight="1" x14ac:dyDescent="0.15">
      <c r="A118" s="186">
        <v>18</v>
      </c>
      <c r="B118" s="180" t="s">
        <v>397</v>
      </c>
      <c r="C118" s="280" t="s">
        <v>406</v>
      </c>
      <c r="D118" s="484" t="s">
        <v>402</v>
      </c>
      <c r="E118" s="481" t="s">
        <v>404</v>
      </c>
      <c r="F118" s="1156">
        <f>+[1]Sheet1!$P$21</f>
        <v>510</v>
      </c>
      <c r="G118" s="1156">
        <f>+[1]Sheet1!$V$21</f>
        <v>383</v>
      </c>
      <c r="H118" s="1156">
        <f>+[1]Sheet1!$V$21</f>
        <v>383</v>
      </c>
      <c r="I118" s="669">
        <f>I121</f>
        <v>88</v>
      </c>
      <c r="J118" s="462">
        <f>I118*15</f>
        <v>1320</v>
      </c>
      <c r="K118" s="702">
        <v>0</v>
      </c>
      <c r="L118" s="383" t="s">
        <v>439</v>
      </c>
      <c r="M118" s="621">
        <v>70</v>
      </c>
      <c r="N118" s="622"/>
      <c r="O118" s="623">
        <v>5</v>
      </c>
      <c r="P118" s="386">
        <f>J118*12*M118/10000000</f>
        <v>0.11088000000000001</v>
      </c>
      <c r="Q118" s="474">
        <f>K118*O118/10</f>
        <v>0</v>
      </c>
      <c r="R118" s="386"/>
      <c r="S118" s="85"/>
      <c r="T118" s="83"/>
      <c r="U118" s="83"/>
    </row>
    <row r="119" spans="1:21" ht="14.1" customHeight="1" x14ac:dyDescent="0.15">
      <c r="A119" s="186"/>
      <c r="B119" s="174"/>
      <c r="C119" s="174"/>
      <c r="D119" s="483"/>
      <c r="E119" s="481" t="s">
        <v>405</v>
      </c>
      <c r="F119" s="481"/>
      <c r="G119" s="481"/>
      <c r="H119" s="481"/>
      <c r="I119" s="670"/>
      <c r="J119" s="352"/>
      <c r="K119" s="764">
        <v>0.3</v>
      </c>
      <c r="L119" s="367" t="s">
        <v>440</v>
      </c>
      <c r="M119" s="624">
        <v>200</v>
      </c>
      <c r="N119" s="625"/>
      <c r="O119" s="626">
        <v>5</v>
      </c>
      <c r="P119" s="368">
        <f>J119*12*M119/10000000</f>
        <v>0</v>
      </c>
      <c r="Q119" s="376">
        <f>K119*O119/10</f>
        <v>0.15</v>
      </c>
      <c r="R119" s="368"/>
      <c r="S119" s="85"/>
      <c r="T119" s="83"/>
      <c r="U119" s="83"/>
    </row>
    <row r="120" spans="1:21" ht="14.1" customHeight="1" x14ac:dyDescent="0.15">
      <c r="C120" s="174"/>
      <c r="D120" s="483" t="s">
        <v>364</v>
      </c>
      <c r="E120" s="482"/>
      <c r="F120" s="482"/>
      <c r="G120" s="482"/>
      <c r="H120" s="482"/>
      <c r="I120" s="670"/>
      <c r="J120" s="352"/>
      <c r="K120" s="624"/>
      <c r="L120" s="367"/>
      <c r="M120" s="624"/>
      <c r="N120" s="625"/>
      <c r="O120" s="626"/>
      <c r="P120" s="368"/>
      <c r="Q120" s="368"/>
      <c r="R120" s="368"/>
      <c r="S120" s="85"/>
      <c r="T120" s="83"/>
      <c r="U120" s="83"/>
    </row>
    <row r="121" spans="1:21" ht="14.1" customHeight="1" thickBot="1" x14ac:dyDescent="0.2">
      <c r="A121" s="186"/>
      <c r="B121" s="174"/>
      <c r="C121" s="174"/>
      <c r="D121" s="369"/>
      <c r="E121" s="482" t="s">
        <v>401</v>
      </c>
      <c r="F121" s="482"/>
      <c r="G121" s="482"/>
      <c r="H121" s="482"/>
      <c r="I121" s="671">
        <v>88</v>
      </c>
      <c r="J121" s="461">
        <f>J118+J119</f>
        <v>1320</v>
      </c>
      <c r="K121" s="765">
        <f>K118+K119</f>
        <v>0.3</v>
      </c>
      <c r="L121" s="476"/>
      <c r="M121" s="627"/>
      <c r="N121" s="612"/>
      <c r="O121" s="612"/>
      <c r="P121" s="176">
        <f>P118+P119</f>
        <v>0.11088000000000001</v>
      </c>
      <c r="Q121" s="176">
        <f>Q119+Q118</f>
        <v>0.15</v>
      </c>
      <c r="R121" s="473">
        <f>SUM(P121:Q121)</f>
        <v>0.26088</v>
      </c>
      <c r="S121" s="94"/>
      <c r="T121" s="83"/>
      <c r="U121" s="83"/>
    </row>
    <row r="122" spans="1:21" ht="14.1" customHeight="1" thickBot="1" x14ac:dyDescent="0.2">
      <c r="A122" s="137"/>
      <c r="B122" s="138"/>
      <c r="C122" s="138"/>
      <c r="D122" s="486"/>
      <c r="E122" s="485"/>
      <c r="F122" s="482"/>
      <c r="G122" s="482"/>
      <c r="H122" s="482"/>
      <c r="I122" s="672"/>
      <c r="J122" s="363"/>
      <c r="K122" s="703"/>
      <c r="L122" s="471"/>
      <c r="M122" s="628"/>
      <c r="N122" s="628"/>
      <c r="O122" s="628"/>
      <c r="P122" s="470"/>
      <c r="Q122" s="470"/>
      <c r="R122" s="366"/>
      <c r="T122" s="83">
        <f t="shared" si="4"/>
        <v>0</v>
      </c>
      <c r="U122" s="83">
        <f t="shared" si="5"/>
        <v>0</v>
      </c>
    </row>
    <row r="123" spans="1:21" ht="14.1" customHeight="1" thickBot="1" x14ac:dyDescent="0.2">
      <c r="A123" s="141" t="s">
        <v>107</v>
      </c>
      <c r="B123" s="142"/>
      <c r="C123" s="142"/>
      <c r="D123" s="372"/>
      <c r="E123" s="142" t="s">
        <v>39</v>
      </c>
      <c r="F123" s="372"/>
      <c r="G123" s="372"/>
      <c r="H123" s="372"/>
      <c r="I123" s="658">
        <f>SUM(I112,I116,I121)</f>
        <v>171041</v>
      </c>
      <c r="J123" s="373">
        <f>SUM(J112,J116,J121)</f>
        <v>1128123.5</v>
      </c>
      <c r="K123" s="692">
        <f>SUM(K112,K116,K121)</f>
        <v>2089.83</v>
      </c>
      <c r="L123" s="374"/>
      <c r="M123" s="617"/>
      <c r="N123" s="617"/>
      <c r="O123" s="617"/>
      <c r="P123" s="374">
        <f>SUM(P112,P116,P121)</f>
        <v>153.78184200000001</v>
      </c>
      <c r="Q123" s="374">
        <f>SUM(Q112,Q116,Q121)</f>
        <v>1142.4457000000002</v>
      </c>
      <c r="R123" s="374">
        <f>SUM(R112,R116,R121)</f>
        <v>1296.2275420000001</v>
      </c>
      <c r="S123" s="97" t="e">
        <f>SUM(S112,S116)</f>
        <v>#REF!</v>
      </c>
      <c r="T123" s="83" t="e">
        <f t="shared" si="4"/>
        <v>#REF!</v>
      </c>
      <c r="U123" s="83" t="e">
        <f t="shared" si="5"/>
        <v>#REF!</v>
      </c>
    </row>
    <row r="124" spans="1:21" ht="14.1" customHeight="1" thickBot="1" x14ac:dyDescent="0.2">
      <c r="A124" s="137"/>
      <c r="B124" s="138"/>
      <c r="C124" s="138"/>
      <c r="D124" s="166"/>
      <c r="E124" s="166"/>
      <c r="F124" s="166"/>
      <c r="G124" s="166"/>
      <c r="H124" s="166"/>
      <c r="I124" s="657"/>
      <c r="J124" s="111"/>
      <c r="K124" s="691"/>
      <c r="L124" s="78"/>
      <c r="M124" s="214"/>
      <c r="N124" s="214"/>
      <c r="O124" s="214"/>
      <c r="P124" s="139"/>
      <c r="Q124" s="139"/>
      <c r="R124" s="139"/>
      <c r="S124" s="93"/>
      <c r="T124" s="83">
        <f t="shared" si="4"/>
        <v>0</v>
      </c>
      <c r="U124" s="83">
        <f t="shared" si="5"/>
        <v>0</v>
      </c>
    </row>
    <row r="125" spans="1:21" ht="14.1" customHeight="1" x14ac:dyDescent="0.15">
      <c r="A125" s="77">
        <v>18</v>
      </c>
      <c r="B125" s="78" t="s">
        <v>371</v>
      </c>
      <c r="C125" s="78" t="s">
        <v>108</v>
      </c>
      <c r="D125" s="78" t="s">
        <v>109</v>
      </c>
      <c r="E125" s="78" t="s">
        <v>39</v>
      </c>
      <c r="F125" s="78"/>
      <c r="G125" s="78"/>
      <c r="H125" s="78"/>
      <c r="I125" s="215">
        <f>948192-I130</f>
        <v>943763</v>
      </c>
      <c r="J125" s="460">
        <f>I125*3</f>
        <v>2831289</v>
      </c>
      <c r="K125" s="688"/>
      <c r="L125" s="80" t="s">
        <v>110</v>
      </c>
      <c r="M125" s="217">
        <v>275</v>
      </c>
      <c r="N125" s="216"/>
      <c r="O125" s="216"/>
      <c r="P125" s="185">
        <f>IF((J125*$M$125*4)/(10^7)&gt;($K$127*$O$127/10),(J125*4*$M$125)/(10^7),0)</f>
        <v>311.44179000000003</v>
      </c>
      <c r="Q125" s="81"/>
      <c r="R125" s="82"/>
      <c r="S125" s="93"/>
      <c r="T125" s="83">
        <f t="shared" si="4"/>
        <v>0</v>
      </c>
      <c r="U125" s="83">
        <f t="shared" si="5"/>
        <v>0</v>
      </c>
    </row>
    <row r="126" spans="1:21" ht="14.1" customHeight="1" x14ac:dyDescent="0.15">
      <c r="A126" s="146"/>
      <c r="B126" s="147"/>
      <c r="C126" s="147"/>
      <c r="D126" s="147" t="s">
        <v>96</v>
      </c>
      <c r="E126" s="147" t="s">
        <v>14</v>
      </c>
      <c r="F126" s="147"/>
      <c r="G126" s="147"/>
      <c r="H126" s="147"/>
      <c r="I126" s="651">
        <v>0</v>
      </c>
      <c r="J126" s="107">
        <v>0</v>
      </c>
      <c r="K126" s="653"/>
      <c r="L126" s="150" t="s">
        <v>82</v>
      </c>
      <c r="M126" s="212"/>
      <c r="N126" s="606"/>
      <c r="O126" s="606"/>
      <c r="P126" s="164">
        <f>(J126*M126*12)/(10^7)</f>
        <v>0</v>
      </c>
      <c r="Q126" s="151"/>
      <c r="R126" s="153"/>
      <c r="S126" s="93"/>
      <c r="T126" s="83">
        <f t="shared" ref="T126:T207" si="6">R126-S126</f>
        <v>0</v>
      </c>
      <c r="U126" s="83">
        <f t="shared" si="5"/>
        <v>0</v>
      </c>
    </row>
    <row r="127" spans="1:21" ht="14.1" customHeight="1" x14ac:dyDescent="0.15">
      <c r="A127" s="146"/>
      <c r="B127" s="147"/>
      <c r="C127" s="147"/>
      <c r="D127" s="147" t="s">
        <v>111</v>
      </c>
      <c r="E127" s="147"/>
      <c r="F127" s="147"/>
      <c r="G127" s="147"/>
      <c r="H127" s="147"/>
      <c r="I127" s="652"/>
      <c r="J127" s="108"/>
      <c r="K127" s="689">
        <f>224.35-K130</f>
        <v>223.5</v>
      </c>
      <c r="L127" s="152"/>
      <c r="M127" s="606"/>
      <c r="N127" s="212"/>
      <c r="O127" s="212">
        <v>11.2</v>
      </c>
      <c r="P127" s="151"/>
      <c r="Q127" s="151">
        <v>0</v>
      </c>
      <c r="R127" s="153"/>
      <c r="S127" s="93"/>
      <c r="T127" s="83">
        <f t="shared" si="6"/>
        <v>0</v>
      </c>
      <c r="U127" s="83">
        <f t="shared" si="5"/>
        <v>0</v>
      </c>
    </row>
    <row r="128" spans="1:21" ht="14.1" customHeight="1" thickBot="1" x14ac:dyDescent="0.2">
      <c r="A128" s="146"/>
      <c r="B128" s="147"/>
      <c r="C128" s="147"/>
      <c r="D128" s="147" t="s">
        <v>96</v>
      </c>
      <c r="E128" s="147"/>
      <c r="F128" s="147"/>
      <c r="G128" s="147"/>
      <c r="H128" s="147"/>
      <c r="I128" s="652"/>
      <c r="J128" s="108"/>
      <c r="K128" s="689">
        <v>0</v>
      </c>
      <c r="L128" s="356"/>
      <c r="M128" s="615"/>
      <c r="N128" s="629"/>
      <c r="O128" s="212">
        <v>11.2</v>
      </c>
      <c r="P128" s="357"/>
      <c r="Q128" s="357">
        <f>K128*O128/10</f>
        <v>0</v>
      </c>
      <c r="R128" s="358"/>
      <c r="S128" s="93"/>
      <c r="T128" s="83">
        <f t="shared" si="6"/>
        <v>0</v>
      </c>
      <c r="U128" s="83">
        <f t="shared" si="5"/>
        <v>0</v>
      </c>
    </row>
    <row r="129" spans="1:21" ht="14.1" customHeight="1" thickBot="1" x14ac:dyDescent="0.2">
      <c r="A129" s="359"/>
      <c r="B129" s="360"/>
      <c r="C129" s="459"/>
      <c r="D129" s="551" t="s">
        <v>49</v>
      </c>
      <c r="E129" s="387" t="s">
        <v>39</v>
      </c>
      <c r="F129" s="1154"/>
      <c r="G129" s="1154"/>
      <c r="H129" s="1154"/>
      <c r="I129" s="673">
        <f>I125</f>
        <v>943763</v>
      </c>
      <c r="J129" s="362">
        <f>J125</f>
        <v>2831289</v>
      </c>
      <c r="K129" s="701">
        <f>SUM(K127:K128)</f>
        <v>223.5</v>
      </c>
      <c r="L129" s="364"/>
      <c r="M129" s="630"/>
      <c r="N129" s="630"/>
      <c r="O129" s="630"/>
      <c r="P129" s="365">
        <f>SUM(P125:P126)</f>
        <v>311.44179000000003</v>
      </c>
      <c r="Q129" s="365">
        <f>SUM(Q127:Q128)</f>
        <v>0</v>
      </c>
      <c r="R129" s="366">
        <f>SUM(P129:Q129)</f>
        <v>311.44179000000003</v>
      </c>
      <c r="S129" s="85" t="e">
        <f>#REF!</f>
        <v>#REF!</v>
      </c>
      <c r="T129" s="83" t="e">
        <f t="shared" si="6"/>
        <v>#REF!</v>
      </c>
      <c r="U129" s="83" t="e">
        <f t="shared" si="5"/>
        <v>#REF!</v>
      </c>
    </row>
    <row r="130" spans="1:21" ht="21" customHeight="1" x14ac:dyDescent="0.15">
      <c r="A130" s="186">
        <v>19</v>
      </c>
      <c r="B130" s="174" t="s">
        <v>370</v>
      </c>
      <c r="C130" s="1531" t="s">
        <v>372</v>
      </c>
      <c r="D130" s="445"/>
      <c r="E130" s="444" t="s">
        <v>39</v>
      </c>
      <c r="F130" s="444"/>
      <c r="G130" s="444"/>
      <c r="H130" s="444"/>
      <c r="I130" s="871">
        <v>4429</v>
      </c>
      <c r="J130" s="871">
        <f>I130*4.25</f>
        <v>18823.25</v>
      </c>
      <c r="K130" s="870">
        <v>0.85</v>
      </c>
      <c r="L130" s="383" t="s">
        <v>373</v>
      </c>
      <c r="M130" s="623">
        <v>150</v>
      </c>
      <c r="N130" s="622"/>
      <c r="O130" s="623"/>
      <c r="P130" s="384">
        <f>(MAX(I130,J130)*M130*12)/(10^7)</f>
        <v>3.388185</v>
      </c>
      <c r="Q130" s="385"/>
      <c r="R130" s="386"/>
      <c r="S130" s="85"/>
      <c r="T130" s="83"/>
      <c r="U130" s="83"/>
    </row>
    <row r="131" spans="1:21" ht="14.1" customHeight="1" x14ac:dyDescent="0.15">
      <c r="A131" s="186"/>
      <c r="B131" s="174"/>
      <c r="C131" s="1531"/>
      <c r="D131" s="445"/>
      <c r="E131" s="445"/>
      <c r="F131" s="445"/>
      <c r="G131" s="445"/>
      <c r="H131" s="445"/>
      <c r="I131" s="446"/>
      <c r="J131" s="446"/>
      <c r="K131" s="704"/>
      <c r="L131" s="367"/>
      <c r="M131" s="625"/>
      <c r="N131" s="625"/>
      <c r="O131" s="626">
        <v>11.2</v>
      </c>
      <c r="P131" s="375"/>
      <c r="Q131" s="376">
        <f>K130*O131/10</f>
        <v>0.95199999999999996</v>
      </c>
      <c r="R131" s="368"/>
      <c r="S131" s="85"/>
      <c r="T131" s="83"/>
      <c r="U131" s="83"/>
    </row>
    <row r="132" spans="1:21" ht="14.1" customHeight="1" thickBot="1" x14ac:dyDescent="0.2">
      <c r="A132" s="186"/>
      <c r="B132" s="174"/>
      <c r="C132" s="174"/>
      <c r="D132" s="173"/>
      <c r="E132" s="369"/>
      <c r="F132" s="369"/>
      <c r="G132" s="369"/>
      <c r="H132" s="369"/>
      <c r="I132" s="674"/>
      <c r="J132" s="370"/>
      <c r="K132" s="705"/>
      <c r="L132" s="371"/>
      <c r="M132" s="631"/>
      <c r="N132" s="631"/>
      <c r="O132" s="631"/>
      <c r="Q132" s="377"/>
      <c r="R132" s="377"/>
      <c r="S132" s="85"/>
      <c r="T132" s="83"/>
      <c r="U132" s="83"/>
    </row>
    <row r="133" spans="1:21" ht="14.1" customHeight="1" thickBot="1" x14ac:dyDescent="0.2">
      <c r="A133" s="137"/>
      <c r="B133" s="138"/>
      <c r="C133" s="138"/>
      <c r="D133" s="166" t="s">
        <v>49</v>
      </c>
      <c r="E133" s="378"/>
      <c r="F133" s="1155"/>
      <c r="G133" s="1155"/>
      <c r="H133" s="1155"/>
      <c r="I133" s="675">
        <f>I130</f>
        <v>4429</v>
      </c>
      <c r="J133" s="379">
        <f>J130</f>
        <v>18823.25</v>
      </c>
      <c r="K133" s="706">
        <f>SUM(K130:K132)</f>
        <v>0.85</v>
      </c>
      <c r="L133" s="380"/>
      <c r="M133" s="632"/>
      <c r="N133" s="632"/>
      <c r="O133" s="632"/>
      <c r="P133" s="381">
        <f>P130</f>
        <v>3.388185</v>
      </c>
      <c r="Q133" s="381">
        <f>Q131</f>
        <v>0.95199999999999996</v>
      </c>
      <c r="R133" s="382">
        <f>Q133+P133</f>
        <v>4.340185</v>
      </c>
      <c r="T133" s="83" t="e">
        <f>#REF!-S133</f>
        <v>#REF!</v>
      </c>
      <c r="U133" s="83" t="e">
        <f>S133-#REF!</f>
        <v>#REF!</v>
      </c>
    </row>
    <row r="134" spans="1:21" ht="14.1" customHeight="1" thickBot="1" x14ac:dyDescent="0.2">
      <c r="A134" s="141" t="s">
        <v>112</v>
      </c>
      <c r="B134" s="142"/>
      <c r="C134" s="142"/>
      <c r="D134" s="142"/>
      <c r="E134" s="372" t="s">
        <v>39</v>
      </c>
      <c r="F134" s="1156">
        <f>+[1]Sheet1!$P$22</f>
        <v>1083461</v>
      </c>
      <c r="G134" s="1156">
        <f>+[1]Sheet1!$V$22</f>
        <v>1039228</v>
      </c>
      <c r="H134" s="1156">
        <f>+[1]Sheet1!$V$22</f>
        <v>1039228</v>
      </c>
      <c r="I134" s="658">
        <v>948192</v>
      </c>
      <c r="J134" s="373">
        <f>J129+J133</f>
        <v>2850112.25</v>
      </c>
      <c r="K134" s="692">
        <f>K129+K133</f>
        <v>224.35</v>
      </c>
      <c r="L134" s="374"/>
      <c r="M134" s="617"/>
      <c r="N134" s="617"/>
      <c r="O134" s="617"/>
      <c r="P134" s="374">
        <f>P129+P133</f>
        <v>314.82997500000005</v>
      </c>
      <c r="Q134" s="374">
        <f>Q129+Q133</f>
        <v>0.95199999999999996</v>
      </c>
      <c r="R134" s="374">
        <f>R129+R133</f>
        <v>315.78197500000005</v>
      </c>
      <c r="S134" s="97" t="e">
        <f>S129</f>
        <v>#REF!</v>
      </c>
      <c r="T134" s="83" t="e">
        <f t="shared" si="6"/>
        <v>#REF!</v>
      </c>
      <c r="U134" s="83" t="e">
        <f t="shared" si="5"/>
        <v>#REF!</v>
      </c>
    </row>
    <row r="135" spans="1:21" ht="14.1" customHeight="1" thickBot="1" x14ac:dyDescent="0.2">
      <c r="A135" s="181"/>
      <c r="B135" s="166"/>
      <c r="C135" s="166"/>
      <c r="D135" s="166"/>
      <c r="E135" s="166"/>
      <c r="F135" s="166"/>
      <c r="G135" s="166"/>
      <c r="H135" s="166"/>
      <c r="I135" s="657"/>
      <c r="J135" s="111"/>
      <c r="K135" s="691"/>
      <c r="L135" s="78"/>
      <c r="M135" s="214"/>
      <c r="N135" s="214"/>
      <c r="O135" s="214"/>
      <c r="P135" s="139"/>
      <c r="Q135" s="139"/>
      <c r="R135" s="139"/>
      <c r="S135" s="93"/>
      <c r="T135" s="83">
        <f t="shared" si="6"/>
        <v>0</v>
      </c>
      <c r="U135" s="83">
        <f t="shared" si="5"/>
        <v>0</v>
      </c>
    </row>
    <row r="136" spans="1:21" ht="25.5" customHeight="1" thickBot="1" x14ac:dyDescent="0.2">
      <c r="A136" s="346" t="s">
        <v>113</v>
      </c>
      <c r="B136" s="347"/>
      <c r="C136" s="347"/>
      <c r="D136" s="347"/>
      <c r="E136" s="347"/>
      <c r="F136" s="347">
        <f>+F8+F9+F32+F50+F66+F71+F73+F81+F108+F110+F114+F118+F134</f>
        <v>14424722</v>
      </c>
      <c r="G136" s="347">
        <f>+G8+G9+G32+G50+G66+G71+G73+G81+G108+G110+G114+G118+G134</f>
        <v>14144977</v>
      </c>
      <c r="H136" s="347">
        <f>+H8+H9+H32+H50+H66+H71+H73+H81+H108+H110+H114+H118+H134</f>
        <v>13341690</v>
      </c>
      <c r="I136" s="676">
        <f>SUM(I10,I52,I66,I86,I108,I123,I134)</f>
        <v>13545434</v>
      </c>
      <c r="J136" s="348">
        <f>J10+J52+J66+J86+J108+J123+J134</f>
        <v>34142073.731631607</v>
      </c>
      <c r="K136" s="707">
        <f>SUM(K8,K9,K52,K66,K86,K108,K123,K134)</f>
        <v>20997.93</v>
      </c>
      <c r="L136" s="349"/>
      <c r="M136" s="633"/>
      <c r="N136" s="633"/>
      <c r="O136" s="633"/>
      <c r="P136" s="349">
        <f>SUM(P9,P8,P52,P66,P86,P108,P123,P134)</f>
        <v>3636.6581162088501</v>
      </c>
      <c r="Q136" s="349">
        <f>SUM(Q9,Q8,Q52,Q66,Q86,Q108,Q123,Q134)</f>
        <v>12539.0573162285</v>
      </c>
      <c r="R136" s="349">
        <f>SUM(R9,R8,R52,R66,R86,R108,R123,R134)</f>
        <v>16175.715432437351</v>
      </c>
      <c r="S136" s="98" t="e">
        <f>SUM(S10,S52,S66,S86,S108,S123,S134)</f>
        <v>#REF!</v>
      </c>
      <c r="T136" s="83" t="e">
        <f t="shared" si="6"/>
        <v>#REF!</v>
      </c>
      <c r="U136" s="83" t="e">
        <f t="shared" si="5"/>
        <v>#REF!</v>
      </c>
    </row>
    <row r="137" spans="1:21" ht="14.1" customHeight="1" thickBot="1" x14ac:dyDescent="0.2">
      <c r="A137" s="181"/>
      <c r="B137" s="166"/>
      <c r="C137" s="166"/>
      <c r="D137" s="138"/>
      <c r="E137" s="138"/>
      <c r="F137" s="138"/>
      <c r="G137" s="138"/>
      <c r="H137" s="138"/>
      <c r="I137" s="650"/>
      <c r="J137" s="106"/>
      <c r="K137" s="687"/>
      <c r="L137" s="78"/>
      <c r="M137" s="214"/>
      <c r="N137" s="214"/>
      <c r="O137" s="214"/>
      <c r="P137" s="97"/>
      <c r="Q137" s="97"/>
      <c r="R137" s="139"/>
      <c r="S137" s="93"/>
      <c r="T137" s="83">
        <f t="shared" si="6"/>
        <v>0</v>
      </c>
      <c r="U137" s="83">
        <f t="shared" si="5"/>
        <v>0</v>
      </c>
    </row>
    <row r="138" spans="1:21" ht="14.1" customHeight="1" x14ac:dyDescent="0.15">
      <c r="A138" s="77">
        <v>1</v>
      </c>
      <c r="B138" s="78" t="s">
        <v>16</v>
      </c>
      <c r="C138" s="78" t="s">
        <v>114</v>
      </c>
      <c r="D138" s="78"/>
      <c r="E138" s="78" t="s">
        <v>115</v>
      </c>
      <c r="F138" s="78"/>
      <c r="G138" s="78"/>
      <c r="H138" s="78"/>
      <c r="I138" s="215">
        <v>301</v>
      </c>
      <c r="J138" s="115">
        <f>I138*750</f>
        <v>225750</v>
      </c>
      <c r="K138" s="688"/>
      <c r="L138" s="80" t="s">
        <v>116</v>
      </c>
      <c r="M138" s="217">
        <v>250</v>
      </c>
      <c r="N138" s="216"/>
      <c r="O138" s="216"/>
      <c r="P138" s="81">
        <f>(J138*85/100*M138*12)/(10^7)</f>
        <v>57.566249999999997</v>
      </c>
      <c r="Q138" s="81"/>
      <c r="R138" s="82"/>
      <c r="S138" s="93"/>
      <c r="T138" s="83">
        <f t="shared" si="6"/>
        <v>0</v>
      </c>
      <c r="U138" s="83">
        <f t="shared" si="5"/>
        <v>0</v>
      </c>
    </row>
    <row r="139" spans="1:21" ht="14.1" customHeight="1" x14ac:dyDescent="0.15">
      <c r="A139" s="146"/>
      <c r="B139" s="147"/>
      <c r="C139" s="147" t="s">
        <v>117</v>
      </c>
      <c r="D139" s="147"/>
      <c r="E139" s="147"/>
      <c r="F139" s="147"/>
      <c r="G139" s="147"/>
      <c r="H139" s="147"/>
      <c r="I139" s="652"/>
      <c r="J139" s="154"/>
      <c r="K139" s="689">
        <v>871.81</v>
      </c>
      <c r="L139" s="150"/>
      <c r="M139" s="212"/>
      <c r="N139" s="212"/>
      <c r="O139" s="212">
        <v>5.6</v>
      </c>
      <c r="P139" s="151"/>
      <c r="Q139" s="151">
        <f>K139*O139/10</f>
        <v>488.21359999999993</v>
      </c>
      <c r="R139" s="153"/>
      <c r="S139" s="93"/>
      <c r="T139" s="83">
        <f t="shared" si="6"/>
        <v>0</v>
      </c>
      <c r="U139" s="83">
        <f t="shared" si="5"/>
        <v>0</v>
      </c>
    </row>
    <row r="140" spans="1:21" ht="14.1" customHeight="1" thickBot="1" x14ac:dyDescent="0.2">
      <c r="A140" s="146"/>
      <c r="B140" s="147"/>
      <c r="C140" s="147" t="s">
        <v>118</v>
      </c>
      <c r="D140" s="155" t="s">
        <v>49</v>
      </c>
      <c r="E140" s="155" t="s">
        <v>115</v>
      </c>
      <c r="F140" s="155"/>
      <c r="G140" s="155"/>
      <c r="H140" s="155"/>
      <c r="I140" s="654">
        <f>I138</f>
        <v>301</v>
      </c>
      <c r="J140" s="156">
        <f>J138</f>
        <v>225750</v>
      </c>
      <c r="K140" s="690">
        <f>SUM(K139)</f>
        <v>871.81</v>
      </c>
      <c r="L140" s="158"/>
      <c r="M140" s="609"/>
      <c r="N140" s="609"/>
      <c r="O140" s="609"/>
      <c r="P140" s="159">
        <f>P138</f>
        <v>57.566249999999997</v>
      </c>
      <c r="Q140" s="159">
        <f>Q139</f>
        <v>488.21359999999993</v>
      </c>
      <c r="R140" s="160">
        <f>SUM(P140:Q140)</f>
        <v>545.7798499999999</v>
      </c>
      <c r="S140" s="94" t="e">
        <f>#REF!</f>
        <v>#REF!</v>
      </c>
      <c r="T140" s="83" t="e">
        <f t="shared" si="6"/>
        <v>#REF!</v>
      </c>
      <c r="U140" s="83" t="e">
        <f t="shared" si="5"/>
        <v>#REF!</v>
      </c>
    </row>
    <row r="141" spans="1:21" ht="14.1" customHeight="1" thickBot="1" x14ac:dyDescent="0.2">
      <c r="A141" s="137"/>
      <c r="B141" s="138"/>
      <c r="C141" s="138"/>
      <c r="D141" s="166"/>
      <c r="E141" s="166"/>
      <c r="F141" s="166"/>
      <c r="G141" s="166"/>
      <c r="H141" s="166"/>
      <c r="I141" s="657"/>
      <c r="J141" s="167"/>
      <c r="K141" s="691"/>
      <c r="L141" s="78"/>
      <c r="M141" s="214"/>
      <c r="N141" s="214"/>
      <c r="O141" s="214"/>
      <c r="P141" s="139"/>
      <c r="Q141" s="139"/>
      <c r="R141" s="139"/>
      <c r="S141" s="93"/>
      <c r="T141" s="83">
        <f t="shared" si="6"/>
        <v>0</v>
      </c>
      <c r="U141" s="83">
        <f t="shared" si="5"/>
        <v>0</v>
      </c>
    </row>
    <row r="142" spans="1:21" ht="14.1" customHeight="1" thickBot="1" x14ac:dyDescent="0.2">
      <c r="A142" s="141" t="s">
        <v>119</v>
      </c>
      <c r="B142" s="142"/>
      <c r="C142" s="142"/>
      <c r="D142" s="142"/>
      <c r="E142" s="142" t="s">
        <v>39</v>
      </c>
      <c r="F142" s="1156">
        <f>+[1]Sheet1!$P$25</f>
        <v>320</v>
      </c>
      <c r="G142" s="1156">
        <f>+[1]Sheet1!$V$25</f>
        <v>312</v>
      </c>
      <c r="H142" s="1156">
        <f>+[1]Sheet1!$V$25</f>
        <v>312</v>
      </c>
      <c r="I142" s="649">
        <f>I140</f>
        <v>301</v>
      </c>
      <c r="J142" s="113">
        <f>J140</f>
        <v>225750</v>
      </c>
      <c r="K142" s="686">
        <f>K140</f>
        <v>871.81</v>
      </c>
      <c r="L142" s="143"/>
      <c r="M142" s="613"/>
      <c r="N142" s="613"/>
      <c r="O142" s="613"/>
      <c r="P142" s="143">
        <f>P140</f>
        <v>57.566249999999997</v>
      </c>
      <c r="Q142" s="143">
        <f>Q140</f>
        <v>488.21359999999993</v>
      </c>
      <c r="R142" s="143">
        <f>R140</f>
        <v>545.7798499999999</v>
      </c>
      <c r="S142" s="97" t="e">
        <f>S140</f>
        <v>#REF!</v>
      </c>
      <c r="T142" s="83" t="e">
        <f t="shared" si="6"/>
        <v>#REF!</v>
      </c>
      <c r="U142" s="83" t="e">
        <f t="shared" si="5"/>
        <v>#REF!</v>
      </c>
    </row>
    <row r="143" spans="1:21" ht="14.1" customHeight="1" thickBot="1" x14ac:dyDescent="0.2">
      <c r="A143" s="137"/>
      <c r="B143" s="138"/>
      <c r="C143" s="138"/>
      <c r="D143" s="138"/>
      <c r="E143" s="138"/>
      <c r="F143" s="138"/>
      <c r="G143" s="138"/>
      <c r="H143" s="138"/>
      <c r="I143" s="650"/>
      <c r="J143" s="140"/>
      <c r="K143" s="687"/>
      <c r="L143" s="138"/>
      <c r="M143" s="604"/>
      <c r="N143" s="214"/>
      <c r="O143" s="214"/>
      <c r="P143" s="97"/>
      <c r="Q143" s="97"/>
      <c r="R143" s="139"/>
      <c r="S143" s="93"/>
      <c r="T143" s="83">
        <f t="shared" si="6"/>
        <v>0</v>
      </c>
      <c r="U143" s="83">
        <f t="shared" si="5"/>
        <v>0</v>
      </c>
    </row>
    <row r="144" spans="1:21" ht="14.1" customHeight="1" x14ac:dyDescent="0.15">
      <c r="A144" s="77">
        <v>2</v>
      </c>
      <c r="B144" s="78" t="s">
        <v>120</v>
      </c>
      <c r="C144" s="78" t="s">
        <v>121</v>
      </c>
      <c r="D144" s="78"/>
      <c r="E144" s="78" t="s">
        <v>115</v>
      </c>
      <c r="F144" s="78"/>
      <c r="G144" s="78"/>
      <c r="H144" s="78"/>
      <c r="I144" s="215">
        <v>4499</v>
      </c>
      <c r="J144" s="115">
        <f>(I144*525)</f>
        <v>2361975</v>
      </c>
      <c r="K144" s="688"/>
      <c r="L144" s="80" t="s">
        <v>116</v>
      </c>
      <c r="M144" s="217">
        <v>275</v>
      </c>
      <c r="N144" s="216"/>
      <c r="O144" s="216"/>
      <c r="P144" s="81">
        <f>(J144*85/100*M144*12)/(10^7)</f>
        <v>662.53398749999997</v>
      </c>
      <c r="Q144" s="81"/>
      <c r="R144" s="82"/>
      <c r="S144" s="93"/>
      <c r="T144" s="83">
        <f t="shared" si="6"/>
        <v>0</v>
      </c>
      <c r="U144" s="83">
        <f t="shared" si="5"/>
        <v>0</v>
      </c>
    </row>
    <row r="145" spans="1:21" ht="14.1" customHeight="1" x14ac:dyDescent="0.15">
      <c r="A145" s="146"/>
      <c r="B145" s="147"/>
      <c r="C145" s="147"/>
      <c r="D145" s="147"/>
      <c r="E145" s="147"/>
      <c r="F145" s="147"/>
      <c r="G145" s="147"/>
      <c r="H145" s="147"/>
      <c r="I145" s="652"/>
      <c r="J145" s="108"/>
      <c r="K145" s="653"/>
      <c r="L145" s="152"/>
      <c r="M145" s="606"/>
      <c r="N145" s="606"/>
      <c r="O145" s="606"/>
      <c r="P145" s="151"/>
      <c r="Q145" s="151"/>
      <c r="R145" s="153"/>
      <c r="S145" s="93"/>
      <c r="T145" s="83">
        <f t="shared" si="6"/>
        <v>0</v>
      </c>
      <c r="U145" s="83">
        <f t="shared" si="5"/>
        <v>0</v>
      </c>
    </row>
    <row r="146" spans="1:21" ht="14.1" customHeight="1" x14ac:dyDescent="0.15">
      <c r="A146" s="146"/>
      <c r="B146" s="147"/>
      <c r="C146" s="147" t="s">
        <v>127</v>
      </c>
      <c r="D146" s="147" t="s">
        <v>122</v>
      </c>
      <c r="E146" s="147"/>
      <c r="F146" s="147"/>
      <c r="G146" s="147"/>
      <c r="H146" s="147"/>
      <c r="I146" s="652"/>
      <c r="J146" s="207">
        <f>K146/K148</f>
        <v>0.39999999999999997</v>
      </c>
      <c r="K146" s="689">
        <f>K148*40/100</f>
        <v>987.2879999999999</v>
      </c>
      <c r="L146" s="208"/>
      <c r="M146" s="618"/>
      <c r="N146" s="212" t="s">
        <v>122</v>
      </c>
      <c r="O146" s="212">
        <v>7.5</v>
      </c>
      <c r="P146" s="151"/>
      <c r="Q146" s="151">
        <f>K146*O146/10</f>
        <v>740.46599999999989</v>
      </c>
      <c r="R146" s="153"/>
      <c r="S146" s="93"/>
      <c r="T146" s="83">
        <f t="shared" si="6"/>
        <v>0</v>
      </c>
      <c r="U146" s="83">
        <f t="shared" si="5"/>
        <v>0</v>
      </c>
    </row>
    <row r="147" spans="1:21" ht="14.1" customHeight="1" x14ac:dyDescent="0.15">
      <c r="A147" s="146"/>
      <c r="B147" s="147"/>
      <c r="C147" s="147" t="s">
        <v>128</v>
      </c>
      <c r="D147" s="147" t="s">
        <v>123</v>
      </c>
      <c r="E147" s="147"/>
      <c r="F147" s="147"/>
      <c r="G147" s="147"/>
      <c r="H147" s="147"/>
      <c r="I147" s="652"/>
      <c r="J147" s="207">
        <f>K147/K148</f>
        <v>0.6</v>
      </c>
      <c r="K147" s="689">
        <f>K148-K146</f>
        <v>1480.9319999999998</v>
      </c>
      <c r="L147" s="208"/>
      <c r="M147" s="618"/>
      <c r="N147" s="212" t="s">
        <v>123</v>
      </c>
      <c r="O147" s="212">
        <v>7.8</v>
      </c>
      <c r="P147" s="151"/>
      <c r="Q147" s="151">
        <f>K147*O147/10</f>
        <v>1155.1269599999998</v>
      </c>
      <c r="R147" s="153"/>
      <c r="S147" s="93"/>
      <c r="T147" s="83">
        <f t="shared" si="6"/>
        <v>0</v>
      </c>
      <c r="U147" s="83">
        <f t="shared" si="5"/>
        <v>0</v>
      </c>
    </row>
    <row r="148" spans="1:21" ht="14.1" customHeight="1" thickBot="1" x14ac:dyDescent="0.2">
      <c r="A148" s="146"/>
      <c r="B148" s="147"/>
      <c r="C148" s="147"/>
      <c r="D148" s="155" t="s">
        <v>49</v>
      </c>
      <c r="E148" s="155" t="s">
        <v>115</v>
      </c>
      <c r="F148" s="155"/>
      <c r="G148" s="155"/>
      <c r="H148" s="155"/>
      <c r="I148" s="654">
        <f>I144</f>
        <v>4499</v>
      </c>
      <c r="J148" s="156">
        <f>J144</f>
        <v>2361975</v>
      </c>
      <c r="K148" s="690">
        <v>2468.2199999999998</v>
      </c>
      <c r="L148" s="157"/>
      <c r="M148" s="609"/>
      <c r="N148" s="609"/>
      <c r="O148" s="609"/>
      <c r="P148" s="159">
        <f>P144</f>
        <v>662.53398749999997</v>
      </c>
      <c r="Q148" s="159">
        <f>SUM(Q146:Q147)</f>
        <v>1895.5929599999997</v>
      </c>
      <c r="R148" s="160">
        <f>SUM(P148:Q148)</f>
        <v>2558.1269474999999</v>
      </c>
      <c r="S148" s="94" t="e">
        <f>#REF!</f>
        <v>#REF!</v>
      </c>
      <c r="T148" s="83" t="e">
        <f t="shared" si="6"/>
        <v>#REF!</v>
      </c>
      <c r="U148" s="83" t="e">
        <f t="shared" si="5"/>
        <v>#REF!</v>
      </c>
    </row>
    <row r="149" spans="1:21" ht="14.1" customHeight="1" thickBot="1" x14ac:dyDescent="0.2">
      <c r="A149" s="137"/>
      <c r="B149" s="138"/>
      <c r="C149" s="138"/>
      <c r="D149" s="138"/>
      <c r="E149" s="138"/>
      <c r="F149" s="138"/>
      <c r="G149" s="138"/>
      <c r="H149" s="138"/>
      <c r="I149" s="650"/>
      <c r="J149" s="106"/>
      <c r="K149" s="687"/>
      <c r="L149" s="78"/>
      <c r="M149" s="214"/>
      <c r="N149" s="214"/>
      <c r="O149" s="214"/>
      <c r="P149" s="97"/>
      <c r="Q149" s="97"/>
      <c r="R149" s="139"/>
      <c r="S149" s="93"/>
      <c r="T149" s="83">
        <f t="shared" si="6"/>
        <v>0</v>
      </c>
      <c r="U149" s="83">
        <f t="shared" si="5"/>
        <v>0</v>
      </c>
    </row>
    <row r="150" spans="1:21" ht="14.1" customHeight="1" x14ac:dyDescent="0.15">
      <c r="A150" s="77">
        <v>3</v>
      </c>
      <c r="B150" s="78" t="s">
        <v>124</v>
      </c>
      <c r="C150" s="78" t="s">
        <v>125</v>
      </c>
      <c r="D150" s="78"/>
      <c r="E150" s="78" t="s">
        <v>115</v>
      </c>
      <c r="F150" s="78"/>
      <c r="G150" s="78"/>
      <c r="H150" s="78"/>
      <c r="I150" s="215">
        <v>3681</v>
      </c>
      <c r="J150" s="115">
        <f>(I150*455)</f>
        <v>1674855</v>
      </c>
      <c r="K150" s="688"/>
      <c r="L150" s="80" t="s">
        <v>116</v>
      </c>
      <c r="M150" s="217">
        <v>265</v>
      </c>
      <c r="N150" s="216"/>
      <c r="O150" s="216"/>
      <c r="P150" s="81">
        <f>(J150*85/100*M150*12)/(10^7)</f>
        <v>452.71330649999999</v>
      </c>
      <c r="Q150" s="81"/>
      <c r="R150" s="82"/>
      <c r="S150" s="93"/>
      <c r="T150" s="83">
        <f t="shared" si="6"/>
        <v>0</v>
      </c>
      <c r="U150" s="83">
        <f t="shared" si="5"/>
        <v>0</v>
      </c>
    </row>
    <row r="151" spans="1:21" ht="14.1" customHeight="1" x14ac:dyDescent="0.15">
      <c r="A151" s="146"/>
      <c r="B151" s="147"/>
      <c r="C151" s="147" t="s">
        <v>126</v>
      </c>
      <c r="D151" s="147"/>
      <c r="E151" s="147"/>
      <c r="F151" s="147"/>
      <c r="G151" s="147"/>
      <c r="H151" s="147"/>
      <c r="I151" s="652"/>
      <c r="J151" s="108"/>
      <c r="K151" s="653"/>
      <c r="L151" s="150"/>
      <c r="M151" s="212"/>
      <c r="N151" s="606"/>
      <c r="O151" s="606"/>
      <c r="P151" s="151"/>
      <c r="Q151" s="151"/>
      <c r="R151" s="153"/>
      <c r="S151" s="93"/>
      <c r="T151" s="83">
        <f t="shared" si="6"/>
        <v>0</v>
      </c>
      <c r="U151" s="83">
        <f t="shared" si="5"/>
        <v>0</v>
      </c>
    </row>
    <row r="152" spans="1:21" ht="14.1" customHeight="1" x14ac:dyDescent="0.15">
      <c r="A152" s="146"/>
      <c r="B152" s="147"/>
      <c r="C152" s="147" t="s">
        <v>127</v>
      </c>
      <c r="D152" s="147" t="s">
        <v>122</v>
      </c>
      <c r="E152" s="147"/>
      <c r="F152" s="147"/>
      <c r="G152" s="147"/>
      <c r="H152" s="147"/>
      <c r="I152" s="652"/>
      <c r="J152" s="207">
        <f>K152/K154</f>
        <v>0.39999999999999997</v>
      </c>
      <c r="K152" s="689">
        <f>K154*40/100</f>
        <v>807.78399999999999</v>
      </c>
      <c r="L152" s="208"/>
      <c r="M152" s="618"/>
      <c r="N152" s="212" t="s">
        <v>122</v>
      </c>
      <c r="O152" s="212">
        <v>7.4</v>
      </c>
      <c r="P152" s="151"/>
      <c r="Q152" s="151">
        <f>K152*O152/10</f>
        <v>597.76016000000004</v>
      </c>
      <c r="R152" s="153"/>
      <c r="S152" s="93"/>
      <c r="T152" s="83">
        <f t="shared" si="6"/>
        <v>0</v>
      </c>
      <c r="U152" s="83">
        <f t="shared" si="5"/>
        <v>0</v>
      </c>
    </row>
    <row r="153" spans="1:21" ht="14.1" customHeight="1" x14ac:dyDescent="0.15">
      <c r="A153" s="146"/>
      <c r="B153" s="147"/>
      <c r="C153" s="147" t="s">
        <v>128</v>
      </c>
      <c r="D153" s="147" t="s">
        <v>123</v>
      </c>
      <c r="E153" s="147"/>
      <c r="F153" s="147"/>
      <c r="G153" s="147"/>
      <c r="H153" s="147"/>
      <c r="I153" s="652"/>
      <c r="J153" s="207">
        <f>K153/K154</f>
        <v>0.6</v>
      </c>
      <c r="K153" s="689">
        <f>K154-K152</f>
        <v>1211.6759999999999</v>
      </c>
      <c r="L153" s="208"/>
      <c r="M153" s="618"/>
      <c r="N153" s="212" t="s">
        <v>123</v>
      </c>
      <c r="O153" s="212">
        <v>7.6</v>
      </c>
      <c r="P153" s="151"/>
      <c r="Q153" s="151">
        <f>K153*O153/10</f>
        <v>920.87375999999983</v>
      </c>
      <c r="R153" s="153"/>
      <c r="S153" s="93"/>
      <c r="T153" s="83">
        <f t="shared" si="6"/>
        <v>0</v>
      </c>
      <c r="U153" s="83">
        <f t="shared" si="5"/>
        <v>0</v>
      </c>
    </row>
    <row r="154" spans="1:21" ht="14.1" customHeight="1" thickBot="1" x14ac:dyDescent="0.2">
      <c r="A154" s="146"/>
      <c r="B154" s="147"/>
      <c r="C154" s="147"/>
      <c r="D154" s="155" t="s">
        <v>49</v>
      </c>
      <c r="E154" s="155" t="s">
        <v>115</v>
      </c>
      <c r="F154" s="155"/>
      <c r="G154" s="155"/>
      <c r="H154" s="155"/>
      <c r="I154" s="654">
        <f>I150</f>
        <v>3681</v>
      </c>
      <c r="J154" s="156">
        <f>J150</f>
        <v>1674855</v>
      </c>
      <c r="K154" s="690">
        <v>2019.46</v>
      </c>
      <c r="L154" s="157"/>
      <c r="M154" s="609"/>
      <c r="N154" s="609"/>
      <c r="O154" s="609"/>
      <c r="P154" s="159">
        <f>P150</f>
        <v>452.71330649999999</v>
      </c>
      <c r="Q154" s="159">
        <f>SUM(Q152:Q153)</f>
        <v>1518.6339199999998</v>
      </c>
      <c r="R154" s="160">
        <f>SUM(P154:Q154)</f>
        <v>1971.3472264999998</v>
      </c>
      <c r="S154" s="94" t="e">
        <f>#REF!</f>
        <v>#REF!</v>
      </c>
      <c r="T154" s="83" t="e">
        <f t="shared" si="6"/>
        <v>#REF!</v>
      </c>
      <c r="U154" s="83" t="e">
        <f t="shared" si="5"/>
        <v>#REF!</v>
      </c>
    </row>
    <row r="155" spans="1:21" ht="14.1" customHeight="1" thickBot="1" x14ac:dyDescent="0.2">
      <c r="A155" s="137"/>
      <c r="B155" s="138"/>
      <c r="C155" s="138"/>
      <c r="D155" s="138"/>
      <c r="E155" s="138"/>
      <c r="F155" s="138"/>
      <c r="G155" s="138"/>
      <c r="H155" s="138"/>
      <c r="I155" s="650"/>
      <c r="J155" s="140"/>
      <c r="K155" s="687"/>
      <c r="L155" s="78"/>
      <c r="M155" s="214"/>
      <c r="N155" s="214"/>
      <c r="O155" s="214"/>
      <c r="P155" s="97"/>
      <c r="Q155" s="97"/>
      <c r="R155" s="139"/>
      <c r="S155" s="93"/>
      <c r="T155" s="83">
        <f t="shared" si="6"/>
        <v>0</v>
      </c>
      <c r="U155" s="83">
        <f t="shared" si="5"/>
        <v>0</v>
      </c>
    </row>
    <row r="156" spans="1:21" ht="14.1" customHeight="1" x14ac:dyDescent="0.15">
      <c r="A156" s="168" t="s">
        <v>129</v>
      </c>
      <c r="B156" s="169"/>
      <c r="C156" s="169"/>
      <c r="D156" s="169"/>
      <c r="E156" s="169" t="s">
        <v>39</v>
      </c>
      <c r="F156" s="1156">
        <f>+[1]Sheet1!$P$26</f>
        <v>8637</v>
      </c>
      <c r="G156" s="1156">
        <f>+[1]Sheet1!$V$26</f>
        <v>8465</v>
      </c>
      <c r="H156" s="1156">
        <f>+[1]Sheet1!$V$26</f>
        <v>8465</v>
      </c>
      <c r="I156" s="658">
        <f>I148+I154</f>
        <v>8180</v>
      </c>
      <c r="J156" s="114">
        <f>J148+J154</f>
        <v>4036830</v>
      </c>
      <c r="K156" s="692">
        <f>K148+K154</f>
        <v>4487.68</v>
      </c>
      <c r="L156" s="171"/>
      <c r="M156" s="617"/>
      <c r="N156" s="617"/>
      <c r="O156" s="617"/>
      <c r="P156" s="171">
        <f>SUM(P148,P154)</f>
        <v>1115.247294</v>
      </c>
      <c r="Q156" s="171">
        <f>SUM(Q148,Q154)</f>
        <v>3414.2268799999993</v>
      </c>
      <c r="R156" s="171">
        <f>SUM(R148,R154)</f>
        <v>4529.4741739999999</v>
      </c>
      <c r="S156" s="96" t="e">
        <f>SUM(S148,S154)</f>
        <v>#REF!</v>
      </c>
      <c r="T156" s="83" t="e">
        <f t="shared" si="6"/>
        <v>#REF!</v>
      </c>
      <c r="U156" s="83" t="e">
        <f t="shared" si="5"/>
        <v>#REF!</v>
      </c>
    </row>
    <row r="157" spans="1:21" ht="14.1" customHeight="1" thickBot="1" x14ac:dyDescent="0.2">
      <c r="A157" s="186"/>
      <c r="B157" s="174"/>
      <c r="C157" s="174"/>
      <c r="D157" s="174"/>
      <c r="E157" s="174"/>
      <c r="F157" s="174"/>
      <c r="G157" s="174"/>
      <c r="H157" s="174"/>
      <c r="I157" s="659"/>
      <c r="J157" s="175"/>
      <c r="K157" s="693"/>
      <c r="L157" s="180"/>
      <c r="M157" s="612"/>
      <c r="N157" s="612"/>
      <c r="O157" s="612"/>
      <c r="P157" s="96"/>
      <c r="Q157" s="96"/>
      <c r="R157" s="176"/>
      <c r="S157" s="93"/>
      <c r="T157" s="83">
        <f t="shared" si="6"/>
        <v>0</v>
      </c>
      <c r="U157" s="83">
        <f t="shared" si="5"/>
        <v>0</v>
      </c>
    </row>
    <row r="158" spans="1:21" ht="14.1" customHeight="1" x14ac:dyDescent="0.15">
      <c r="A158" s="77">
        <v>4</v>
      </c>
      <c r="B158" s="78" t="s">
        <v>130</v>
      </c>
      <c r="C158" s="78" t="s">
        <v>407</v>
      </c>
      <c r="D158" s="78"/>
      <c r="E158" s="78" t="s">
        <v>115</v>
      </c>
      <c r="F158" s="78"/>
      <c r="G158" s="78"/>
      <c r="H158" s="78"/>
      <c r="I158" s="215">
        <v>7651</v>
      </c>
      <c r="J158" s="115">
        <f>I158*355</f>
        <v>2716105</v>
      </c>
      <c r="K158" s="688"/>
      <c r="L158" s="80" t="s">
        <v>116</v>
      </c>
      <c r="M158" s="217">
        <v>300</v>
      </c>
      <c r="N158" s="216"/>
      <c r="O158" s="216"/>
      <c r="P158" s="81">
        <f>(J158*85/100*M158*12)/(10^7)</f>
        <v>831.12813000000006</v>
      </c>
      <c r="Q158" s="81"/>
      <c r="R158" s="82"/>
      <c r="S158" s="93"/>
      <c r="T158" s="83">
        <f t="shared" si="6"/>
        <v>0</v>
      </c>
      <c r="U158" s="83">
        <f t="shared" si="5"/>
        <v>0</v>
      </c>
    </row>
    <row r="159" spans="1:21" ht="14.1" customHeight="1" x14ac:dyDescent="0.15">
      <c r="A159" s="146"/>
      <c r="B159" s="147"/>
      <c r="C159" s="147"/>
      <c r="D159" s="147"/>
      <c r="E159" s="147"/>
      <c r="F159" s="147"/>
      <c r="G159" s="147"/>
      <c r="H159" s="147"/>
      <c r="I159" s="652"/>
      <c r="J159" s="154"/>
      <c r="K159" s="653"/>
      <c r="L159" s="150"/>
      <c r="M159" s="212"/>
      <c r="N159" s="606"/>
      <c r="O159" s="606"/>
      <c r="P159" s="151"/>
      <c r="Q159" s="151"/>
      <c r="R159" s="153"/>
      <c r="S159" s="93"/>
      <c r="T159" s="83">
        <f t="shared" si="6"/>
        <v>0</v>
      </c>
      <c r="U159" s="83">
        <f t="shared" si="5"/>
        <v>0</v>
      </c>
    </row>
    <row r="160" spans="1:21" ht="14.1" customHeight="1" x14ac:dyDescent="0.15">
      <c r="A160" s="146"/>
      <c r="B160" s="147"/>
      <c r="C160" s="147"/>
      <c r="D160" s="147" t="s">
        <v>131</v>
      </c>
      <c r="E160" s="147"/>
      <c r="F160" s="147"/>
      <c r="G160" s="147"/>
      <c r="H160" s="147"/>
      <c r="I160" s="652"/>
      <c r="J160" s="207">
        <f>K160/K162</f>
        <v>0.68500000000000005</v>
      </c>
      <c r="K160" s="689">
        <f>K162*68.5/100</f>
        <v>1278.1483500000002</v>
      </c>
      <c r="L160" s="208"/>
      <c r="M160" s="618"/>
      <c r="N160" s="212" t="s">
        <v>131</v>
      </c>
      <c r="O160" s="212">
        <v>9.3000000000000007</v>
      </c>
      <c r="P160" s="151"/>
      <c r="Q160" s="151">
        <f>K160*O160/10</f>
        <v>1188.6779655000003</v>
      </c>
      <c r="R160" s="153"/>
      <c r="S160" s="93"/>
      <c r="T160" s="83">
        <f t="shared" si="6"/>
        <v>0</v>
      </c>
      <c r="U160" s="83">
        <f t="shared" si="5"/>
        <v>0</v>
      </c>
    </row>
    <row r="161" spans="1:21" ht="14.1" customHeight="1" x14ac:dyDescent="0.15">
      <c r="A161" s="146"/>
      <c r="B161" s="147"/>
      <c r="C161" s="147"/>
      <c r="D161" s="147" t="s">
        <v>132</v>
      </c>
      <c r="E161" s="147"/>
      <c r="F161" s="147"/>
      <c r="G161" s="147"/>
      <c r="H161" s="147"/>
      <c r="I161" s="652"/>
      <c r="J161" s="207">
        <f>K161/K162</f>
        <v>0.31499999999999995</v>
      </c>
      <c r="K161" s="689">
        <f>K162-K160</f>
        <v>587.76164999999992</v>
      </c>
      <c r="L161" s="208"/>
      <c r="M161" s="618"/>
      <c r="N161" s="212" t="s">
        <v>132</v>
      </c>
      <c r="O161" s="212">
        <v>9.4</v>
      </c>
      <c r="P161" s="151"/>
      <c r="Q161" s="151">
        <f>K161*O161/10</f>
        <v>552.49595099999999</v>
      </c>
      <c r="R161" s="153"/>
      <c r="S161" s="93"/>
      <c r="T161" s="83">
        <f t="shared" si="6"/>
        <v>0</v>
      </c>
      <c r="U161" s="83">
        <f t="shared" si="5"/>
        <v>0</v>
      </c>
    </row>
    <row r="162" spans="1:21" ht="14.1" customHeight="1" thickBot="1" x14ac:dyDescent="0.2">
      <c r="A162" s="146"/>
      <c r="B162" s="147"/>
      <c r="C162" s="147"/>
      <c r="D162" s="155" t="s">
        <v>49</v>
      </c>
      <c r="E162" s="155" t="s">
        <v>115</v>
      </c>
      <c r="F162" s="155"/>
      <c r="G162" s="155"/>
      <c r="H162" s="155"/>
      <c r="I162" s="654">
        <f>I158</f>
        <v>7651</v>
      </c>
      <c r="J162" s="156">
        <f>J158</f>
        <v>2716105</v>
      </c>
      <c r="K162" s="690">
        <v>1865.91</v>
      </c>
      <c r="L162" s="157"/>
      <c r="M162" s="609"/>
      <c r="N162" s="609"/>
      <c r="O162" s="609"/>
      <c r="P162" s="159">
        <f>P158</f>
        <v>831.12813000000006</v>
      </c>
      <c r="Q162" s="159">
        <f>SUM(Q160:Q161)</f>
        <v>1741.1739165000004</v>
      </c>
      <c r="R162" s="160">
        <f>SUM(P162:Q162)</f>
        <v>2572.3020465000004</v>
      </c>
      <c r="S162" s="94" t="e">
        <f>#REF!</f>
        <v>#REF!</v>
      </c>
      <c r="T162" s="83" t="e">
        <f t="shared" si="6"/>
        <v>#REF!</v>
      </c>
      <c r="U162" s="83" t="e">
        <f t="shared" si="5"/>
        <v>#REF!</v>
      </c>
    </row>
    <row r="163" spans="1:21" ht="14.1" customHeight="1" thickBot="1" x14ac:dyDescent="0.2">
      <c r="A163" s="137"/>
      <c r="B163" s="138"/>
      <c r="C163" s="138"/>
      <c r="D163" s="166"/>
      <c r="E163" s="166"/>
      <c r="F163" s="166"/>
      <c r="G163" s="166"/>
      <c r="H163" s="166"/>
      <c r="I163" s="657"/>
      <c r="J163" s="167"/>
      <c r="K163" s="691"/>
      <c r="L163" s="78"/>
      <c r="M163" s="214"/>
      <c r="N163" s="214"/>
      <c r="O163" s="214"/>
      <c r="P163" s="139"/>
      <c r="Q163" s="139"/>
      <c r="R163" s="139"/>
      <c r="S163" s="93"/>
      <c r="T163" s="83">
        <f t="shared" si="6"/>
        <v>0</v>
      </c>
      <c r="U163" s="83">
        <f t="shared" si="5"/>
        <v>0</v>
      </c>
    </row>
    <row r="164" spans="1:21" ht="14.1" customHeight="1" x14ac:dyDescent="0.15">
      <c r="A164" s="77">
        <v>5</v>
      </c>
      <c r="B164" s="78" t="s">
        <v>133</v>
      </c>
      <c r="C164" s="78" t="s">
        <v>134</v>
      </c>
      <c r="D164" s="187"/>
      <c r="E164" s="78" t="s">
        <v>115</v>
      </c>
      <c r="F164" s="78"/>
      <c r="G164" s="78"/>
      <c r="H164" s="78"/>
      <c r="I164" s="215">
        <v>756</v>
      </c>
      <c r="J164" s="115">
        <f>I164*220</f>
        <v>166320</v>
      </c>
      <c r="K164" s="688"/>
      <c r="L164" s="80" t="s">
        <v>116</v>
      </c>
      <c r="M164" s="217">
        <v>290</v>
      </c>
      <c r="N164" s="216"/>
      <c r="O164" s="216"/>
      <c r="P164" s="81">
        <f>(J164*85/100*M164*12)/(10^7)</f>
        <v>49.197456000000003</v>
      </c>
      <c r="Q164" s="81"/>
      <c r="R164" s="188"/>
      <c r="S164" s="93"/>
      <c r="T164" s="83">
        <f t="shared" si="6"/>
        <v>0</v>
      </c>
      <c r="U164" s="83">
        <f t="shared" si="5"/>
        <v>0</v>
      </c>
    </row>
    <row r="165" spans="1:21" ht="14.1" customHeight="1" x14ac:dyDescent="0.15">
      <c r="A165" s="146"/>
      <c r="B165" s="147"/>
      <c r="C165" s="147" t="s">
        <v>408</v>
      </c>
      <c r="D165" s="155"/>
      <c r="E165" s="155"/>
      <c r="F165" s="155"/>
      <c r="G165" s="155"/>
      <c r="H165" s="155"/>
      <c r="I165" s="677"/>
      <c r="J165" s="108"/>
      <c r="K165" s="708"/>
      <c r="L165" s="150"/>
      <c r="M165" s="212"/>
      <c r="N165" s="606"/>
      <c r="O165" s="606"/>
      <c r="P165" s="189"/>
      <c r="Q165" s="189"/>
      <c r="R165" s="153"/>
      <c r="S165" s="93"/>
      <c r="T165" s="83">
        <f t="shared" si="6"/>
        <v>0</v>
      </c>
      <c r="U165" s="83">
        <f t="shared" si="5"/>
        <v>0</v>
      </c>
    </row>
    <row r="166" spans="1:21" ht="14.1" customHeight="1" x14ac:dyDescent="0.15">
      <c r="A166" s="146"/>
      <c r="B166" s="147"/>
      <c r="C166" s="147"/>
      <c r="D166" s="147" t="s">
        <v>131</v>
      </c>
      <c r="E166" s="147"/>
      <c r="F166" s="147"/>
      <c r="G166" s="147"/>
      <c r="H166" s="147"/>
      <c r="I166" s="652"/>
      <c r="J166" s="207">
        <f>K166/K168</f>
        <v>0.87</v>
      </c>
      <c r="K166" s="689">
        <f>K168*87%</f>
        <v>122.1828</v>
      </c>
      <c r="L166" s="208"/>
      <c r="M166" s="618"/>
      <c r="N166" s="212" t="s">
        <v>131</v>
      </c>
      <c r="O166" s="212">
        <v>9.1</v>
      </c>
      <c r="P166" s="151"/>
      <c r="Q166" s="151">
        <f>K166*O166/10</f>
        <v>111.186348</v>
      </c>
      <c r="R166" s="153"/>
      <c r="S166" s="93"/>
      <c r="T166" s="83">
        <f t="shared" si="6"/>
        <v>0</v>
      </c>
      <c r="U166" s="83">
        <f t="shared" si="5"/>
        <v>0</v>
      </c>
    </row>
    <row r="167" spans="1:21" ht="14.1" customHeight="1" x14ac:dyDescent="0.15">
      <c r="A167" s="146"/>
      <c r="B167" s="147"/>
      <c r="C167" s="147"/>
      <c r="D167" s="147" t="s">
        <v>132</v>
      </c>
      <c r="E167" s="147"/>
      <c r="F167" s="147"/>
      <c r="G167" s="147"/>
      <c r="H167" s="147"/>
      <c r="I167" s="652"/>
      <c r="J167" s="207">
        <f>K167/K168</f>
        <v>0.12999999999999998</v>
      </c>
      <c r="K167" s="689">
        <f>K168-K166</f>
        <v>18.257199999999997</v>
      </c>
      <c r="L167" s="208"/>
      <c r="M167" s="618"/>
      <c r="N167" s="212" t="s">
        <v>132</v>
      </c>
      <c r="O167" s="212">
        <v>9.1999999999999993</v>
      </c>
      <c r="P167" s="151"/>
      <c r="Q167" s="151">
        <f>K167*O167/10</f>
        <v>16.796623999999998</v>
      </c>
      <c r="R167" s="153"/>
      <c r="S167" s="93"/>
      <c r="T167" s="83">
        <f t="shared" si="6"/>
        <v>0</v>
      </c>
      <c r="U167" s="83">
        <f t="shared" si="5"/>
        <v>0</v>
      </c>
    </row>
    <row r="168" spans="1:21" ht="14.1" customHeight="1" thickBot="1" x14ac:dyDescent="0.2">
      <c r="A168" s="146"/>
      <c r="B168" s="147"/>
      <c r="C168" s="147"/>
      <c r="D168" s="155" t="s">
        <v>49</v>
      </c>
      <c r="E168" s="155" t="s">
        <v>115</v>
      </c>
      <c r="F168" s="155"/>
      <c r="G168" s="155"/>
      <c r="H168" s="155"/>
      <c r="I168" s="654">
        <f>I164</f>
        <v>756</v>
      </c>
      <c r="J168" s="156">
        <f>J164</f>
        <v>166320</v>
      </c>
      <c r="K168" s="690">
        <v>140.44</v>
      </c>
      <c r="L168" s="157"/>
      <c r="M168" s="634"/>
      <c r="N168" s="609"/>
      <c r="O168" s="609"/>
      <c r="P168" s="159">
        <f>P164</f>
        <v>49.197456000000003</v>
      </c>
      <c r="Q168" s="159">
        <f>SUM(Q166:Q167)</f>
        <v>127.98297199999999</v>
      </c>
      <c r="R168" s="160">
        <f>SUM(P168:Q168)</f>
        <v>177.18042800000001</v>
      </c>
      <c r="S168" s="94" t="e">
        <f>#REF!</f>
        <v>#REF!</v>
      </c>
      <c r="T168" s="83" t="e">
        <f t="shared" si="6"/>
        <v>#REF!</v>
      </c>
      <c r="U168" s="83" t="e">
        <f t="shared" si="5"/>
        <v>#REF!</v>
      </c>
    </row>
    <row r="169" spans="1:21" ht="14.1" customHeight="1" thickBot="1" x14ac:dyDescent="0.2">
      <c r="A169" s="137"/>
      <c r="B169" s="138"/>
      <c r="C169" s="138"/>
      <c r="D169" s="138"/>
      <c r="E169" s="138"/>
      <c r="F169" s="138"/>
      <c r="G169" s="138"/>
      <c r="H169" s="138"/>
      <c r="I169" s="650"/>
      <c r="J169" s="140"/>
      <c r="K169" s="687"/>
      <c r="L169" s="78"/>
      <c r="M169" s="214"/>
      <c r="N169" s="214"/>
      <c r="O169" s="214"/>
      <c r="P169" s="97"/>
      <c r="Q169" s="97"/>
      <c r="R169" s="139"/>
      <c r="S169" s="93"/>
      <c r="T169" s="83">
        <f t="shared" si="6"/>
        <v>0</v>
      </c>
      <c r="U169" s="83">
        <f t="shared" si="5"/>
        <v>0</v>
      </c>
    </row>
    <row r="170" spans="1:21" ht="14.1" customHeight="1" x14ac:dyDescent="0.15">
      <c r="A170" s="168" t="s">
        <v>135</v>
      </c>
      <c r="B170" s="169"/>
      <c r="C170" s="169"/>
      <c r="D170" s="169"/>
      <c r="E170" s="169" t="s">
        <v>39</v>
      </c>
      <c r="F170" s="1156">
        <f>+[1]Sheet1!$P$27</f>
        <v>9024</v>
      </c>
      <c r="G170" s="1156">
        <f>+[1]Sheet1!$V$27</f>
        <v>8816</v>
      </c>
      <c r="H170" s="1156">
        <f>+[1]Sheet1!$V$27</f>
        <v>8816</v>
      </c>
      <c r="I170" s="658">
        <f>I162+I168</f>
        <v>8407</v>
      </c>
      <c r="J170" s="114">
        <f>J162+J168</f>
        <v>2882425</v>
      </c>
      <c r="K170" s="692">
        <f>K162+K168</f>
        <v>2006.3500000000001</v>
      </c>
      <c r="L170" s="171"/>
      <c r="M170" s="617"/>
      <c r="N170" s="617"/>
      <c r="O170" s="617"/>
      <c r="P170" s="171">
        <f>SUM(P162,P168)</f>
        <v>880.32558600000004</v>
      </c>
      <c r="Q170" s="171">
        <f>SUM(Q162,Q168)</f>
        <v>1869.1568885000004</v>
      </c>
      <c r="R170" s="171">
        <f>SUM(R162,R168)</f>
        <v>2749.4824745000005</v>
      </c>
      <c r="S170" s="96" t="e">
        <f>SUM(S162,S168)</f>
        <v>#REF!</v>
      </c>
      <c r="T170" s="83" t="e">
        <f t="shared" si="6"/>
        <v>#REF!</v>
      </c>
      <c r="U170" s="83" t="e">
        <f t="shared" si="5"/>
        <v>#REF!</v>
      </c>
    </row>
    <row r="171" spans="1:21" ht="14.1" customHeight="1" x14ac:dyDescent="0.15">
      <c r="A171" s="186"/>
      <c r="B171" s="174"/>
      <c r="C171" s="174"/>
      <c r="D171" s="174"/>
      <c r="E171" s="174"/>
      <c r="F171" s="174"/>
      <c r="G171" s="174"/>
      <c r="H171" s="174"/>
      <c r="I171" s="659"/>
      <c r="J171" s="112"/>
      <c r="K171" s="693"/>
      <c r="L171" s="180"/>
      <c r="M171" s="612"/>
      <c r="N171" s="612"/>
      <c r="O171" s="612"/>
      <c r="P171" s="96"/>
      <c r="Q171" s="96"/>
      <c r="R171" s="176"/>
      <c r="S171" s="93"/>
      <c r="T171" s="83">
        <f t="shared" si="6"/>
        <v>0</v>
      </c>
      <c r="U171" s="83">
        <f t="shared" si="5"/>
        <v>0</v>
      </c>
    </row>
    <row r="172" spans="1:21" ht="14.1" customHeight="1" thickBot="1" x14ac:dyDescent="0.2">
      <c r="A172" s="186"/>
      <c r="B172" s="174"/>
      <c r="C172" s="174"/>
      <c r="D172" s="174"/>
      <c r="E172" s="174"/>
      <c r="F172" s="174"/>
      <c r="G172" s="174"/>
      <c r="H172" s="174"/>
      <c r="I172" s="659"/>
      <c r="J172" s="112"/>
      <c r="K172" s="693"/>
      <c r="L172" s="180"/>
      <c r="M172" s="612"/>
      <c r="N172" s="612"/>
      <c r="O172" s="612"/>
      <c r="P172" s="96"/>
      <c r="Q172" s="96"/>
      <c r="R172" s="176"/>
      <c r="S172" s="93"/>
      <c r="T172" s="83">
        <f t="shared" ref="T172:T185" si="7">R172-S172</f>
        <v>0</v>
      </c>
      <c r="U172" s="83">
        <f t="shared" ref="U172:U185" si="8">S172-R172</f>
        <v>0</v>
      </c>
    </row>
    <row r="173" spans="1:21" ht="14.1" customHeight="1" x14ac:dyDescent="0.15">
      <c r="A173" s="77">
        <v>4</v>
      </c>
      <c r="B173" s="78" t="s">
        <v>331</v>
      </c>
      <c r="C173" s="1533" t="s">
        <v>344</v>
      </c>
      <c r="D173" s="420"/>
      <c r="E173" s="78" t="s">
        <v>115</v>
      </c>
      <c r="F173" s="78"/>
      <c r="G173" s="78"/>
      <c r="H173" s="78"/>
      <c r="I173" s="215">
        <f>393</f>
        <v>393</v>
      </c>
      <c r="J173" s="115">
        <f>I173*250</f>
        <v>98250</v>
      </c>
      <c r="K173" s="688"/>
      <c r="L173" s="80" t="s">
        <v>116</v>
      </c>
      <c r="M173" s="217">
        <v>260</v>
      </c>
      <c r="N173" s="216"/>
      <c r="O173" s="216"/>
      <c r="P173" s="81">
        <f>(J173*85/100*M173*12)/(10^7)</f>
        <v>26.055900000000001</v>
      </c>
      <c r="Q173" s="81"/>
      <c r="R173" s="82"/>
      <c r="S173" s="93"/>
      <c r="T173" s="83">
        <f t="shared" si="7"/>
        <v>0</v>
      </c>
      <c r="U173" s="83">
        <f t="shared" si="8"/>
        <v>0</v>
      </c>
    </row>
    <row r="174" spans="1:21" ht="14.1" customHeight="1" x14ac:dyDescent="0.15">
      <c r="A174" s="146"/>
      <c r="B174" s="147"/>
      <c r="C174" s="1534"/>
      <c r="D174" s="421"/>
      <c r="E174" s="147"/>
      <c r="F174" s="147"/>
      <c r="G174" s="147"/>
      <c r="H174" s="147"/>
      <c r="I174" s="652"/>
      <c r="J174" s="108"/>
      <c r="K174" s="653"/>
      <c r="L174" s="150"/>
      <c r="M174" s="212"/>
      <c r="N174" s="606"/>
      <c r="O174" s="606"/>
      <c r="P174" s="151"/>
      <c r="Q174" s="151"/>
      <c r="R174" s="153"/>
      <c r="S174" s="93"/>
      <c r="T174" s="83">
        <f t="shared" si="7"/>
        <v>0</v>
      </c>
      <c r="U174" s="83">
        <f t="shared" si="8"/>
        <v>0</v>
      </c>
    </row>
    <row r="175" spans="1:21" ht="14.1" customHeight="1" x14ac:dyDescent="0.15">
      <c r="A175" s="146"/>
      <c r="B175" s="147"/>
      <c r="C175" s="1534"/>
      <c r="D175" s="421" t="s">
        <v>122</v>
      </c>
      <c r="E175" s="147"/>
      <c r="F175" s="147"/>
      <c r="G175" s="147"/>
      <c r="H175" s="147"/>
      <c r="I175" s="652"/>
      <c r="J175" s="207">
        <f>K175/K177</f>
        <v>0.32</v>
      </c>
      <c r="K175" s="689">
        <f>K177*32%</f>
        <v>52.441600000000001</v>
      </c>
      <c r="L175" s="208"/>
      <c r="M175" s="618"/>
      <c r="N175" s="212" t="s">
        <v>122</v>
      </c>
      <c r="O175" s="212">
        <v>7.25</v>
      </c>
      <c r="P175" s="151"/>
      <c r="Q175" s="151">
        <f>K175*O175/10</f>
        <v>38.020159999999997</v>
      </c>
      <c r="R175" s="153"/>
      <c r="S175" s="93"/>
      <c r="T175" s="83">
        <f t="shared" si="7"/>
        <v>0</v>
      </c>
      <c r="U175" s="83">
        <f t="shared" si="8"/>
        <v>0</v>
      </c>
    </row>
    <row r="176" spans="1:21" ht="14.1" customHeight="1" x14ac:dyDescent="0.15">
      <c r="A176" s="146"/>
      <c r="B176" s="147"/>
      <c r="C176" s="1535"/>
      <c r="D176" s="421" t="s">
        <v>123</v>
      </c>
      <c r="E176" s="147"/>
      <c r="F176" s="147"/>
      <c r="G176" s="147"/>
      <c r="H176" s="147"/>
      <c r="I176" s="652"/>
      <c r="J176" s="207">
        <f>K176/K177</f>
        <v>0.68</v>
      </c>
      <c r="K176" s="689">
        <f>K177-K175</f>
        <v>111.4384</v>
      </c>
      <c r="L176" s="208"/>
      <c r="M176" s="618"/>
      <c r="N176" s="212" t="s">
        <v>123</v>
      </c>
      <c r="O176" s="212">
        <v>7.65</v>
      </c>
      <c r="P176" s="151"/>
      <c r="Q176" s="151">
        <f>K176*O176/10</f>
        <v>85.250376000000003</v>
      </c>
      <c r="R176" s="153"/>
      <c r="S176" s="93"/>
      <c r="T176" s="83">
        <f t="shared" si="7"/>
        <v>0</v>
      </c>
      <c r="U176" s="83">
        <f t="shared" si="8"/>
        <v>0</v>
      </c>
    </row>
    <row r="177" spans="1:21" ht="14.1" customHeight="1" thickBot="1" x14ac:dyDescent="0.2">
      <c r="A177" s="146"/>
      <c r="B177" s="147"/>
      <c r="C177" s="454"/>
      <c r="D177" s="423" t="s">
        <v>49</v>
      </c>
      <c r="E177" s="155" t="s">
        <v>115</v>
      </c>
      <c r="F177" s="155"/>
      <c r="G177" s="155"/>
      <c r="H177" s="155"/>
      <c r="I177" s="654">
        <f>I173</f>
        <v>393</v>
      </c>
      <c r="J177" s="109">
        <f>J173</f>
        <v>98250</v>
      </c>
      <c r="K177" s="690">
        <v>163.88</v>
      </c>
      <c r="L177" s="157"/>
      <c r="M177" s="609"/>
      <c r="N177" s="609"/>
      <c r="O177" s="609"/>
      <c r="P177" s="159">
        <f>P173</f>
        <v>26.055900000000001</v>
      </c>
      <c r="Q177" s="159">
        <f>SUM(Q175:Q176)</f>
        <v>123.27053599999999</v>
      </c>
      <c r="R177" s="160">
        <f>SUM(P177:Q177)</f>
        <v>149.326436</v>
      </c>
      <c r="S177" s="94" t="e">
        <f>#REF!</f>
        <v>#REF!</v>
      </c>
      <c r="T177" s="83" t="e">
        <f t="shared" si="7"/>
        <v>#REF!</v>
      </c>
      <c r="U177" s="83" t="e">
        <f t="shared" si="8"/>
        <v>#REF!</v>
      </c>
    </row>
    <row r="178" spans="1:21" ht="14.1" customHeight="1" thickBot="1" x14ac:dyDescent="0.2">
      <c r="A178" s="137"/>
      <c r="B178" s="138"/>
      <c r="C178" s="174"/>
      <c r="D178" s="166"/>
      <c r="E178" s="166"/>
      <c r="F178" s="166"/>
      <c r="G178" s="166"/>
      <c r="H178" s="166"/>
      <c r="I178" s="657"/>
      <c r="J178" s="111"/>
      <c r="K178" s="691"/>
      <c r="L178" s="78"/>
      <c r="M178" s="214"/>
      <c r="N178" s="214"/>
      <c r="O178" s="214"/>
      <c r="P178" s="139"/>
      <c r="Q178" s="139"/>
      <c r="R178" s="209"/>
      <c r="S178" s="93"/>
      <c r="T178" s="83">
        <f t="shared" si="7"/>
        <v>0</v>
      </c>
      <c r="U178" s="83">
        <f t="shared" si="8"/>
        <v>0</v>
      </c>
    </row>
    <row r="179" spans="1:21" ht="14.1" customHeight="1" x14ac:dyDescent="0.15">
      <c r="A179" s="77">
        <v>5</v>
      </c>
      <c r="B179" s="78" t="s">
        <v>332</v>
      </c>
      <c r="C179" s="1536" t="s">
        <v>387</v>
      </c>
      <c r="D179" s="455"/>
      <c r="E179" s="78" t="s">
        <v>115</v>
      </c>
      <c r="F179" s="78"/>
      <c r="G179" s="78"/>
      <c r="H179" s="78"/>
      <c r="I179" s="215">
        <v>641</v>
      </c>
      <c r="J179" s="115">
        <f>I179*250</f>
        <v>160250</v>
      </c>
      <c r="K179" s="688"/>
      <c r="L179" s="80" t="s">
        <v>116</v>
      </c>
      <c r="M179" s="217">
        <v>265</v>
      </c>
      <c r="N179" s="216"/>
      <c r="O179" s="216"/>
      <c r="P179" s="81">
        <f>(J179*85/100*M179*12)/(10^7)</f>
        <v>43.315575000000003</v>
      </c>
      <c r="Q179" s="81"/>
      <c r="R179" s="210"/>
      <c r="S179" s="93"/>
      <c r="T179" s="83">
        <f t="shared" si="7"/>
        <v>0</v>
      </c>
      <c r="U179" s="83">
        <f t="shared" si="8"/>
        <v>0</v>
      </c>
    </row>
    <row r="180" spans="1:21" ht="14.1" customHeight="1" x14ac:dyDescent="0.15">
      <c r="A180" s="146"/>
      <c r="B180" s="147"/>
      <c r="C180" s="1536"/>
      <c r="D180" s="423"/>
      <c r="E180" s="155"/>
      <c r="F180" s="155"/>
      <c r="G180" s="155"/>
      <c r="H180" s="155"/>
      <c r="I180" s="677"/>
      <c r="J180" s="108"/>
      <c r="K180" s="708"/>
      <c r="L180" s="150"/>
      <c r="M180" s="212"/>
      <c r="N180" s="606"/>
      <c r="O180" s="606"/>
      <c r="P180" s="189"/>
      <c r="Q180" s="189"/>
      <c r="R180" s="211"/>
      <c r="S180" s="93"/>
      <c r="T180" s="83">
        <f t="shared" si="7"/>
        <v>0</v>
      </c>
      <c r="U180" s="83">
        <f t="shared" si="8"/>
        <v>0</v>
      </c>
    </row>
    <row r="181" spans="1:21" ht="14.1" customHeight="1" x14ac:dyDescent="0.15">
      <c r="A181" s="146"/>
      <c r="B181" s="147"/>
      <c r="C181" s="1536"/>
      <c r="D181" s="421" t="s">
        <v>122</v>
      </c>
      <c r="E181" s="147"/>
      <c r="F181" s="147"/>
      <c r="G181" s="147"/>
      <c r="H181" s="147"/>
      <c r="I181" s="652"/>
      <c r="J181" s="207">
        <f>K181/K183</f>
        <v>0.67</v>
      </c>
      <c r="K181" s="689">
        <f>K183*67%</f>
        <v>114.28860000000002</v>
      </c>
      <c r="L181" s="208"/>
      <c r="M181" s="618"/>
      <c r="N181" s="212" t="s">
        <v>122</v>
      </c>
      <c r="O181" s="212">
        <v>8.25</v>
      </c>
      <c r="P181" s="151"/>
      <c r="Q181" s="151">
        <f>K181*O181/10</f>
        <v>94.288095000000013</v>
      </c>
      <c r="R181" s="211"/>
      <c r="S181" s="93"/>
      <c r="T181" s="83">
        <f t="shared" si="7"/>
        <v>0</v>
      </c>
      <c r="U181" s="83">
        <f t="shared" si="8"/>
        <v>0</v>
      </c>
    </row>
    <row r="182" spans="1:21" ht="27" customHeight="1" x14ac:dyDescent="0.15">
      <c r="A182" s="146"/>
      <c r="B182" s="147"/>
      <c r="C182" s="1536"/>
      <c r="D182" s="421" t="s">
        <v>123</v>
      </c>
      <c r="E182" s="147"/>
      <c r="F182" s="147"/>
      <c r="G182" s="147"/>
      <c r="H182" s="147"/>
      <c r="I182" s="652"/>
      <c r="J182" s="207">
        <f>K182/K183</f>
        <v>0.32999999999999996</v>
      </c>
      <c r="K182" s="689">
        <f>K183-K181</f>
        <v>56.291399999999996</v>
      </c>
      <c r="L182" s="208"/>
      <c r="M182" s="618"/>
      <c r="N182" s="212" t="s">
        <v>123</v>
      </c>
      <c r="O182" s="212">
        <v>8.65</v>
      </c>
      <c r="P182" s="151"/>
      <c r="Q182" s="151">
        <f>K182*O182/10</f>
        <v>48.692061000000002</v>
      </c>
      <c r="R182" s="211"/>
      <c r="S182" s="93"/>
      <c r="T182" s="83">
        <f t="shared" si="7"/>
        <v>0</v>
      </c>
      <c r="U182" s="83">
        <f t="shared" si="8"/>
        <v>0</v>
      </c>
    </row>
    <row r="183" spans="1:21" ht="14.1" customHeight="1" thickBot="1" x14ac:dyDescent="0.2">
      <c r="A183" s="146"/>
      <c r="B183" s="147"/>
      <c r="C183" s="174"/>
      <c r="D183" s="155" t="s">
        <v>49</v>
      </c>
      <c r="E183" s="155" t="s">
        <v>115</v>
      </c>
      <c r="F183" s="155"/>
      <c r="G183" s="155"/>
      <c r="H183" s="155"/>
      <c r="I183" s="654">
        <f>I179</f>
        <v>641</v>
      </c>
      <c r="J183" s="156">
        <f>J179</f>
        <v>160250</v>
      </c>
      <c r="K183" s="690">
        <v>170.58</v>
      </c>
      <c r="L183" s="157"/>
      <c r="M183" s="634"/>
      <c r="N183" s="609"/>
      <c r="O183" s="609"/>
      <c r="P183" s="159">
        <f>P179</f>
        <v>43.315575000000003</v>
      </c>
      <c r="Q183" s="159">
        <f>SUM(Q181:Q182)</f>
        <v>142.98015600000002</v>
      </c>
      <c r="R183" s="160">
        <f>SUM(P183:Q183)</f>
        <v>186.29573100000002</v>
      </c>
      <c r="S183" s="94" t="e">
        <f>#REF!</f>
        <v>#REF!</v>
      </c>
      <c r="T183" s="83" t="e">
        <f t="shared" si="7"/>
        <v>#REF!</v>
      </c>
      <c r="U183" s="83" t="e">
        <f t="shared" si="8"/>
        <v>#REF!</v>
      </c>
    </row>
    <row r="184" spans="1:21" ht="14.1" customHeight="1" thickBot="1" x14ac:dyDescent="0.2">
      <c r="A184" s="137"/>
      <c r="B184" s="138"/>
      <c r="C184" s="138"/>
      <c r="D184" s="138"/>
      <c r="E184" s="138"/>
      <c r="F184" s="138"/>
      <c r="G184" s="138"/>
      <c r="H184" s="138"/>
      <c r="I184" s="650"/>
      <c r="J184" s="140"/>
      <c r="K184" s="687"/>
      <c r="L184" s="78"/>
      <c r="M184" s="214"/>
      <c r="N184" s="214"/>
      <c r="O184" s="214"/>
      <c r="P184" s="97"/>
      <c r="Q184" s="97"/>
      <c r="R184" s="139"/>
      <c r="S184" s="93"/>
      <c r="T184" s="83">
        <f t="shared" si="7"/>
        <v>0</v>
      </c>
      <c r="U184" s="83">
        <f t="shared" si="8"/>
        <v>0</v>
      </c>
    </row>
    <row r="185" spans="1:21" ht="14.1" customHeight="1" x14ac:dyDescent="0.15">
      <c r="A185" s="168" t="s">
        <v>333</v>
      </c>
      <c r="B185" s="169"/>
      <c r="C185" s="169"/>
      <c r="D185" s="169"/>
      <c r="E185" s="169" t="s">
        <v>39</v>
      </c>
      <c r="F185" s="1156">
        <f>+[1]Sheet1!$P$28</f>
        <v>1149</v>
      </c>
      <c r="G185" s="1156">
        <f>+[1]Sheet1!$V$28</f>
        <v>1103</v>
      </c>
      <c r="H185" s="1156">
        <f>+[1]Sheet1!$V$28</f>
        <v>1103</v>
      </c>
      <c r="I185" s="658">
        <f>I183+I177</f>
        <v>1034</v>
      </c>
      <c r="J185" s="114">
        <f>J177+J183</f>
        <v>258500</v>
      </c>
      <c r="K185" s="692">
        <f>K177+K183</f>
        <v>334.46000000000004</v>
      </c>
      <c r="L185" s="171"/>
      <c r="M185" s="617"/>
      <c r="N185" s="617"/>
      <c r="O185" s="617"/>
      <c r="P185" s="171">
        <f>SUM(P177,P183)</f>
        <v>69.371475000000004</v>
      </c>
      <c r="Q185" s="171">
        <f>SUM(Q177,Q183)</f>
        <v>266.25069200000002</v>
      </c>
      <c r="R185" s="171">
        <f>SUM(R177,R183)</f>
        <v>335.62216699999999</v>
      </c>
      <c r="S185" s="96" t="e">
        <f>SUM(S177,S183)</f>
        <v>#REF!</v>
      </c>
      <c r="T185" s="83" t="e">
        <f t="shared" si="7"/>
        <v>#REF!</v>
      </c>
      <c r="U185" s="83" t="e">
        <f t="shared" si="8"/>
        <v>#REF!</v>
      </c>
    </row>
    <row r="186" spans="1:21" ht="14.1" customHeight="1" thickBot="1" x14ac:dyDescent="0.2">
      <c r="A186" s="168"/>
      <c r="B186" s="169"/>
      <c r="C186" s="169"/>
      <c r="D186" s="169"/>
      <c r="E186" s="169"/>
      <c r="F186" s="169"/>
      <c r="G186" s="169"/>
      <c r="H186" s="169"/>
      <c r="I186" s="658"/>
      <c r="J186" s="114"/>
      <c r="K186" s="692"/>
      <c r="L186" s="171"/>
      <c r="M186" s="617"/>
      <c r="N186" s="617"/>
      <c r="O186" s="617"/>
      <c r="P186" s="171"/>
      <c r="Q186" s="171"/>
      <c r="R186" s="171"/>
      <c r="S186" s="96"/>
      <c r="T186" s="83"/>
      <c r="U186" s="83"/>
    </row>
    <row r="187" spans="1:21" ht="14.1" customHeight="1" thickBot="1" x14ac:dyDescent="0.2">
      <c r="A187" s="190" t="s">
        <v>136</v>
      </c>
      <c r="B187" s="142"/>
      <c r="C187" s="142"/>
      <c r="D187" s="142"/>
      <c r="E187" s="142" t="s">
        <v>39</v>
      </c>
      <c r="F187" s="142"/>
      <c r="G187" s="142"/>
      <c r="H187" s="142"/>
      <c r="I187" s="649">
        <f>SUM(I156,I170,I185)</f>
        <v>17621</v>
      </c>
      <c r="J187" s="113">
        <f>J156+J170</f>
        <v>6919255</v>
      </c>
      <c r="K187" s="686">
        <f>SUM(K156,K170,K185)</f>
        <v>6828.4900000000007</v>
      </c>
      <c r="L187" s="143"/>
      <c r="M187" s="613"/>
      <c r="N187" s="613"/>
      <c r="O187" s="613"/>
      <c r="P187" s="143">
        <f>SUM(P156,P170,P185)</f>
        <v>2064.9443550000001</v>
      </c>
      <c r="Q187" s="143">
        <f>SUM(Q156,Q170,Q185)</f>
        <v>5549.6344604999995</v>
      </c>
      <c r="R187" s="143">
        <f>SUM(R156,R170,R185)</f>
        <v>7614.5788155000009</v>
      </c>
      <c r="S187" s="97" t="e">
        <f>SUM(S156,S170,S185)</f>
        <v>#REF!</v>
      </c>
      <c r="T187" s="83" t="e">
        <f t="shared" si="6"/>
        <v>#REF!</v>
      </c>
      <c r="U187" s="83" t="e">
        <f t="shared" si="5"/>
        <v>#REF!</v>
      </c>
    </row>
    <row r="188" spans="1:21" ht="14.1" customHeight="1" thickBot="1" x14ac:dyDescent="0.2">
      <c r="A188" s="137"/>
      <c r="B188" s="138"/>
      <c r="C188" s="138"/>
      <c r="D188" s="138"/>
      <c r="E188" s="138"/>
      <c r="F188" s="138"/>
      <c r="G188" s="138"/>
      <c r="H188" s="138"/>
      <c r="I188" s="650"/>
      <c r="J188" s="106"/>
      <c r="K188" s="687"/>
      <c r="L188" s="78"/>
      <c r="M188" s="214"/>
      <c r="N188" s="214"/>
      <c r="O188" s="214"/>
      <c r="P188" s="97"/>
      <c r="Q188" s="97"/>
      <c r="R188" s="139"/>
      <c r="S188" s="93"/>
      <c r="T188" s="83">
        <f t="shared" si="6"/>
        <v>0</v>
      </c>
      <c r="U188" s="83">
        <f t="shared" si="5"/>
        <v>0</v>
      </c>
    </row>
    <row r="189" spans="1:21" ht="14.1" customHeight="1" x14ac:dyDescent="0.15">
      <c r="A189" s="77">
        <v>6</v>
      </c>
      <c r="B189" s="78" t="s">
        <v>137</v>
      </c>
      <c r="C189" s="78" t="s">
        <v>138</v>
      </c>
      <c r="D189" s="78"/>
      <c r="E189" s="78" t="s">
        <v>10</v>
      </c>
      <c r="F189" s="78"/>
      <c r="G189" s="78"/>
      <c r="H189" s="78"/>
      <c r="I189" s="215">
        <v>52</v>
      </c>
      <c r="J189" s="115">
        <f>I189*1701</f>
        <v>88452</v>
      </c>
      <c r="K189" s="688"/>
      <c r="L189" s="80" t="s">
        <v>139</v>
      </c>
      <c r="M189" s="217">
        <v>1900</v>
      </c>
      <c r="N189" s="216"/>
      <c r="O189" s="216"/>
      <c r="P189" s="81">
        <f>IF(($J$189*$M$189)/(10^7)&gt;($K$190*$O$190/10),($J$189*$M$189)/(10^7),0)</f>
        <v>0</v>
      </c>
      <c r="Q189" s="81"/>
      <c r="R189" s="82"/>
      <c r="S189" s="93"/>
      <c r="T189" s="83">
        <f t="shared" si="6"/>
        <v>0</v>
      </c>
      <c r="U189" s="83">
        <f t="shared" si="5"/>
        <v>0</v>
      </c>
    </row>
    <row r="190" spans="1:21" ht="14.1" customHeight="1" x14ac:dyDescent="0.15">
      <c r="A190" s="146"/>
      <c r="B190" s="147"/>
      <c r="C190" s="147"/>
      <c r="D190" s="147"/>
      <c r="E190" s="147"/>
      <c r="F190" s="147"/>
      <c r="G190" s="147"/>
      <c r="H190" s="147"/>
      <c r="I190" s="652"/>
      <c r="J190" s="154"/>
      <c r="K190" s="709">
        <f>135.81-K194</f>
        <v>135.76</v>
      </c>
      <c r="L190" s="152"/>
      <c r="M190" s="606"/>
      <c r="N190" s="212"/>
      <c r="O190" s="212">
        <v>3.15</v>
      </c>
      <c r="P190" s="151"/>
      <c r="Q190" s="151">
        <f>IF(($J$189*$M$189)/(10^7)&gt;($K$190*$O$190/10),0,($K$190*$O$190/10))</f>
        <v>42.764399999999995</v>
      </c>
      <c r="R190" s="153"/>
      <c r="S190" s="93"/>
      <c r="T190" s="83">
        <f t="shared" si="6"/>
        <v>0</v>
      </c>
      <c r="U190" s="83">
        <f t="shared" si="5"/>
        <v>0</v>
      </c>
    </row>
    <row r="191" spans="1:21" ht="14.1" customHeight="1" thickBot="1" x14ac:dyDescent="0.2">
      <c r="A191" s="146"/>
      <c r="B191" s="147"/>
      <c r="C191" s="147"/>
      <c r="D191" s="155" t="s">
        <v>49</v>
      </c>
      <c r="E191" s="155" t="s">
        <v>10</v>
      </c>
      <c r="F191" s="155"/>
      <c r="G191" s="155"/>
      <c r="H191" s="155"/>
      <c r="I191" s="654">
        <f>I189</f>
        <v>52</v>
      </c>
      <c r="J191" s="156">
        <f>J189</f>
        <v>88452</v>
      </c>
      <c r="K191" s="690">
        <f>SUM(K190)</f>
        <v>135.76</v>
      </c>
      <c r="L191" s="158"/>
      <c r="M191" s="609"/>
      <c r="N191" s="609"/>
      <c r="O191" s="609"/>
      <c r="P191" s="159">
        <f>P189</f>
        <v>0</v>
      </c>
      <c r="Q191" s="159">
        <f>Q190</f>
        <v>42.764399999999995</v>
      </c>
      <c r="R191" s="160">
        <f>SUM(P191:Q191)</f>
        <v>42.764399999999995</v>
      </c>
      <c r="S191" s="94" t="e">
        <f>#REF!</f>
        <v>#REF!</v>
      </c>
      <c r="T191" s="83" t="e">
        <f t="shared" si="6"/>
        <v>#REF!</v>
      </c>
      <c r="U191" s="83" t="e">
        <f t="shared" ref="U191:U223" si="9">S191-R191</f>
        <v>#REF!</v>
      </c>
    </row>
    <row r="192" spans="1:21" ht="14.1" customHeight="1" thickBot="1" x14ac:dyDescent="0.2">
      <c r="A192" s="137"/>
      <c r="B192" s="138"/>
      <c r="C192" s="138"/>
      <c r="D192" s="138"/>
      <c r="E192" s="138"/>
      <c r="F192" s="138"/>
      <c r="G192" s="138"/>
      <c r="H192" s="138"/>
      <c r="I192" s="650"/>
      <c r="J192" s="140"/>
      <c r="K192" s="687"/>
      <c r="L192" s="78"/>
      <c r="M192" s="214"/>
      <c r="N192" s="214"/>
      <c r="O192" s="214"/>
      <c r="P192" s="97"/>
      <c r="Q192" s="97"/>
      <c r="R192" s="139"/>
      <c r="S192" s="93"/>
      <c r="T192" s="83">
        <f t="shared" si="6"/>
        <v>0</v>
      </c>
      <c r="U192" s="83">
        <f t="shared" si="9"/>
        <v>0</v>
      </c>
    </row>
    <row r="193" spans="1:21" ht="14.1" customHeight="1" x14ac:dyDescent="0.15">
      <c r="A193" s="77">
        <v>7</v>
      </c>
      <c r="B193" s="78" t="s">
        <v>140</v>
      </c>
      <c r="C193" s="78" t="s">
        <v>141</v>
      </c>
      <c r="D193" s="78"/>
      <c r="E193" s="78" t="s">
        <v>10</v>
      </c>
      <c r="F193" s="78"/>
      <c r="G193" s="78"/>
      <c r="H193" s="78"/>
      <c r="I193" s="215">
        <v>2</v>
      </c>
      <c r="J193" s="115">
        <f>I193*165</f>
        <v>330</v>
      </c>
      <c r="K193" s="688"/>
      <c r="L193" s="80" t="s">
        <v>82</v>
      </c>
      <c r="M193" s="217">
        <v>110</v>
      </c>
      <c r="N193" s="216"/>
      <c r="O193" s="216"/>
      <c r="P193" s="81">
        <f>(J193*M193*12)/(10^7)</f>
        <v>4.3560000000000001E-2</v>
      </c>
      <c r="Q193" s="81"/>
      <c r="R193" s="82"/>
      <c r="S193" s="93"/>
      <c r="T193" s="83">
        <f t="shared" si="6"/>
        <v>0</v>
      </c>
      <c r="U193" s="83">
        <f t="shared" si="9"/>
        <v>0</v>
      </c>
    </row>
    <row r="194" spans="1:21" ht="14.1" customHeight="1" x14ac:dyDescent="0.15">
      <c r="A194" s="146"/>
      <c r="B194" s="147"/>
      <c r="C194" s="147" t="s">
        <v>180</v>
      </c>
      <c r="D194" s="147"/>
      <c r="E194" s="147"/>
      <c r="F194" s="147"/>
      <c r="G194" s="147"/>
      <c r="H194" s="147"/>
      <c r="I194" s="652"/>
      <c r="J194" s="154"/>
      <c r="K194" s="709">
        <v>0.05</v>
      </c>
      <c r="L194" s="152"/>
      <c r="M194" s="606"/>
      <c r="N194" s="212"/>
      <c r="O194" s="212">
        <v>3.15</v>
      </c>
      <c r="P194" s="151"/>
      <c r="Q194" s="151">
        <f>K194*O194/10</f>
        <v>1.575E-2</v>
      </c>
      <c r="R194" s="153"/>
      <c r="S194" s="93"/>
      <c r="T194" s="83">
        <f t="shared" si="6"/>
        <v>0</v>
      </c>
      <c r="U194" s="83">
        <f t="shared" si="9"/>
        <v>0</v>
      </c>
    </row>
    <row r="195" spans="1:21" ht="14.1" customHeight="1" thickBot="1" x14ac:dyDescent="0.2">
      <c r="A195" s="146"/>
      <c r="B195" s="147"/>
      <c r="C195" s="147"/>
      <c r="D195" s="155" t="s">
        <v>49</v>
      </c>
      <c r="E195" s="155" t="s">
        <v>10</v>
      </c>
      <c r="F195" s="155"/>
      <c r="G195" s="155"/>
      <c r="H195" s="155"/>
      <c r="I195" s="654">
        <f>SUM(I193:I194)</f>
        <v>2</v>
      </c>
      <c r="J195" s="156">
        <f>J193</f>
        <v>330</v>
      </c>
      <c r="K195" s="690">
        <f>SUM(K194)</f>
        <v>0.05</v>
      </c>
      <c r="L195" s="191"/>
      <c r="M195" s="619"/>
      <c r="N195" s="619"/>
      <c r="O195" s="619"/>
      <c r="P195" s="159">
        <f>P193</f>
        <v>4.3560000000000001E-2</v>
      </c>
      <c r="Q195" s="159">
        <f>Q194</f>
        <v>1.575E-2</v>
      </c>
      <c r="R195" s="160">
        <f>SUM(P195:Q195)</f>
        <v>5.9310000000000002E-2</v>
      </c>
      <c r="S195" s="94" t="e">
        <f>#REF!</f>
        <v>#REF!</v>
      </c>
      <c r="T195" s="83" t="e">
        <f t="shared" si="6"/>
        <v>#REF!</v>
      </c>
      <c r="U195" s="83" t="e">
        <f t="shared" si="9"/>
        <v>#REF!</v>
      </c>
    </row>
    <row r="196" spans="1:21" ht="14.1" customHeight="1" thickBot="1" x14ac:dyDescent="0.2">
      <c r="A196" s="137"/>
      <c r="B196" s="138"/>
      <c r="C196" s="138"/>
      <c r="D196" s="138"/>
      <c r="E196" s="138"/>
      <c r="F196" s="138"/>
      <c r="G196" s="138"/>
      <c r="H196" s="138"/>
      <c r="I196" s="650"/>
      <c r="J196" s="140"/>
      <c r="K196" s="687"/>
      <c r="L196" s="192"/>
      <c r="M196" s="635"/>
      <c r="N196" s="214"/>
      <c r="O196" s="214"/>
      <c r="P196" s="97"/>
      <c r="Q196" s="97"/>
      <c r="R196" s="139"/>
      <c r="S196" s="93"/>
      <c r="T196" s="83">
        <f t="shared" si="6"/>
        <v>0</v>
      </c>
      <c r="U196" s="83">
        <f t="shared" si="9"/>
        <v>0</v>
      </c>
    </row>
    <row r="197" spans="1:21" ht="14.1" customHeight="1" x14ac:dyDescent="0.15">
      <c r="A197" s="77">
        <v>7</v>
      </c>
      <c r="B197" s="588" t="s">
        <v>179</v>
      </c>
      <c r="C197" s="588" t="s">
        <v>141</v>
      </c>
      <c r="D197" s="588"/>
      <c r="E197" s="588" t="s">
        <v>10</v>
      </c>
      <c r="F197" s="588"/>
      <c r="G197" s="588"/>
      <c r="H197" s="588"/>
      <c r="I197" s="665"/>
      <c r="J197" s="91"/>
      <c r="K197" s="699"/>
      <c r="L197" s="80" t="s">
        <v>82</v>
      </c>
      <c r="M197" s="217">
        <v>90</v>
      </c>
      <c r="N197" s="216"/>
      <c r="O197" s="216"/>
      <c r="P197" s="81">
        <f>(J197*M197*12)/(10^7)</f>
        <v>0</v>
      </c>
      <c r="Q197" s="81"/>
      <c r="R197" s="82"/>
      <c r="S197" s="93"/>
      <c r="T197" s="83">
        <f t="shared" si="6"/>
        <v>0</v>
      </c>
      <c r="U197" s="83">
        <f>S197-R197</f>
        <v>0</v>
      </c>
    </row>
    <row r="198" spans="1:21" ht="14.1" customHeight="1" x14ac:dyDescent="0.15">
      <c r="A198" s="146"/>
      <c r="B198" s="589"/>
      <c r="C198" s="589" t="s">
        <v>181</v>
      </c>
      <c r="D198" s="589"/>
      <c r="E198" s="589"/>
      <c r="F198" s="589"/>
      <c r="G198" s="589"/>
      <c r="H198" s="589"/>
      <c r="I198" s="666"/>
      <c r="J198" s="108"/>
      <c r="K198" s="710"/>
      <c r="L198" s="152"/>
      <c r="M198" s="606"/>
      <c r="N198" s="212"/>
      <c r="O198" s="212">
        <v>3.15</v>
      </c>
      <c r="P198" s="151"/>
      <c r="Q198" s="151">
        <f>K198*O198/10</f>
        <v>0</v>
      </c>
      <c r="R198" s="153"/>
      <c r="S198" s="93"/>
      <c r="T198" s="83">
        <f t="shared" si="6"/>
        <v>0</v>
      </c>
      <c r="U198" s="83">
        <f>S198-R198</f>
        <v>0</v>
      </c>
    </row>
    <row r="199" spans="1:21" ht="14.1" customHeight="1" thickBot="1" x14ac:dyDescent="0.2">
      <c r="A199" s="146"/>
      <c r="B199" s="589"/>
      <c r="C199" s="589" t="s">
        <v>182</v>
      </c>
      <c r="D199" s="590" t="s">
        <v>49</v>
      </c>
      <c r="E199" s="590" t="s">
        <v>10</v>
      </c>
      <c r="F199" s="590"/>
      <c r="G199" s="590"/>
      <c r="H199" s="590"/>
      <c r="I199" s="667"/>
      <c r="J199" s="109">
        <v>0</v>
      </c>
      <c r="K199" s="700">
        <f>K198</f>
        <v>0</v>
      </c>
      <c r="L199" s="191"/>
      <c r="M199" s="619"/>
      <c r="N199" s="619"/>
      <c r="O199" s="619"/>
      <c r="P199" s="159">
        <f>P197</f>
        <v>0</v>
      </c>
      <c r="Q199" s="159">
        <f>Q198</f>
        <v>0</v>
      </c>
      <c r="R199" s="160">
        <f>SUM(P199:Q199)</f>
        <v>0</v>
      </c>
      <c r="S199" s="94"/>
      <c r="T199" s="83">
        <f t="shared" si="6"/>
        <v>0</v>
      </c>
      <c r="U199" s="83">
        <f>S199-R199</f>
        <v>0</v>
      </c>
    </row>
    <row r="200" spans="1:21" ht="14.1" customHeight="1" x14ac:dyDescent="0.15">
      <c r="A200" s="137"/>
      <c r="B200" s="138"/>
      <c r="C200" s="138"/>
      <c r="D200" s="138"/>
      <c r="E200" s="138"/>
      <c r="F200" s="138"/>
      <c r="G200" s="138"/>
      <c r="H200" s="138"/>
      <c r="I200" s="650"/>
      <c r="J200" s="106"/>
      <c r="K200" s="687"/>
      <c r="L200" s="192"/>
      <c r="M200" s="635"/>
      <c r="N200" s="214"/>
      <c r="O200" s="214"/>
      <c r="P200" s="97"/>
      <c r="Q200" s="97"/>
      <c r="R200" s="139"/>
      <c r="S200" s="93"/>
      <c r="T200" s="83">
        <f t="shared" si="6"/>
        <v>0</v>
      </c>
      <c r="U200" s="83">
        <f>S200-R200</f>
        <v>0</v>
      </c>
    </row>
    <row r="201" spans="1:21" ht="14.1" customHeight="1" x14ac:dyDescent="0.15">
      <c r="A201" s="168" t="s">
        <v>142</v>
      </c>
      <c r="B201" s="169"/>
      <c r="C201" s="169"/>
      <c r="D201" s="169"/>
      <c r="E201" s="169" t="s">
        <v>39</v>
      </c>
      <c r="F201" s="169"/>
      <c r="G201" s="169"/>
      <c r="H201" s="169"/>
      <c r="I201" s="658">
        <f>I195+I191</f>
        <v>54</v>
      </c>
      <c r="J201" s="114">
        <f>J191+J195</f>
        <v>88782</v>
      </c>
      <c r="K201" s="697">
        <f>K191+K195</f>
        <v>135.81</v>
      </c>
      <c r="L201" s="170"/>
      <c r="M201" s="611"/>
      <c r="N201" s="617"/>
      <c r="O201" s="617"/>
      <c r="P201" s="171">
        <f>SUM(P191,P195)</f>
        <v>4.3560000000000001E-2</v>
      </c>
      <c r="Q201" s="171">
        <f>SUM(Q191,Q195)</f>
        <v>42.780149999999992</v>
      </c>
      <c r="R201" s="171">
        <f>SUM(R191,R195)</f>
        <v>42.823709999999998</v>
      </c>
      <c r="S201" s="96" t="e">
        <f>SUM(S191,S195)</f>
        <v>#REF!</v>
      </c>
      <c r="T201" s="83" t="e">
        <f t="shared" si="6"/>
        <v>#REF!</v>
      </c>
      <c r="U201" s="83" t="e">
        <f t="shared" si="9"/>
        <v>#REF!</v>
      </c>
    </row>
    <row r="202" spans="1:21" ht="14.1" customHeight="1" thickBot="1" x14ac:dyDescent="0.2">
      <c r="A202" s="186"/>
      <c r="B202" s="174"/>
      <c r="C202" s="174"/>
      <c r="D202" s="174"/>
      <c r="E202" s="174"/>
      <c r="F202" s="174"/>
      <c r="G202" s="174"/>
      <c r="H202" s="174"/>
      <c r="I202" s="659"/>
      <c r="J202" s="175"/>
      <c r="K202" s="693"/>
      <c r="L202" s="180"/>
      <c r="M202" s="612"/>
      <c r="N202" s="612"/>
      <c r="O202" s="612"/>
      <c r="P202" s="96"/>
      <c r="Q202" s="96"/>
      <c r="R202" s="176"/>
      <c r="S202" s="93"/>
      <c r="T202" s="83">
        <f t="shared" si="6"/>
        <v>0</v>
      </c>
      <c r="U202" s="83">
        <f t="shared" si="9"/>
        <v>0</v>
      </c>
    </row>
    <row r="203" spans="1:21" ht="14.1" customHeight="1" x14ac:dyDescent="0.15">
      <c r="A203" s="77">
        <v>8</v>
      </c>
      <c r="B203" s="78" t="s">
        <v>143</v>
      </c>
      <c r="C203" s="78" t="s">
        <v>144</v>
      </c>
      <c r="D203" s="78"/>
      <c r="E203" s="78" t="s">
        <v>10</v>
      </c>
      <c r="F203" s="78"/>
      <c r="G203" s="78"/>
      <c r="H203" s="78"/>
      <c r="I203" s="215">
        <v>20</v>
      </c>
      <c r="J203" s="115">
        <f>I203*125</f>
        <v>2500</v>
      </c>
      <c r="K203" s="688"/>
      <c r="L203" s="80" t="s">
        <v>82</v>
      </c>
      <c r="M203" s="217">
        <v>1960</v>
      </c>
      <c r="N203" s="216"/>
      <c r="O203" s="216"/>
      <c r="P203" s="81">
        <f>IF(($J$203*85/100*$M$203)/(10^7)&gt;($K$204*$O$204/10),($J$203*85/100*$M$203)/(10^7),0)</f>
        <v>0</v>
      </c>
      <c r="Q203" s="81"/>
      <c r="R203" s="82"/>
      <c r="S203" s="93"/>
      <c r="T203" s="83">
        <f t="shared" si="6"/>
        <v>0</v>
      </c>
      <c r="U203" s="83">
        <f t="shared" si="9"/>
        <v>0</v>
      </c>
    </row>
    <row r="204" spans="1:21" ht="14.1" customHeight="1" x14ac:dyDescent="0.15">
      <c r="A204" s="146"/>
      <c r="B204" s="147"/>
      <c r="C204" s="147" t="s">
        <v>145</v>
      </c>
      <c r="D204" s="147"/>
      <c r="E204" s="147"/>
      <c r="F204" s="147"/>
      <c r="G204" s="147"/>
      <c r="H204" s="147"/>
      <c r="I204" s="660"/>
      <c r="J204" s="162"/>
      <c r="K204" s="709">
        <v>2.77</v>
      </c>
      <c r="L204" s="152"/>
      <c r="M204" s="606"/>
      <c r="N204" s="212"/>
      <c r="O204" s="212">
        <v>5.15</v>
      </c>
      <c r="P204" s="151"/>
      <c r="Q204">
        <f>IF(($J$203*$M$203)/(10^7)&gt;($K$204*$O$204/10),0,($K$204*$O$204/10))</f>
        <v>1.4265500000000002</v>
      </c>
      <c r="R204" s="153"/>
      <c r="S204" s="93"/>
      <c r="T204" s="83">
        <f t="shared" si="6"/>
        <v>0</v>
      </c>
      <c r="U204" s="83">
        <f t="shared" si="9"/>
        <v>0</v>
      </c>
    </row>
    <row r="205" spans="1:21" ht="14.1" customHeight="1" thickBot="1" x14ac:dyDescent="0.2">
      <c r="A205" s="146"/>
      <c r="B205" s="147"/>
      <c r="C205" s="147" t="s">
        <v>146</v>
      </c>
      <c r="D205" s="155" t="s">
        <v>49</v>
      </c>
      <c r="E205" s="155" t="s">
        <v>10</v>
      </c>
      <c r="F205" s="155"/>
      <c r="G205" s="155"/>
      <c r="H205" s="155"/>
      <c r="I205" s="661">
        <f>SUM(I203:I204)</f>
        <v>20</v>
      </c>
      <c r="J205" s="163">
        <f>J203</f>
        <v>2500</v>
      </c>
      <c r="K205" s="690">
        <f>SUM(K204)</f>
        <v>2.77</v>
      </c>
      <c r="L205" s="191"/>
      <c r="M205" s="619"/>
      <c r="N205" s="619"/>
      <c r="O205" s="619"/>
      <c r="P205" s="159">
        <f>P203</f>
        <v>0</v>
      </c>
      <c r="Q205" s="159">
        <f>Q204</f>
        <v>1.4265500000000002</v>
      </c>
      <c r="R205" s="160">
        <f>SUM(P205:Q205)</f>
        <v>1.4265500000000002</v>
      </c>
      <c r="S205" s="94" t="e">
        <f>#REF!</f>
        <v>#REF!</v>
      </c>
      <c r="T205" s="83" t="e">
        <f t="shared" si="6"/>
        <v>#REF!</v>
      </c>
      <c r="U205" s="83" t="e">
        <f t="shared" si="9"/>
        <v>#REF!</v>
      </c>
    </row>
    <row r="206" spans="1:21" ht="14.1" customHeight="1" x14ac:dyDescent="0.15">
      <c r="A206" s="137"/>
      <c r="B206" s="138"/>
      <c r="C206" s="138"/>
      <c r="D206" s="138"/>
      <c r="E206" s="138"/>
      <c r="F206" s="138"/>
      <c r="G206" s="138"/>
      <c r="H206" s="138"/>
      <c r="I206" s="650"/>
      <c r="J206" s="140"/>
      <c r="K206" s="687"/>
      <c r="L206" s="78"/>
      <c r="M206" s="214"/>
      <c r="N206" s="604"/>
      <c r="O206" s="604"/>
      <c r="P206" s="97"/>
      <c r="Q206" s="97"/>
      <c r="R206" s="139"/>
      <c r="S206" s="93"/>
      <c r="T206" s="83">
        <f t="shared" si="6"/>
        <v>0</v>
      </c>
      <c r="U206" s="83">
        <f t="shared" si="9"/>
        <v>0</v>
      </c>
    </row>
    <row r="207" spans="1:21" ht="14.1" customHeight="1" x14ac:dyDescent="0.15">
      <c r="A207" s="168" t="s">
        <v>147</v>
      </c>
      <c r="B207" s="169"/>
      <c r="C207" s="169"/>
      <c r="D207" s="169"/>
      <c r="E207" s="169" t="s">
        <v>39</v>
      </c>
      <c r="F207" s="169"/>
      <c r="G207" s="169"/>
      <c r="H207" s="169"/>
      <c r="I207" s="658">
        <f>I205</f>
        <v>20</v>
      </c>
      <c r="J207" s="114">
        <f>J205</f>
        <v>2500</v>
      </c>
      <c r="K207" s="697">
        <f>K205</f>
        <v>2.77</v>
      </c>
      <c r="L207" s="171"/>
      <c r="M207" s="617"/>
      <c r="N207" s="611"/>
      <c r="O207" s="611"/>
      <c r="P207" s="171">
        <f>P205</f>
        <v>0</v>
      </c>
      <c r="Q207" s="171">
        <f>Q205</f>
        <v>1.4265500000000002</v>
      </c>
      <c r="R207" s="171">
        <f>R205</f>
        <v>1.4265500000000002</v>
      </c>
      <c r="S207" s="96" t="e">
        <f>S205</f>
        <v>#REF!</v>
      </c>
      <c r="T207" s="83" t="e">
        <f t="shared" si="6"/>
        <v>#REF!</v>
      </c>
      <c r="U207" s="83" t="e">
        <f t="shared" si="9"/>
        <v>#REF!</v>
      </c>
    </row>
    <row r="208" spans="1:21" ht="14.1" customHeight="1" thickBot="1" x14ac:dyDescent="0.2">
      <c r="A208" s="186"/>
      <c r="B208" s="174"/>
      <c r="C208" s="174"/>
      <c r="D208" s="174"/>
      <c r="E208" s="174"/>
      <c r="F208" s="174"/>
      <c r="G208" s="174"/>
      <c r="H208" s="174"/>
      <c r="I208" s="659"/>
      <c r="J208" s="175"/>
      <c r="K208" s="693"/>
      <c r="L208" s="180"/>
      <c r="M208" s="612"/>
      <c r="N208" s="612"/>
      <c r="O208" s="612"/>
      <c r="P208" s="96"/>
      <c r="Q208" s="96"/>
      <c r="R208" s="176"/>
      <c r="S208" s="93"/>
      <c r="T208" s="83">
        <f t="shared" ref="T208:T224" si="10">R208-S208</f>
        <v>0</v>
      </c>
      <c r="U208" s="83">
        <f t="shared" si="9"/>
        <v>0</v>
      </c>
    </row>
    <row r="209" spans="1:21" ht="14.1" customHeight="1" thickBot="1" x14ac:dyDescent="0.2">
      <c r="A209" s="141" t="s">
        <v>148</v>
      </c>
      <c r="B209" s="142"/>
      <c r="C209" s="142"/>
      <c r="D209" s="142"/>
      <c r="E209" s="142"/>
      <c r="F209" s="1156">
        <f>+[1]Sheet1!$P$29</f>
        <v>94</v>
      </c>
      <c r="G209" s="1156">
        <f>+[1]Sheet1!$V$29</f>
        <v>89</v>
      </c>
      <c r="H209" s="1156">
        <f>+[1]Sheet1!$V$29</f>
        <v>89</v>
      </c>
      <c r="I209" s="649">
        <f>I207+I201</f>
        <v>74</v>
      </c>
      <c r="J209" s="113">
        <f>J201+J207</f>
        <v>91282</v>
      </c>
      <c r="K209" s="686">
        <f>K201+K207</f>
        <v>138.58000000000001</v>
      </c>
      <c r="L209" s="143"/>
      <c r="M209" s="613"/>
      <c r="N209" s="613"/>
      <c r="O209" s="613"/>
      <c r="P209" s="143">
        <f>SUM(P201,P207)</f>
        <v>4.3560000000000001E-2</v>
      </c>
      <c r="Q209" s="143">
        <f>SUM(Q201,Q207)</f>
        <v>44.206699999999991</v>
      </c>
      <c r="R209" s="143">
        <f>SUM(R201,R207)</f>
        <v>44.250259999999997</v>
      </c>
      <c r="S209" s="97" t="e">
        <f>SUM(S201,S207)</f>
        <v>#REF!</v>
      </c>
      <c r="T209" s="83" t="e">
        <f t="shared" si="10"/>
        <v>#REF!</v>
      </c>
      <c r="U209" s="83" t="e">
        <f t="shared" si="9"/>
        <v>#REF!</v>
      </c>
    </row>
    <row r="210" spans="1:21" ht="14.1" customHeight="1" thickBot="1" x14ac:dyDescent="0.2">
      <c r="A210" s="181"/>
      <c r="B210" s="166"/>
      <c r="C210" s="166"/>
      <c r="D210" s="166"/>
      <c r="E210" s="166"/>
      <c r="F210" s="166"/>
      <c r="G210" s="166"/>
      <c r="H210" s="166"/>
      <c r="I210" s="657"/>
      <c r="J210" s="167"/>
      <c r="K210" s="691"/>
      <c r="L210" s="78"/>
      <c r="M210" s="214"/>
      <c r="N210" s="214"/>
      <c r="O210" s="214"/>
      <c r="P210" s="139"/>
      <c r="Q210" s="139"/>
      <c r="R210" s="139"/>
      <c r="S210" s="93"/>
      <c r="T210" s="83">
        <f t="shared" si="10"/>
        <v>0</v>
      </c>
      <c r="U210" s="83">
        <f t="shared" si="9"/>
        <v>0</v>
      </c>
    </row>
    <row r="211" spans="1:21" ht="14.1" customHeight="1" x14ac:dyDescent="0.15">
      <c r="A211" s="77">
        <v>9</v>
      </c>
      <c r="B211" s="78" t="s">
        <v>312</v>
      </c>
      <c r="C211" s="78" t="s">
        <v>314</v>
      </c>
      <c r="D211" s="78"/>
      <c r="E211" s="78" t="s">
        <v>115</v>
      </c>
      <c r="F211" s="1156">
        <f>+[1]Sheet1!$P$30</f>
        <v>608</v>
      </c>
      <c r="G211" s="1156">
        <f>+[1]Sheet1!$V$30</f>
        <v>565</v>
      </c>
      <c r="H211" s="1156">
        <f>+[1]Sheet1!$V$30</f>
        <v>565</v>
      </c>
      <c r="I211" s="678">
        <v>545</v>
      </c>
      <c r="J211" s="115">
        <f>I211*145</f>
        <v>79025</v>
      </c>
      <c r="K211" s="688"/>
      <c r="L211" s="80" t="s">
        <v>116</v>
      </c>
      <c r="M211" s="217">
        <v>175</v>
      </c>
      <c r="N211" s="216"/>
      <c r="O211" s="216"/>
      <c r="P211" s="81">
        <f>(J211*85/100*M211*12)/(10^7)</f>
        <v>14.1059625</v>
      </c>
      <c r="Q211" s="81"/>
      <c r="R211" s="82"/>
      <c r="S211" s="93"/>
      <c r="T211" s="83">
        <f t="shared" si="10"/>
        <v>0</v>
      </c>
      <c r="U211" s="83">
        <f t="shared" si="9"/>
        <v>0</v>
      </c>
    </row>
    <row r="212" spans="1:21" ht="14.1" customHeight="1" x14ac:dyDescent="0.15">
      <c r="A212" s="146"/>
      <c r="B212" s="147"/>
      <c r="C212" s="193"/>
      <c r="D212" s="147"/>
      <c r="E212" s="147"/>
      <c r="F212" s="147"/>
      <c r="G212" s="147"/>
      <c r="H212" s="147"/>
      <c r="I212" s="652"/>
      <c r="J212" s="154"/>
      <c r="K212" s="689">
        <v>102.13</v>
      </c>
      <c r="L212" s="189"/>
      <c r="M212" s="636"/>
      <c r="N212" s="212"/>
      <c r="O212" s="212">
        <v>7.1</v>
      </c>
      <c r="P212" s="151"/>
      <c r="Q212" s="151">
        <f>K212*O212/10</f>
        <v>72.512299999999996</v>
      </c>
      <c r="R212" s="153"/>
      <c r="S212" s="93"/>
      <c r="T212" s="83">
        <f t="shared" si="10"/>
        <v>0</v>
      </c>
      <c r="U212" s="83">
        <f t="shared" si="9"/>
        <v>0</v>
      </c>
    </row>
    <row r="213" spans="1:21" ht="14.1" customHeight="1" thickBot="1" x14ac:dyDescent="0.2">
      <c r="A213" s="146"/>
      <c r="B213" s="147"/>
      <c r="C213" s="193"/>
      <c r="D213" s="155" t="s">
        <v>49</v>
      </c>
      <c r="E213" s="155" t="s">
        <v>115</v>
      </c>
      <c r="F213" s="155"/>
      <c r="G213" s="155"/>
      <c r="H213" s="155"/>
      <c r="I213" s="654">
        <f>I211</f>
        <v>545</v>
      </c>
      <c r="J213" s="156">
        <f>J211</f>
        <v>79025</v>
      </c>
      <c r="K213" s="690">
        <f>SUM(K212)</f>
        <v>102.13</v>
      </c>
      <c r="L213" s="184"/>
      <c r="M213" s="619"/>
      <c r="N213" s="619"/>
      <c r="O213" s="619"/>
      <c r="P213" s="159">
        <f>P211</f>
        <v>14.1059625</v>
      </c>
      <c r="Q213" s="159">
        <f>Q212</f>
        <v>72.512299999999996</v>
      </c>
      <c r="R213" s="160">
        <f>SUM(P213:Q213)</f>
        <v>86.6182625</v>
      </c>
      <c r="S213" s="94" t="e">
        <f>#REF!</f>
        <v>#REF!</v>
      </c>
      <c r="T213" s="83" t="e">
        <f t="shared" si="10"/>
        <v>#REF!</v>
      </c>
      <c r="U213" s="83" t="e">
        <f t="shared" si="9"/>
        <v>#REF!</v>
      </c>
    </row>
    <row r="214" spans="1:21" ht="14.1" customHeight="1" thickBot="1" x14ac:dyDescent="0.2">
      <c r="A214" s="137"/>
      <c r="B214" s="138"/>
      <c r="C214" s="138"/>
      <c r="D214" s="138"/>
      <c r="E214" s="138"/>
      <c r="F214" s="138"/>
      <c r="G214" s="138"/>
      <c r="H214" s="138"/>
      <c r="I214" s="650"/>
      <c r="J214" s="140"/>
      <c r="K214" s="687"/>
      <c r="L214" s="97"/>
      <c r="M214" s="604"/>
      <c r="N214" s="604"/>
      <c r="O214" s="604"/>
      <c r="P214" s="97"/>
      <c r="Q214" s="97"/>
      <c r="R214" s="139"/>
      <c r="S214" s="93"/>
      <c r="T214" s="83">
        <f t="shared" si="10"/>
        <v>0</v>
      </c>
      <c r="U214" s="83">
        <f t="shared" si="9"/>
        <v>0</v>
      </c>
    </row>
    <row r="215" spans="1:21" ht="14.1" customHeight="1" x14ac:dyDescent="0.15">
      <c r="A215" s="77">
        <v>10</v>
      </c>
      <c r="B215" s="78" t="s">
        <v>313</v>
      </c>
      <c r="C215" s="78" t="s">
        <v>108</v>
      </c>
      <c r="D215" s="78"/>
      <c r="E215" s="78" t="s">
        <v>115</v>
      </c>
      <c r="F215" s="1156">
        <f>+[1]Sheet1!$P$31</f>
        <v>2675</v>
      </c>
      <c r="G215" s="1156">
        <f>+[1]Sheet1!$V$31</f>
        <v>2475</v>
      </c>
      <c r="H215" s="1156">
        <f>+[1]Sheet1!$V$31</f>
        <v>2475</v>
      </c>
      <c r="I215" s="215">
        <v>2124</v>
      </c>
      <c r="J215" s="115">
        <f>(((I215-4)*250)+(4*1415))</f>
        <v>535660</v>
      </c>
      <c r="K215" s="688"/>
      <c r="L215" s="80" t="s">
        <v>116</v>
      </c>
      <c r="M215" s="217">
        <v>325</v>
      </c>
      <c r="N215" s="216"/>
      <c r="O215" s="216"/>
      <c r="P215" s="81">
        <f>((J215-(4*1413))*M215*12)/(10^7)</f>
        <v>206.70312000000001</v>
      </c>
      <c r="Q215" s="81"/>
      <c r="R215" s="82"/>
      <c r="S215" s="93"/>
      <c r="T215" s="83">
        <f t="shared" si="10"/>
        <v>0</v>
      </c>
      <c r="U215" s="83">
        <f t="shared" si="9"/>
        <v>0</v>
      </c>
    </row>
    <row r="216" spans="1:21" ht="14.1" customHeight="1" x14ac:dyDescent="0.15">
      <c r="A216" s="146"/>
      <c r="B216" s="147"/>
      <c r="C216" s="147"/>
      <c r="D216" s="147"/>
      <c r="E216" s="147"/>
      <c r="F216" s="147"/>
      <c r="G216" s="147"/>
      <c r="H216" s="147"/>
      <c r="I216" s="652"/>
      <c r="J216" s="154"/>
      <c r="K216" s="689">
        <v>107.67</v>
      </c>
      <c r="L216" s="151"/>
      <c r="M216" s="212"/>
      <c r="N216" s="212"/>
      <c r="O216" s="212">
        <v>11.2</v>
      </c>
      <c r="P216" s="151"/>
      <c r="Q216" s="151">
        <f>K216*O216/10</f>
        <v>120.5904</v>
      </c>
      <c r="R216" s="153"/>
      <c r="S216" s="93"/>
      <c r="T216" s="83">
        <f t="shared" si="10"/>
        <v>0</v>
      </c>
      <c r="U216" s="83">
        <f t="shared" si="9"/>
        <v>0</v>
      </c>
    </row>
    <row r="217" spans="1:21" ht="14.1" customHeight="1" thickBot="1" x14ac:dyDescent="0.2">
      <c r="A217" s="146"/>
      <c r="B217" s="147"/>
      <c r="C217" s="147"/>
      <c r="D217" s="155" t="s">
        <v>49</v>
      </c>
      <c r="E217" s="155" t="s">
        <v>115</v>
      </c>
      <c r="F217" s="155"/>
      <c r="G217" s="155"/>
      <c r="H217" s="155"/>
      <c r="I217" s="654">
        <f>I215</f>
        <v>2124</v>
      </c>
      <c r="J217" s="156">
        <f>J215</f>
        <v>535660</v>
      </c>
      <c r="K217" s="690">
        <f>SUM(K216)</f>
        <v>107.67</v>
      </c>
      <c r="L217" s="159"/>
      <c r="M217" s="637"/>
      <c r="N217" s="637"/>
      <c r="O217" s="637"/>
      <c r="P217" s="159">
        <f>P215</f>
        <v>206.70312000000001</v>
      </c>
      <c r="Q217" s="159">
        <f>Q216</f>
        <v>120.5904</v>
      </c>
      <c r="R217" s="160">
        <f>SUM(P217:Q217)</f>
        <v>327.29352</v>
      </c>
      <c r="S217" s="94" t="e">
        <f>#REF!</f>
        <v>#REF!</v>
      </c>
      <c r="T217" s="83" t="e">
        <f t="shared" si="10"/>
        <v>#REF!</v>
      </c>
      <c r="U217" s="83" t="e">
        <f t="shared" si="9"/>
        <v>#REF!</v>
      </c>
    </row>
    <row r="218" spans="1:21" ht="14.1" customHeight="1" thickBot="1" x14ac:dyDescent="0.2">
      <c r="A218" s="137"/>
      <c r="B218" s="138"/>
      <c r="C218" s="138"/>
      <c r="D218" s="166"/>
      <c r="E218" s="166"/>
      <c r="F218" s="166"/>
      <c r="G218" s="166"/>
      <c r="H218" s="166"/>
      <c r="I218" s="657"/>
      <c r="J218" s="167"/>
      <c r="K218" s="691"/>
      <c r="L218" s="97"/>
      <c r="M218" s="604"/>
      <c r="N218" s="604"/>
      <c r="O218" s="604"/>
      <c r="P218" s="139"/>
      <c r="Q218" s="139"/>
      <c r="R218" s="139"/>
      <c r="S218" s="93"/>
      <c r="T218" s="83">
        <f t="shared" si="10"/>
        <v>0</v>
      </c>
      <c r="U218" s="83">
        <f t="shared" si="9"/>
        <v>0</v>
      </c>
    </row>
    <row r="219" spans="1:21" ht="14.1" customHeight="1" thickBot="1" x14ac:dyDescent="0.2">
      <c r="A219" s="141" t="s">
        <v>360</v>
      </c>
      <c r="B219" s="142"/>
      <c r="C219" s="142"/>
      <c r="D219" s="142"/>
      <c r="E219" s="142" t="s">
        <v>39</v>
      </c>
      <c r="F219" s="142"/>
      <c r="G219" s="142"/>
      <c r="H219" s="142"/>
      <c r="I219" s="649">
        <f>I217+I213</f>
        <v>2669</v>
      </c>
      <c r="J219" s="113">
        <f>J213+J217</f>
        <v>614685</v>
      </c>
      <c r="K219" s="686">
        <f>K217+K213</f>
        <v>209.8</v>
      </c>
      <c r="L219" s="143"/>
      <c r="M219" s="613"/>
      <c r="N219" s="613"/>
      <c r="O219" s="613"/>
      <c r="P219" s="143">
        <f>SUM(P213,P217)</f>
        <v>220.80908250000002</v>
      </c>
      <c r="Q219" s="143">
        <f>SUM(Q213,Q217)</f>
        <v>193.1027</v>
      </c>
      <c r="R219" s="143">
        <f>SUM(R213,R217)</f>
        <v>413.91178250000002</v>
      </c>
      <c r="S219" s="94" t="e">
        <f>S217+S213</f>
        <v>#REF!</v>
      </c>
      <c r="T219" s="83" t="e">
        <f t="shared" si="10"/>
        <v>#REF!</v>
      </c>
      <c r="U219" s="83" t="e">
        <f t="shared" si="9"/>
        <v>#REF!</v>
      </c>
    </row>
    <row r="220" spans="1:21" ht="14.1" customHeight="1" thickBot="1" x14ac:dyDescent="0.2">
      <c r="A220" s="181"/>
      <c r="B220" s="166"/>
      <c r="C220" s="166"/>
      <c r="D220" s="138"/>
      <c r="E220" s="138"/>
      <c r="F220" s="138"/>
      <c r="G220" s="138"/>
      <c r="H220" s="138"/>
      <c r="I220" s="650"/>
      <c r="J220" s="140"/>
      <c r="K220" s="687"/>
      <c r="L220" s="97"/>
      <c r="M220" s="604"/>
      <c r="N220" s="604"/>
      <c r="O220" s="604"/>
      <c r="P220" s="97"/>
      <c r="Q220" s="97"/>
      <c r="R220" s="139"/>
      <c r="S220" s="93"/>
      <c r="T220" s="83">
        <f t="shared" si="10"/>
        <v>0</v>
      </c>
      <c r="U220" s="83">
        <f t="shared" si="9"/>
        <v>0</v>
      </c>
    </row>
    <row r="221" spans="1:21" ht="14.1" customHeight="1" x14ac:dyDescent="0.15">
      <c r="A221" s="346" t="s">
        <v>150</v>
      </c>
      <c r="B221" s="347"/>
      <c r="C221" s="347"/>
      <c r="D221" s="347"/>
      <c r="E221" s="347" t="s">
        <v>39</v>
      </c>
      <c r="F221" s="347">
        <f>+F142+F156+F170+F185+F209+F211+F215</f>
        <v>22507</v>
      </c>
      <c r="G221" s="347">
        <f>+G142+G156+G170+G185+G209+G211+G215</f>
        <v>21825</v>
      </c>
      <c r="H221" s="347">
        <f>+H142+H156+H170+H185+H209+H211+H215</f>
        <v>21825</v>
      </c>
      <c r="I221" s="676">
        <f>SUM(I142,I187,I209,I219)</f>
        <v>20665</v>
      </c>
      <c r="J221" s="348">
        <f>J142+J187+J209+J219</f>
        <v>7850972</v>
      </c>
      <c r="K221" s="707">
        <f>SUM(K142,K187,K209,K219)</f>
        <v>8048.6800000000012</v>
      </c>
      <c r="L221" s="349"/>
      <c r="M221" s="633"/>
      <c r="N221" s="633"/>
      <c r="O221" s="633"/>
      <c r="P221" s="349">
        <f>SUM(P142,P187,P209,P219)</f>
        <v>2343.3632474999999</v>
      </c>
      <c r="Q221" s="349">
        <f>SUM(Q142,Q187,Q209,Q219)</f>
        <v>6275.1574604999996</v>
      </c>
      <c r="R221" s="349">
        <f>SUM(R142,R187,R209,R219)</f>
        <v>8618.520708</v>
      </c>
      <c r="S221" s="98" t="e">
        <f>SUM(S142,S187,S209,S219)</f>
        <v>#REF!</v>
      </c>
      <c r="T221" s="83" t="e">
        <f t="shared" si="10"/>
        <v>#REF!</v>
      </c>
      <c r="U221" s="83" t="e">
        <f t="shared" si="9"/>
        <v>#REF!</v>
      </c>
    </row>
    <row r="222" spans="1:21" ht="21" customHeight="1" thickBot="1" x14ac:dyDescent="0.2">
      <c r="A222" s="483" t="s">
        <v>443</v>
      </c>
      <c r="B222" s="483" t="s">
        <v>364</v>
      </c>
      <c r="C222" s="483" t="s">
        <v>442</v>
      </c>
      <c r="D222" s="766"/>
      <c r="E222" s="766"/>
      <c r="F222" s="766"/>
      <c r="G222" s="766"/>
      <c r="H222" s="766"/>
      <c r="I222" s="767"/>
      <c r="J222" s="768"/>
      <c r="K222" s="769">
        <v>350</v>
      </c>
      <c r="L222" s="368"/>
      <c r="M222" s="770"/>
      <c r="N222" s="770"/>
      <c r="O222" s="770">
        <v>6</v>
      </c>
      <c r="P222" s="376">
        <v>0</v>
      </c>
      <c r="Q222" s="376">
        <f>K222*O222/10</f>
        <v>210</v>
      </c>
      <c r="R222" s="368">
        <f>P222+Q222</f>
        <v>210</v>
      </c>
      <c r="S222" s="85"/>
      <c r="T222" s="83">
        <f t="shared" si="10"/>
        <v>210</v>
      </c>
      <c r="U222" s="83">
        <f t="shared" si="9"/>
        <v>-210</v>
      </c>
    </row>
    <row r="223" spans="1:21" ht="18.95" customHeight="1" x14ac:dyDescent="0.15">
      <c r="A223" s="201" t="s">
        <v>151</v>
      </c>
      <c r="B223" s="202"/>
      <c r="C223" s="202"/>
      <c r="D223" s="202"/>
      <c r="E223" s="713" t="s">
        <v>39</v>
      </c>
      <c r="F223" s="347">
        <f>+F136+F221</f>
        <v>14447229</v>
      </c>
      <c r="G223" s="347">
        <f>+G136+G221</f>
        <v>14166802</v>
      </c>
      <c r="H223" s="347">
        <f>+H136+H221</f>
        <v>13363515</v>
      </c>
      <c r="I223" s="714">
        <f>SUM(I136,I221)</f>
        <v>13566099</v>
      </c>
      <c r="J223" s="714">
        <f>J221+J136</f>
        <v>41993045.731631607</v>
      </c>
      <c r="K223" s="715">
        <f>SUM(K136,K221,K222)</f>
        <v>29396.61</v>
      </c>
      <c r="L223" s="712"/>
      <c r="M223" s="638"/>
      <c r="N223" s="638"/>
      <c r="O223" s="638"/>
      <c r="P223" s="200">
        <f>SUM(P136,P221)</f>
        <v>5980.02136370885</v>
      </c>
      <c r="Q223" s="200">
        <f>SUM(Q136,Q221,Q222)</f>
        <v>19024.214776728499</v>
      </c>
      <c r="R223" s="200">
        <f>SUM(R136,R221,R222)</f>
        <v>25004.236140437351</v>
      </c>
      <c r="S223" s="99" t="e">
        <f>SUM(S136,S221,S222)</f>
        <v>#REF!</v>
      </c>
      <c r="T223" s="83" t="e">
        <f t="shared" si="10"/>
        <v>#REF!</v>
      </c>
      <c r="U223" s="83" t="e">
        <f t="shared" si="9"/>
        <v>#REF!</v>
      </c>
    </row>
    <row r="224" spans="1:21" ht="29.25" thickBot="1" x14ac:dyDescent="0.2">
      <c r="A224" s="222"/>
      <c r="B224" s="223"/>
      <c r="C224" s="224" t="s">
        <v>415</v>
      </c>
      <c r="D224" s="223"/>
      <c r="E224" s="223"/>
      <c r="F224" s="223"/>
      <c r="G224" s="223"/>
      <c r="H224" s="223"/>
      <c r="I224" s="679"/>
      <c r="J224" s="223"/>
      <c r="K224" s="711"/>
      <c r="L224" s="225"/>
      <c r="M224" s="639"/>
      <c r="N224" s="639"/>
      <c r="O224" s="639"/>
      <c r="P224" s="226">
        <v>0</v>
      </c>
      <c r="Q224" s="456">
        <v>591.98</v>
      </c>
      <c r="R224" s="457">
        <f>Q224</f>
        <v>591.98</v>
      </c>
      <c r="S224" s="100"/>
      <c r="T224" s="83">
        <f t="shared" si="10"/>
        <v>591.98</v>
      </c>
    </row>
    <row r="225" spans="1:19" ht="31.5" customHeight="1" thickBot="1" x14ac:dyDescent="0.2">
      <c r="A225" s="1524" t="s">
        <v>343</v>
      </c>
      <c r="B225" s="1525"/>
      <c r="C225" s="1526"/>
      <c r="D225" s="227"/>
      <c r="E225" s="227"/>
      <c r="F225" s="227"/>
      <c r="G225" s="227"/>
      <c r="H225" s="227"/>
      <c r="I225" s="680"/>
      <c r="J225" s="228"/>
      <c r="K225" s="228"/>
      <c r="L225" s="228"/>
      <c r="M225" s="228"/>
      <c r="N225" s="228"/>
      <c r="O225" s="228"/>
      <c r="P225" s="229">
        <f>P224+P223</f>
        <v>5980.02136370885</v>
      </c>
      <c r="Q225" s="229">
        <f>Q224+Q223</f>
        <v>19616.194776728498</v>
      </c>
      <c r="R225" s="230">
        <f>R224+R223</f>
        <v>25596.216140437351</v>
      </c>
      <c r="S225" s="100"/>
    </row>
    <row r="226" spans="1:19" x14ac:dyDescent="0.15">
      <c r="I226" s="681"/>
    </row>
    <row r="227" spans="1:19" x14ac:dyDescent="0.15">
      <c r="I227" s="681"/>
      <c r="M227" s="221" t="s">
        <v>416</v>
      </c>
      <c r="N227" s="221" t="s">
        <v>412</v>
      </c>
      <c r="O227" s="221">
        <v>740.6</v>
      </c>
      <c r="R227" s="83"/>
    </row>
    <row r="228" spans="1:19" x14ac:dyDescent="0.15">
      <c r="I228" s="681"/>
      <c r="N228" s="221" t="s">
        <v>413</v>
      </c>
      <c r="O228" s="221">
        <f>O227+(O227*10%)</f>
        <v>814.66000000000008</v>
      </c>
      <c r="P228" s="1">
        <v>645</v>
      </c>
    </row>
    <row r="229" spans="1:19" x14ac:dyDescent="0.15">
      <c r="I229" s="681"/>
      <c r="N229" s="221" t="s">
        <v>414</v>
      </c>
      <c r="O229" s="221">
        <v>576.52</v>
      </c>
      <c r="P229" s="1">
        <f>576.52-100</f>
        <v>476.52</v>
      </c>
    </row>
    <row r="230" spans="1:19" x14ac:dyDescent="0.15">
      <c r="I230" s="681"/>
      <c r="O230" s="221" t="s">
        <v>447</v>
      </c>
      <c r="P230" s="1">
        <f>P229*1.1</f>
        <v>524.17200000000003</v>
      </c>
    </row>
    <row r="231" spans="1:19" x14ac:dyDescent="0.15">
      <c r="I231" s="681"/>
      <c r="O231" s="221" t="s">
        <v>448</v>
      </c>
      <c r="P231" s="1">
        <f>P230*1.1</f>
        <v>576.58920000000012</v>
      </c>
    </row>
    <row r="232" spans="1:19" x14ac:dyDescent="0.15">
      <c r="I232" s="681"/>
    </row>
    <row r="233" spans="1:19" x14ac:dyDescent="0.15">
      <c r="I233" s="681"/>
    </row>
    <row r="234" spans="1:19" x14ac:dyDescent="0.15">
      <c r="I234" s="681"/>
    </row>
    <row r="235" spans="1:19" x14ac:dyDescent="0.15">
      <c r="I235" s="681"/>
    </row>
    <row r="236" spans="1:19" x14ac:dyDescent="0.15">
      <c r="I236" s="681"/>
    </row>
    <row r="237" spans="1:19" x14ac:dyDescent="0.15">
      <c r="I237" s="681"/>
    </row>
    <row r="238" spans="1:19" x14ac:dyDescent="0.15">
      <c r="I238" s="681"/>
    </row>
    <row r="239" spans="1:19" x14ac:dyDescent="0.15">
      <c r="I239" s="681"/>
    </row>
    <row r="240" spans="1:19" x14ac:dyDescent="0.15">
      <c r="I240" s="681"/>
    </row>
    <row r="241" spans="9:9" x14ac:dyDescent="0.15">
      <c r="I241" s="681"/>
    </row>
    <row r="242" spans="9:9" x14ac:dyDescent="0.15">
      <c r="I242" s="681"/>
    </row>
  </sheetData>
  <mergeCells count="9">
    <mergeCell ref="J4:M4"/>
    <mergeCell ref="A225:C225"/>
    <mergeCell ref="C55:C56"/>
    <mergeCell ref="C89:C90"/>
    <mergeCell ref="C130:C131"/>
    <mergeCell ref="C13:C15"/>
    <mergeCell ref="C17:C18"/>
    <mergeCell ref="C173:C176"/>
    <mergeCell ref="C179:C182"/>
  </mergeCells>
  <phoneticPr fontId="6" type="noConversion"/>
  <printOptions horizontalCentered="1"/>
  <pageMargins left="0.47244094488188998" right="0.39370078740157499" top="0.31496062992126" bottom="0.39370078740157499" header="0" footer="0"/>
  <pageSetup paperSize="9" scale="51" fitToHeight="10" orientation="landscape" r:id="rId1"/>
  <headerFooter alignWithMargins="0"/>
  <rowBreaks count="2" manualBreakCount="2">
    <brk id="66" max="14" man="1"/>
    <brk id="143" max="1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Q122"/>
  <sheetViews>
    <sheetView view="pageBreakPreview" topLeftCell="S46" zoomScale="60" zoomScaleNormal="75" workbookViewId="0">
      <selection activeCell="T2" sqref="T2:BQ118"/>
    </sheetView>
  </sheetViews>
  <sheetFormatPr defaultRowHeight="10.5" x14ac:dyDescent="0.1"/>
  <cols>
    <col min="1" max="1" width="11.32421875" style="1256" hidden="1" customWidth="1"/>
    <col min="2" max="2" width="32.36328125" style="1256" hidden="1" customWidth="1"/>
    <col min="3" max="3" width="35.46484375" style="1256" hidden="1" customWidth="1"/>
    <col min="4" max="4" width="7.68359375" style="1256" hidden="1" customWidth="1"/>
    <col min="5" max="5" width="17.6640625" style="1256" hidden="1" customWidth="1"/>
    <col min="6" max="6" width="10.3828125" style="1256" hidden="1" customWidth="1"/>
    <col min="7" max="7" width="11.4609375" style="1256" hidden="1" customWidth="1"/>
    <col min="8" max="9" width="30.609375" style="1256" hidden="1" customWidth="1"/>
    <col min="10" max="10" width="10.3828125" style="1256" hidden="1" customWidth="1"/>
    <col min="11" max="11" width="17.6640625" style="1256" hidden="1" customWidth="1"/>
    <col min="12" max="12" width="10.3828125" style="1256" hidden="1" customWidth="1"/>
    <col min="13" max="13" width="11.32421875" style="1256" hidden="1" customWidth="1"/>
    <col min="14" max="15" width="30.74609375" style="1256" hidden="1" customWidth="1"/>
    <col min="16" max="16" width="7.68359375" style="1256" hidden="1" customWidth="1"/>
    <col min="17" max="17" width="17.6640625" style="1256" hidden="1" customWidth="1"/>
    <col min="18" max="18" width="10.3828125" style="1256" hidden="1" customWidth="1"/>
    <col min="19" max="19" width="5.52734375" style="1256" customWidth="1"/>
    <col min="20" max="20" width="11.32421875" style="1256" customWidth="1"/>
    <col min="21" max="21" width="32.09375" style="1256" customWidth="1"/>
    <col min="22" max="22" width="30.74609375" style="1256" customWidth="1"/>
    <col min="23" max="23" width="7.68359375" style="1256" customWidth="1"/>
    <col min="24" max="24" width="17.6640625" style="1256" customWidth="1"/>
    <col min="25" max="25" width="10.3828125" style="1256" customWidth="1"/>
    <col min="26" max="26" width="11.32421875" style="1256" customWidth="1"/>
    <col min="27" max="28" width="30.74609375" style="1256" customWidth="1"/>
    <col min="29" max="29" width="7.68359375" style="1256" customWidth="1"/>
    <col min="30" max="30" width="17.6640625" style="1256" customWidth="1"/>
    <col min="31" max="31" width="10.3828125" style="1256" customWidth="1"/>
    <col min="32" max="32" width="11.32421875" style="1256" hidden="1" customWidth="1"/>
    <col min="33" max="33" width="32.09375" style="1256" hidden="1" customWidth="1"/>
    <col min="34" max="34" width="30.74609375" style="1256" hidden="1" customWidth="1"/>
    <col min="35" max="35" width="7.68359375" style="1256" hidden="1" customWidth="1"/>
    <col min="36" max="36" width="17.6640625" style="1256" hidden="1" customWidth="1"/>
    <col min="37" max="37" width="10.3828125" style="1256" hidden="1" customWidth="1"/>
    <col min="38" max="38" width="11.32421875" style="1256" hidden="1" customWidth="1"/>
    <col min="39" max="39" width="30.74609375" style="1256" hidden="1" customWidth="1"/>
    <col min="40" max="40" width="30.74609375" style="1256" customWidth="1"/>
    <col min="41" max="41" width="7.68359375" style="1256" customWidth="1"/>
    <col min="42" max="42" width="17.6640625" style="1256" customWidth="1"/>
    <col min="43" max="43" width="10.3828125" style="1256" customWidth="1"/>
    <col min="44" max="44" width="5.52734375" style="1256" hidden="1" customWidth="1"/>
    <col min="45" max="45" width="11.32421875" style="1256" hidden="1" customWidth="1"/>
    <col min="46" max="46" width="32.09375" style="1256" hidden="1" customWidth="1"/>
    <col min="47" max="47" width="30.74609375" style="1256" hidden="1" customWidth="1"/>
    <col min="48" max="48" width="7.68359375" style="1256" hidden="1" customWidth="1"/>
    <col min="49" max="49" width="17.6640625" style="1256" hidden="1" customWidth="1"/>
    <col min="50" max="50" width="10.3828125" style="1256" hidden="1" customWidth="1"/>
    <col min="51" max="51" width="11.32421875" style="1256" hidden="1" customWidth="1"/>
    <col min="52" max="53" width="30.74609375" style="1256" hidden="1" customWidth="1"/>
    <col min="54" max="54" width="7.68359375" style="1256" customWidth="1"/>
    <col min="55" max="55" width="17.6640625" style="1256" customWidth="1"/>
    <col min="56" max="56" width="10.3828125" style="1256" customWidth="1"/>
    <col min="57" max="57" width="5.52734375" style="1256" hidden="1" customWidth="1"/>
    <col min="58" max="58" width="11.32421875" style="1256" hidden="1" customWidth="1"/>
    <col min="59" max="59" width="32.09375" style="1256" hidden="1" customWidth="1"/>
    <col min="60" max="60" width="30.74609375" style="1256" hidden="1" customWidth="1"/>
    <col min="61" max="61" width="7.68359375" style="1256" hidden="1" customWidth="1"/>
    <col min="62" max="62" width="17.6640625" style="1256" hidden="1" customWidth="1"/>
    <col min="63" max="63" width="10.3828125" style="1256" hidden="1" customWidth="1"/>
    <col min="64" max="64" width="11.32421875" style="1256" hidden="1" customWidth="1"/>
    <col min="65" max="65" width="30.74609375" style="1256" hidden="1" customWidth="1"/>
    <col min="66" max="66" width="30.74609375" style="1256" customWidth="1"/>
    <col min="67" max="67" width="7.68359375" style="1256" customWidth="1"/>
    <col min="68" max="68" width="17.6640625" style="1256" customWidth="1"/>
    <col min="69" max="69" width="10.3828125" style="1256" customWidth="1"/>
    <col min="70" max="70" width="5.52734375" style="1256" customWidth="1"/>
    <col min="71" max="206" width="9.16796875" style="1256"/>
    <col min="207" max="207" width="11.32421875" style="1256" customWidth="1"/>
    <col min="208" max="208" width="32.09375" style="1256" customWidth="1"/>
    <col min="209" max="209" width="17.39453125" style="1256" customWidth="1"/>
    <col min="210" max="210" width="10.24609375" style="1256" customWidth="1"/>
    <col min="211" max="211" width="19.8203125" style="1256" customWidth="1"/>
    <col min="212" max="212" width="10.3828125" style="1256" customWidth="1"/>
    <col min="213" max="213" width="19.41796875" style="1256" customWidth="1"/>
    <col min="214" max="214" width="10.3828125" style="1256" customWidth="1"/>
    <col min="215" max="215" width="9.16796875" style="1256" customWidth="1"/>
    <col min="216" max="216" width="11.0546875" style="1256" customWidth="1"/>
    <col min="217" max="462" width="9.16796875" style="1256"/>
    <col min="463" max="463" width="11.32421875" style="1256" customWidth="1"/>
    <col min="464" max="464" width="32.09375" style="1256" customWidth="1"/>
    <col min="465" max="465" width="17.39453125" style="1256" customWidth="1"/>
    <col min="466" max="466" width="10.24609375" style="1256" customWidth="1"/>
    <col min="467" max="467" width="19.8203125" style="1256" customWidth="1"/>
    <col min="468" max="468" width="10.3828125" style="1256" customWidth="1"/>
    <col min="469" max="469" width="19.41796875" style="1256" customWidth="1"/>
    <col min="470" max="470" width="10.3828125" style="1256" customWidth="1"/>
    <col min="471" max="471" width="9.16796875" style="1256" customWidth="1"/>
    <col min="472" max="472" width="11.0546875" style="1256" customWidth="1"/>
    <col min="473" max="718" width="9.16796875" style="1256"/>
    <col min="719" max="719" width="11.32421875" style="1256" customWidth="1"/>
    <col min="720" max="720" width="32.09375" style="1256" customWidth="1"/>
    <col min="721" max="721" width="17.39453125" style="1256" customWidth="1"/>
    <col min="722" max="722" width="10.24609375" style="1256" customWidth="1"/>
    <col min="723" max="723" width="19.8203125" style="1256" customWidth="1"/>
    <col min="724" max="724" width="10.3828125" style="1256" customWidth="1"/>
    <col min="725" max="725" width="19.41796875" style="1256" customWidth="1"/>
    <col min="726" max="726" width="10.3828125" style="1256" customWidth="1"/>
    <col min="727" max="727" width="9.16796875" style="1256" customWidth="1"/>
    <col min="728" max="728" width="11.0546875" style="1256" customWidth="1"/>
    <col min="729" max="974" width="9.16796875" style="1256"/>
    <col min="975" max="975" width="11.32421875" style="1256" customWidth="1"/>
    <col min="976" max="976" width="32.09375" style="1256" customWidth="1"/>
    <col min="977" max="977" width="17.39453125" style="1256" customWidth="1"/>
    <col min="978" max="978" width="10.24609375" style="1256" customWidth="1"/>
    <col min="979" max="979" width="19.8203125" style="1256" customWidth="1"/>
    <col min="980" max="980" width="10.3828125" style="1256" customWidth="1"/>
    <col min="981" max="981" width="19.41796875" style="1256" customWidth="1"/>
    <col min="982" max="982" width="10.3828125" style="1256" customWidth="1"/>
    <col min="983" max="983" width="9.16796875" style="1256" customWidth="1"/>
    <col min="984" max="984" width="11.0546875" style="1256" customWidth="1"/>
    <col min="985" max="1230" width="9.16796875" style="1256"/>
    <col min="1231" max="1231" width="11.32421875" style="1256" customWidth="1"/>
    <col min="1232" max="1232" width="32.09375" style="1256" customWidth="1"/>
    <col min="1233" max="1233" width="17.39453125" style="1256" customWidth="1"/>
    <col min="1234" max="1234" width="10.24609375" style="1256" customWidth="1"/>
    <col min="1235" max="1235" width="19.8203125" style="1256" customWidth="1"/>
    <col min="1236" max="1236" width="10.3828125" style="1256" customWidth="1"/>
    <col min="1237" max="1237" width="19.41796875" style="1256" customWidth="1"/>
    <col min="1238" max="1238" width="10.3828125" style="1256" customWidth="1"/>
    <col min="1239" max="1239" width="9.16796875" style="1256" customWidth="1"/>
    <col min="1240" max="1240" width="11.0546875" style="1256" customWidth="1"/>
    <col min="1241" max="1486" width="9.16796875" style="1256"/>
    <col min="1487" max="1487" width="11.32421875" style="1256" customWidth="1"/>
    <col min="1488" max="1488" width="32.09375" style="1256" customWidth="1"/>
    <col min="1489" max="1489" width="17.39453125" style="1256" customWidth="1"/>
    <col min="1490" max="1490" width="10.24609375" style="1256" customWidth="1"/>
    <col min="1491" max="1491" width="19.8203125" style="1256" customWidth="1"/>
    <col min="1492" max="1492" width="10.3828125" style="1256" customWidth="1"/>
    <col min="1493" max="1493" width="19.41796875" style="1256" customWidth="1"/>
    <col min="1494" max="1494" width="10.3828125" style="1256" customWidth="1"/>
    <col min="1495" max="1495" width="9.16796875" style="1256" customWidth="1"/>
    <col min="1496" max="1496" width="11.0546875" style="1256" customWidth="1"/>
    <col min="1497" max="1742" width="9.16796875" style="1256"/>
    <col min="1743" max="1743" width="11.32421875" style="1256" customWidth="1"/>
    <col min="1744" max="1744" width="32.09375" style="1256" customWidth="1"/>
    <col min="1745" max="1745" width="17.39453125" style="1256" customWidth="1"/>
    <col min="1746" max="1746" width="10.24609375" style="1256" customWidth="1"/>
    <col min="1747" max="1747" width="19.8203125" style="1256" customWidth="1"/>
    <col min="1748" max="1748" width="10.3828125" style="1256" customWidth="1"/>
    <col min="1749" max="1749" width="19.41796875" style="1256" customWidth="1"/>
    <col min="1750" max="1750" width="10.3828125" style="1256" customWidth="1"/>
    <col min="1751" max="1751" width="9.16796875" style="1256" customWidth="1"/>
    <col min="1752" max="1752" width="11.0546875" style="1256" customWidth="1"/>
    <col min="1753" max="1998" width="9.16796875" style="1256"/>
    <col min="1999" max="1999" width="11.32421875" style="1256" customWidth="1"/>
    <col min="2000" max="2000" width="32.09375" style="1256" customWidth="1"/>
    <col min="2001" max="2001" width="17.39453125" style="1256" customWidth="1"/>
    <col min="2002" max="2002" width="10.24609375" style="1256" customWidth="1"/>
    <col min="2003" max="2003" width="19.8203125" style="1256" customWidth="1"/>
    <col min="2004" max="2004" width="10.3828125" style="1256" customWidth="1"/>
    <col min="2005" max="2005" width="19.41796875" style="1256" customWidth="1"/>
    <col min="2006" max="2006" width="10.3828125" style="1256" customWidth="1"/>
    <col min="2007" max="2007" width="9.16796875" style="1256" customWidth="1"/>
    <col min="2008" max="2008" width="11.0546875" style="1256" customWidth="1"/>
    <col min="2009" max="2254" width="9.16796875" style="1256"/>
    <col min="2255" max="2255" width="11.32421875" style="1256" customWidth="1"/>
    <col min="2256" max="2256" width="32.09375" style="1256" customWidth="1"/>
    <col min="2257" max="2257" width="17.39453125" style="1256" customWidth="1"/>
    <col min="2258" max="2258" width="10.24609375" style="1256" customWidth="1"/>
    <col min="2259" max="2259" width="19.8203125" style="1256" customWidth="1"/>
    <col min="2260" max="2260" width="10.3828125" style="1256" customWidth="1"/>
    <col min="2261" max="2261" width="19.41796875" style="1256" customWidth="1"/>
    <col min="2262" max="2262" width="10.3828125" style="1256" customWidth="1"/>
    <col min="2263" max="2263" width="9.16796875" style="1256" customWidth="1"/>
    <col min="2264" max="2264" width="11.0546875" style="1256" customWidth="1"/>
    <col min="2265" max="2510" width="9.16796875" style="1256"/>
    <col min="2511" max="2511" width="11.32421875" style="1256" customWidth="1"/>
    <col min="2512" max="2512" width="32.09375" style="1256" customWidth="1"/>
    <col min="2513" max="2513" width="17.39453125" style="1256" customWidth="1"/>
    <col min="2514" max="2514" width="10.24609375" style="1256" customWidth="1"/>
    <col min="2515" max="2515" width="19.8203125" style="1256" customWidth="1"/>
    <col min="2516" max="2516" width="10.3828125" style="1256" customWidth="1"/>
    <col min="2517" max="2517" width="19.41796875" style="1256" customWidth="1"/>
    <col min="2518" max="2518" width="10.3828125" style="1256" customWidth="1"/>
    <col min="2519" max="2519" width="9.16796875" style="1256" customWidth="1"/>
    <col min="2520" max="2520" width="11.0546875" style="1256" customWidth="1"/>
    <col min="2521" max="2766" width="9.16796875" style="1256"/>
    <col min="2767" max="2767" width="11.32421875" style="1256" customWidth="1"/>
    <col min="2768" max="2768" width="32.09375" style="1256" customWidth="1"/>
    <col min="2769" max="2769" width="17.39453125" style="1256" customWidth="1"/>
    <col min="2770" max="2770" width="10.24609375" style="1256" customWidth="1"/>
    <col min="2771" max="2771" width="19.8203125" style="1256" customWidth="1"/>
    <col min="2772" max="2772" width="10.3828125" style="1256" customWidth="1"/>
    <col min="2773" max="2773" width="19.41796875" style="1256" customWidth="1"/>
    <col min="2774" max="2774" width="10.3828125" style="1256" customWidth="1"/>
    <col min="2775" max="2775" width="9.16796875" style="1256" customWidth="1"/>
    <col min="2776" max="2776" width="11.0546875" style="1256" customWidth="1"/>
    <col min="2777" max="3022" width="9.16796875" style="1256"/>
    <col min="3023" max="3023" width="11.32421875" style="1256" customWidth="1"/>
    <col min="3024" max="3024" width="32.09375" style="1256" customWidth="1"/>
    <col min="3025" max="3025" width="17.39453125" style="1256" customWidth="1"/>
    <col min="3026" max="3026" width="10.24609375" style="1256" customWidth="1"/>
    <col min="3027" max="3027" width="19.8203125" style="1256" customWidth="1"/>
    <col min="3028" max="3028" width="10.3828125" style="1256" customWidth="1"/>
    <col min="3029" max="3029" width="19.41796875" style="1256" customWidth="1"/>
    <col min="3030" max="3030" width="10.3828125" style="1256" customWidth="1"/>
    <col min="3031" max="3031" width="9.16796875" style="1256" customWidth="1"/>
    <col min="3032" max="3032" width="11.0546875" style="1256" customWidth="1"/>
    <col min="3033" max="3278" width="9.16796875" style="1256"/>
    <col min="3279" max="3279" width="11.32421875" style="1256" customWidth="1"/>
    <col min="3280" max="3280" width="32.09375" style="1256" customWidth="1"/>
    <col min="3281" max="3281" width="17.39453125" style="1256" customWidth="1"/>
    <col min="3282" max="3282" width="10.24609375" style="1256" customWidth="1"/>
    <col min="3283" max="3283" width="19.8203125" style="1256" customWidth="1"/>
    <col min="3284" max="3284" width="10.3828125" style="1256" customWidth="1"/>
    <col min="3285" max="3285" width="19.41796875" style="1256" customWidth="1"/>
    <col min="3286" max="3286" width="10.3828125" style="1256" customWidth="1"/>
    <col min="3287" max="3287" width="9.16796875" style="1256" customWidth="1"/>
    <col min="3288" max="3288" width="11.0546875" style="1256" customWidth="1"/>
    <col min="3289" max="3534" width="9.16796875" style="1256"/>
    <col min="3535" max="3535" width="11.32421875" style="1256" customWidth="1"/>
    <col min="3536" max="3536" width="32.09375" style="1256" customWidth="1"/>
    <col min="3537" max="3537" width="17.39453125" style="1256" customWidth="1"/>
    <col min="3538" max="3538" width="10.24609375" style="1256" customWidth="1"/>
    <col min="3539" max="3539" width="19.8203125" style="1256" customWidth="1"/>
    <col min="3540" max="3540" width="10.3828125" style="1256" customWidth="1"/>
    <col min="3541" max="3541" width="19.41796875" style="1256" customWidth="1"/>
    <col min="3542" max="3542" width="10.3828125" style="1256" customWidth="1"/>
    <col min="3543" max="3543" width="9.16796875" style="1256" customWidth="1"/>
    <col min="3544" max="3544" width="11.0546875" style="1256" customWidth="1"/>
    <col min="3545" max="3790" width="9.16796875" style="1256"/>
    <col min="3791" max="3791" width="11.32421875" style="1256" customWidth="1"/>
    <col min="3792" max="3792" width="32.09375" style="1256" customWidth="1"/>
    <col min="3793" max="3793" width="17.39453125" style="1256" customWidth="1"/>
    <col min="3794" max="3794" width="10.24609375" style="1256" customWidth="1"/>
    <col min="3795" max="3795" width="19.8203125" style="1256" customWidth="1"/>
    <col min="3796" max="3796" width="10.3828125" style="1256" customWidth="1"/>
    <col min="3797" max="3797" width="19.41796875" style="1256" customWidth="1"/>
    <col min="3798" max="3798" width="10.3828125" style="1256" customWidth="1"/>
    <col min="3799" max="3799" width="9.16796875" style="1256" customWidth="1"/>
    <col min="3800" max="3800" width="11.0546875" style="1256" customWidth="1"/>
    <col min="3801" max="4046" width="9.16796875" style="1256"/>
    <col min="4047" max="4047" width="11.32421875" style="1256" customWidth="1"/>
    <col min="4048" max="4048" width="32.09375" style="1256" customWidth="1"/>
    <col min="4049" max="4049" width="17.39453125" style="1256" customWidth="1"/>
    <col min="4050" max="4050" width="10.24609375" style="1256" customWidth="1"/>
    <col min="4051" max="4051" width="19.8203125" style="1256" customWidth="1"/>
    <col min="4052" max="4052" width="10.3828125" style="1256" customWidth="1"/>
    <col min="4053" max="4053" width="19.41796875" style="1256" customWidth="1"/>
    <col min="4054" max="4054" width="10.3828125" style="1256" customWidth="1"/>
    <col min="4055" max="4055" width="9.16796875" style="1256" customWidth="1"/>
    <col min="4056" max="4056" width="11.0546875" style="1256" customWidth="1"/>
    <col min="4057" max="4302" width="9.16796875" style="1256"/>
    <col min="4303" max="4303" width="11.32421875" style="1256" customWidth="1"/>
    <col min="4304" max="4304" width="32.09375" style="1256" customWidth="1"/>
    <col min="4305" max="4305" width="17.39453125" style="1256" customWidth="1"/>
    <col min="4306" max="4306" width="10.24609375" style="1256" customWidth="1"/>
    <col min="4307" max="4307" width="19.8203125" style="1256" customWidth="1"/>
    <col min="4308" max="4308" width="10.3828125" style="1256" customWidth="1"/>
    <col min="4309" max="4309" width="19.41796875" style="1256" customWidth="1"/>
    <col min="4310" max="4310" width="10.3828125" style="1256" customWidth="1"/>
    <col min="4311" max="4311" width="9.16796875" style="1256" customWidth="1"/>
    <col min="4312" max="4312" width="11.0546875" style="1256" customWidth="1"/>
    <col min="4313" max="4558" width="9.16796875" style="1256"/>
    <col min="4559" max="4559" width="11.32421875" style="1256" customWidth="1"/>
    <col min="4560" max="4560" width="32.09375" style="1256" customWidth="1"/>
    <col min="4561" max="4561" width="17.39453125" style="1256" customWidth="1"/>
    <col min="4562" max="4562" width="10.24609375" style="1256" customWidth="1"/>
    <col min="4563" max="4563" width="19.8203125" style="1256" customWidth="1"/>
    <col min="4564" max="4564" width="10.3828125" style="1256" customWidth="1"/>
    <col min="4565" max="4565" width="19.41796875" style="1256" customWidth="1"/>
    <col min="4566" max="4566" width="10.3828125" style="1256" customWidth="1"/>
    <col min="4567" max="4567" width="9.16796875" style="1256" customWidth="1"/>
    <col min="4568" max="4568" width="11.0546875" style="1256" customWidth="1"/>
    <col min="4569" max="4814" width="9.16796875" style="1256"/>
    <col min="4815" max="4815" width="11.32421875" style="1256" customWidth="1"/>
    <col min="4816" max="4816" width="32.09375" style="1256" customWidth="1"/>
    <col min="4817" max="4817" width="17.39453125" style="1256" customWidth="1"/>
    <col min="4818" max="4818" width="10.24609375" style="1256" customWidth="1"/>
    <col min="4819" max="4819" width="19.8203125" style="1256" customWidth="1"/>
    <col min="4820" max="4820" width="10.3828125" style="1256" customWidth="1"/>
    <col min="4821" max="4821" width="19.41796875" style="1256" customWidth="1"/>
    <col min="4822" max="4822" width="10.3828125" style="1256" customWidth="1"/>
    <col min="4823" max="4823" width="9.16796875" style="1256" customWidth="1"/>
    <col min="4824" max="4824" width="11.0546875" style="1256" customWidth="1"/>
    <col min="4825" max="5070" width="9.16796875" style="1256"/>
    <col min="5071" max="5071" width="11.32421875" style="1256" customWidth="1"/>
    <col min="5072" max="5072" width="32.09375" style="1256" customWidth="1"/>
    <col min="5073" max="5073" width="17.39453125" style="1256" customWidth="1"/>
    <col min="5074" max="5074" width="10.24609375" style="1256" customWidth="1"/>
    <col min="5075" max="5075" width="19.8203125" style="1256" customWidth="1"/>
    <col min="5076" max="5076" width="10.3828125" style="1256" customWidth="1"/>
    <col min="5077" max="5077" width="19.41796875" style="1256" customWidth="1"/>
    <col min="5078" max="5078" width="10.3828125" style="1256" customWidth="1"/>
    <col min="5079" max="5079" width="9.16796875" style="1256" customWidth="1"/>
    <col min="5080" max="5080" width="11.0546875" style="1256" customWidth="1"/>
    <col min="5081" max="5326" width="9.16796875" style="1256"/>
    <col min="5327" max="5327" width="11.32421875" style="1256" customWidth="1"/>
    <col min="5328" max="5328" width="32.09375" style="1256" customWidth="1"/>
    <col min="5329" max="5329" width="17.39453125" style="1256" customWidth="1"/>
    <col min="5330" max="5330" width="10.24609375" style="1256" customWidth="1"/>
    <col min="5331" max="5331" width="19.8203125" style="1256" customWidth="1"/>
    <col min="5332" max="5332" width="10.3828125" style="1256" customWidth="1"/>
    <col min="5333" max="5333" width="19.41796875" style="1256" customWidth="1"/>
    <col min="5334" max="5334" width="10.3828125" style="1256" customWidth="1"/>
    <col min="5335" max="5335" width="9.16796875" style="1256" customWidth="1"/>
    <col min="5336" max="5336" width="11.0546875" style="1256" customWidth="1"/>
    <col min="5337" max="5582" width="9.16796875" style="1256"/>
    <col min="5583" max="5583" width="11.32421875" style="1256" customWidth="1"/>
    <col min="5584" max="5584" width="32.09375" style="1256" customWidth="1"/>
    <col min="5585" max="5585" width="17.39453125" style="1256" customWidth="1"/>
    <col min="5586" max="5586" width="10.24609375" style="1256" customWidth="1"/>
    <col min="5587" max="5587" width="19.8203125" style="1256" customWidth="1"/>
    <col min="5588" max="5588" width="10.3828125" style="1256" customWidth="1"/>
    <col min="5589" max="5589" width="19.41796875" style="1256" customWidth="1"/>
    <col min="5590" max="5590" width="10.3828125" style="1256" customWidth="1"/>
    <col min="5591" max="5591" width="9.16796875" style="1256" customWidth="1"/>
    <col min="5592" max="5592" width="11.0546875" style="1256" customWidth="1"/>
    <col min="5593" max="5838" width="9.16796875" style="1256"/>
    <col min="5839" max="5839" width="11.32421875" style="1256" customWidth="1"/>
    <col min="5840" max="5840" width="32.09375" style="1256" customWidth="1"/>
    <col min="5841" max="5841" width="17.39453125" style="1256" customWidth="1"/>
    <col min="5842" max="5842" width="10.24609375" style="1256" customWidth="1"/>
    <col min="5843" max="5843" width="19.8203125" style="1256" customWidth="1"/>
    <col min="5844" max="5844" width="10.3828125" style="1256" customWidth="1"/>
    <col min="5845" max="5845" width="19.41796875" style="1256" customWidth="1"/>
    <col min="5846" max="5846" width="10.3828125" style="1256" customWidth="1"/>
    <col min="5847" max="5847" width="9.16796875" style="1256" customWidth="1"/>
    <col min="5848" max="5848" width="11.0546875" style="1256" customWidth="1"/>
    <col min="5849" max="6094" width="9.16796875" style="1256"/>
    <col min="6095" max="6095" width="11.32421875" style="1256" customWidth="1"/>
    <col min="6096" max="6096" width="32.09375" style="1256" customWidth="1"/>
    <col min="6097" max="6097" width="17.39453125" style="1256" customWidth="1"/>
    <col min="6098" max="6098" width="10.24609375" style="1256" customWidth="1"/>
    <col min="6099" max="6099" width="19.8203125" style="1256" customWidth="1"/>
    <col min="6100" max="6100" width="10.3828125" style="1256" customWidth="1"/>
    <col min="6101" max="6101" width="19.41796875" style="1256" customWidth="1"/>
    <col min="6102" max="6102" width="10.3828125" style="1256" customWidth="1"/>
    <col min="6103" max="6103" width="9.16796875" style="1256" customWidth="1"/>
    <col min="6104" max="6104" width="11.0546875" style="1256" customWidth="1"/>
    <col min="6105" max="6350" width="9.16796875" style="1256"/>
    <col min="6351" max="6351" width="11.32421875" style="1256" customWidth="1"/>
    <col min="6352" max="6352" width="32.09375" style="1256" customWidth="1"/>
    <col min="6353" max="6353" width="17.39453125" style="1256" customWidth="1"/>
    <col min="6354" max="6354" width="10.24609375" style="1256" customWidth="1"/>
    <col min="6355" max="6355" width="19.8203125" style="1256" customWidth="1"/>
    <col min="6356" max="6356" width="10.3828125" style="1256" customWidth="1"/>
    <col min="6357" max="6357" width="19.41796875" style="1256" customWidth="1"/>
    <col min="6358" max="6358" width="10.3828125" style="1256" customWidth="1"/>
    <col min="6359" max="6359" width="9.16796875" style="1256" customWidth="1"/>
    <col min="6360" max="6360" width="11.0546875" style="1256" customWidth="1"/>
    <col min="6361" max="6606" width="9.16796875" style="1256"/>
    <col min="6607" max="6607" width="11.32421875" style="1256" customWidth="1"/>
    <col min="6608" max="6608" width="32.09375" style="1256" customWidth="1"/>
    <col min="6609" max="6609" width="17.39453125" style="1256" customWidth="1"/>
    <col min="6610" max="6610" width="10.24609375" style="1256" customWidth="1"/>
    <col min="6611" max="6611" width="19.8203125" style="1256" customWidth="1"/>
    <col min="6612" max="6612" width="10.3828125" style="1256" customWidth="1"/>
    <col min="6613" max="6613" width="19.41796875" style="1256" customWidth="1"/>
    <col min="6614" max="6614" width="10.3828125" style="1256" customWidth="1"/>
    <col min="6615" max="6615" width="9.16796875" style="1256" customWidth="1"/>
    <col min="6616" max="6616" width="11.0546875" style="1256" customWidth="1"/>
    <col min="6617" max="6862" width="9.16796875" style="1256"/>
    <col min="6863" max="6863" width="11.32421875" style="1256" customWidth="1"/>
    <col min="6864" max="6864" width="32.09375" style="1256" customWidth="1"/>
    <col min="6865" max="6865" width="17.39453125" style="1256" customWidth="1"/>
    <col min="6866" max="6866" width="10.24609375" style="1256" customWidth="1"/>
    <col min="6867" max="6867" width="19.8203125" style="1256" customWidth="1"/>
    <col min="6868" max="6868" width="10.3828125" style="1256" customWidth="1"/>
    <col min="6869" max="6869" width="19.41796875" style="1256" customWidth="1"/>
    <col min="6870" max="6870" width="10.3828125" style="1256" customWidth="1"/>
    <col min="6871" max="6871" width="9.16796875" style="1256" customWidth="1"/>
    <col min="6872" max="6872" width="11.0546875" style="1256" customWidth="1"/>
    <col min="6873" max="7118" width="9.16796875" style="1256"/>
    <col min="7119" max="7119" width="11.32421875" style="1256" customWidth="1"/>
    <col min="7120" max="7120" width="32.09375" style="1256" customWidth="1"/>
    <col min="7121" max="7121" width="17.39453125" style="1256" customWidth="1"/>
    <col min="7122" max="7122" width="10.24609375" style="1256" customWidth="1"/>
    <col min="7123" max="7123" width="19.8203125" style="1256" customWidth="1"/>
    <col min="7124" max="7124" width="10.3828125" style="1256" customWidth="1"/>
    <col min="7125" max="7125" width="19.41796875" style="1256" customWidth="1"/>
    <col min="7126" max="7126" width="10.3828125" style="1256" customWidth="1"/>
    <col min="7127" max="7127" width="9.16796875" style="1256" customWidth="1"/>
    <col min="7128" max="7128" width="11.0546875" style="1256" customWidth="1"/>
    <col min="7129" max="7374" width="9.16796875" style="1256"/>
    <col min="7375" max="7375" width="11.32421875" style="1256" customWidth="1"/>
    <col min="7376" max="7376" width="32.09375" style="1256" customWidth="1"/>
    <col min="7377" max="7377" width="17.39453125" style="1256" customWidth="1"/>
    <col min="7378" max="7378" width="10.24609375" style="1256" customWidth="1"/>
    <col min="7379" max="7379" width="19.8203125" style="1256" customWidth="1"/>
    <col min="7380" max="7380" width="10.3828125" style="1256" customWidth="1"/>
    <col min="7381" max="7381" width="19.41796875" style="1256" customWidth="1"/>
    <col min="7382" max="7382" width="10.3828125" style="1256" customWidth="1"/>
    <col min="7383" max="7383" width="9.16796875" style="1256" customWidth="1"/>
    <col min="7384" max="7384" width="11.0546875" style="1256" customWidth="1"/>
    <col min="7385" max="7630" width="9.16796875" style="1256"/>
    <col min="7631" max="7631" width="11.32421875" style="1256" customWidth="1"/>
    <col min="7632" max="7632" width="32.09375" style="1256" customWidth="1"/>
    <col min="7633" max="7633" width="17.39453125" style="1256" customWidth="1"/>
    <col min="7634" max="7634" width="10.24609375" style="1256" customWidth="1"/>
    <col min="7635" max="7635" width="19.8203125" style="1256" customWidth="1"/>
    <col min="7636" max="7636" width="10.3828125" style="1256" customWidth="1"/>
    <col min="7637" max="7637" width="19.41796875" style="1256" customWidth="1"/>
    <col min="7638" max="7638" width="10.3828125" style="1256" customWidth="1"/>
    <col min="7639" max="7639" width="9.16796875" style="1256" customWidth="1"/>
    <col min="7640" max="7640" width="11.0546875" style="1256" customWidth="1"/>
    <col min="7641" max="7886" width="9.16796875" style="1256"/>
    <col min="7887" max="7887" width="11.32421875" style="1256" customWidth="1"/>
    <col min="7888" max="7888" width="32.09375" style="1256" customWidth="1"/>
    <col min="7889" max="7889" width="17.39453125" style="1256" customWidth="1"/>
    <col min="7890" max="7890" width="10.24609375" style="1256" customWidth="1"/>
    <col min="7891" max="7891" width="19.8203125" style="1256" customWidth="1"/>
    <col min="7892" max="7892" width="10.3828125" style="1256" customWidth="1"/>
    <col min="7893" max="7893" width="19.41796875" style="1256" customWidth="1"/>
    <col min="7894" max="7894" width="10.3828125" style="1256" customWidth="1"/>
    <col min="7895" max="7895" width="9.16796875" style="1256" customWidth="1"/>
    <col min="7896" max="7896" width="11.0546875" style="1256" customWidth="1"/>
    <col min="7897" max="8142" width="9.16796875" style="1256"/>
    <col min="8143" max="8143" width="11.32421875" style="1256" customWidth="1"/>
    <col min="8144" max="8144" width="32.09375" style="1256" customWidth="1"/>
    <col min="8145" max="8145" width="17.39453125" style="1256" customWidth="1"/>
    <col min="8146" max="8146" width="10.24609375" style="1256" customWidth="1"/>
    <col min="8147" max="8147" width="19.8203125" style="1256" customWidth="1"/>
    <col min="8148" max="8148" width="10.3828125" style="1256" customWidth="1"/>
    <col min="8149" max="8149" width="19.41796875" style="1256" customWidth="1"/>
    <col min="8150" max="8150" width="10.3828125" style="1256" customWidth="1"/>
    <col min="8151" max="8151" width="9.16796875" style="1256" customWidth="1"/>
    <col min="8152" max="8152" width="11.0546875" style="1256" customWidth="1"/>
    <col min="8153" max="8398" width="9.16796875" style="1256"/>
    <col min="8399" max="8399" width="11.32421875" style="1256" customWidth="1"/>
    <col min="8400" max="8400" width="32.09375" style="1256" customWidth="1"/>
    <col min="8401" max="8401" width="17.39453125" style="1256" customWidth="1"/>
    <col min="8402" max="8402" width="10.24609375" style="1256" customWidth="1"/>
    <col min="8403" max="8403" width="19.8203125" style="1256" customWidth="1"/>
    <col min="8404" max="8404" width="10.3828125" style="1256" customWidth="1"/>
    <col min="8405" max="8405" width="19.41796875" style="1256" customWidth="1"/>
    <col min="8406" max="8406" width="10.3828125" style="1256" customWidth="1"/>
    <col min="8407" max="8407" width="9.16796875" style="1256" customWidth="1"/>
    <col min="8408" max="8408" width="11.0546875" style="1256" customWidth="1"/>
    <col min="8409" max="8654" width="9.16796875" style="1256"/>
    <col min="8655" max="8655" width="11.32421875" style="1256" customWidth="1"/>
    <col min="8656" max="8656" width="32.09375" style="1256" customWidth="1"/>
    <col min="8657" max="8657" width="17.39453125" style="1256" customWidth="1"/>
    <col min="8658" max="8658" width="10.24609375" style="1256" customWidth="1"/>
    <col min="8659" max="8659" width="19.8203125" style="1256" customWidth="1"/>
    <col min="8660" max="8660" width="10.3828125" style="1256" customWidth="1"/>
    <col min="8661" max="8661" width="19.41796875" style="1256" customWidth="1"/>
    <col min="8662" max="8662" width="10.3828125" style="1256" customWidth="1"/>
    <col min="8663" max="8663" width="9.16796875" style="1256" customWidth="1"/>
    <col min="8664" max="8664" width="11.0546875" style="1256" customWidth="1"/>
    <col min="8665" max="8910" width="9.16796875" style="1256"/>
    <col min="8911" max="8911" width="11.32421875" style="1256" customWidth="1"/>
    <col min="8912" max="8912" width="32.09375" style="1256" customWidth="1"/>
    <col min="8913" max="8913" width="17.39453125" style="1256" customWidth="1"/>
    <col min="8914" max="8914" width="10.24609375" style="1256" customWidth="1"/>
    <col min="8915" max="8915" width="19.8203125" style="1256" customWidth="1"/>
    <col min="8916" max="8916" width="10.3828125" style="1256" customWidth="1"/>
    <col min="8917" max="8917" width="19.41796875" style="1256" customWidth="1"/>
    <col min="8918" max="8918" width="10.3828125" style="1256" customWidth="1"/>
    <col min="8919" max="8919" width="9.16796875" style="1256" customWidth="1"/>
    <col min="8920" max="8920" width="11.0546875" style="1256" customWidth="1"/>
    <col min="8921" max="9166" width="9.16796875" style="1256"/>
    <col min="9167" max="9167" width="11.32421875" style="1256" customWidth="1"/>
    <col min="9168" max="9168" width="32.09375" style="1256" customWidth="1"/>
    <col min="9169" max="9169" width="17.39453125" style="1256" customWidth="1"/>
    <col min="9170" max="9170" width="10.24609375" style="1256" customWidth="1"/>
    <col min="9171" max="9171" width="19.8203125" style="1256" customWidth="1"/>
    <col min="9172" max="9172" width="10.3828125" style="1256" customWidth="1"/>
    <col min="9173" max="9173" width="19.41796875" style="1256" customWidth="1"/>
    <col min="9174" max="9174" width="10.3828125" style="1256" customWidth="1"/>
    <col min="9175" max="9175" width="9.16796875" style="1256" customWidth="1"/>
    <col min="9176" max="9176" width="11.0546875" style="1256" customWidth="1"/>
    <col min="9177" max="9422" width="9.16796875" style="1256"/>
    <col min="9423" max="9423" width="11.32421875" style="1256" customWidth="1"/>
    <col min="9424" max="9424" width="32.09375" style="1256" customWidth="1"/>
    <col min="9425" max="9425" width="17.39453125" style="1256" customWidth="1"/>
    <col min="9426" max="9426" width="10.24609375" style="1256" customWidth="1"/>
    <col min="9427" max="9427" width="19.8203125" style="1256" customWidth="1"/>
    <col min="9428" max="9428" width="10.3828125" style="1256" customWidth="1"/>
    <col min="9429" max="9429" width="19.41796875" style="1256" customWidth="1"/>
    <col min="9430" max="9430" width="10.3828125" style="1256" customWidth="1"/>
    <col min="9431" max="9431" width="9.16796875" style="1256" customWidth="1"/>
    <col min="9432" max="9432" width="11.0546875" style="1256" customWidth="1"/>
    <col min="9433" max="9678" width="9.16796875" style="1256"/>
    <col min="9679" max="9679" width="11.32421875" style="1256" customWidth="1"/>
    <col min="9680" max="9680" width="32.09375" style="1256" customWidth="1"/>
    <col min="9681" max="9681" width="17.39453125" style="1256" customWidth="1"/>
    <col min="9682" max="9682" width="10.24609375" style="1256" customWidth="1"/>
    <col min="9683" max="9683" width="19.8203125" style="1256" customWidth="1"/>
    <col min="9684" max="9684" width="10.3828125" style="1256" customWidth="1"/>
    <col min="9685" max="9685" width="19.41796875" style="1256" customWidth="1"/>
    <col min="9686" max="9686" width="10.3828125" style="1256" customWidth="1"/>
    <col min="9687" max="9687" width="9.16796875" style="1256" customWidth="1"/>
    <col min="9688" max="9688" width="11.0546875" style="1256" customWidth="1"/>
    <col min="9689" max="9934" width="9.16796875" style="1256"/>
    <col min="9935" max="9935" width="11.32421875" style="1256" customWidth="1"/>
    <col min="9936" max="9936" width="32.09375" style="1256" customWidth="1"/>
    <col min="9937" max="9937" width="17.39453125" style="1256" customWidth="1"/>
    <col min="9938" max="9938" width="10.24609375" style="1256" customWidth="1"/>
    <col min="9939" max="9939" width="19.8203125" style="1256" customWidth="1"/>
    <col min="9940" max="9940" width="10.3828125" style="1256" customWidth="1"/>
    <col min="9941" max="9941" width="19.41796875" style="1256" customWidth="1"/>
    <col min="9942" max="9942" width="10.3828125" style="1256" customWidth="1"/>
    <col min="9943" max="9943" width="9.16796875" style="1256" customWidth="1"/>
    <col min="9944" max="9944" width="11.0546875" style="1256" customWidth="1"/>
    <col min="9945" max="10190" width="9.16796875" style="1256"/>
    <col min="10191" max="10191" width="11.32421875" style="1256" customWidth="1"/>
    <col min="10192" max="10192" width="32.09375" style="1256" customWidth="1"/>
    <col min="10193" max="10193" width="17.39453125" style="1256" customWidth="1"/>
    <col min="10194" max="10194" width="10.24609375" style="1256" customWidth="1"/>
    <col min="10195" max="10195" width="19.8203125" style="1256" customWidth="1"/>
    <col min="10196" max="10196" width="10.3828125" style="1256" customWidth="1"/>
    <col min="10197" max="10197" width="19.41796875" style="1256" customWidth="1"/>
    <col min="10198" max="10198" width="10.3828125" style="1256" customWidth="1"/>
    <col min="10199" max="10199" width="9.16796875" style="1256" customWidth="1"/>
    <col min="10200" max="10200" width="11.0546875" style="1256" customWidth="1"/>
    <col min="10201" max="10446" width="9.16796875" style="1256"/>
    <col min="10447" max="10447" width="11.32421875" style="1256" customWidth="1"/>
    <col min="10448" max="10448" width="32.09375" style="1256" customWidth="1"/>
    <col min="10449" max="10449" width="17.39453125" style="1256" customWidth="1"/>
    <col min="10450" max="10450" width="10.24609375" style="1256" customWidth="1"/>
    <col min="10451" max="10451" width="19.8203125" style="1256" customWidth="1"/>
    <col min="10452" max="10452" width="10.3828125" style="1256" customWidth="1"/>
    <col min="10453" max="10453" width="19.41796875" style="1256" customWidth="1"/>
    <col min="10454" max="10454" width="10.3828125" style="1256" customWidth="1"/>
    <col min="10455" max="10455" width="9.16796875" style="1256" customWidth="1"/>
    <col min="10456" max="10456" width="11.0546875" style="1256" customWidth="1"/>
    <col min="10457" max="10702" width="9.16796875" style="1256"/>
    <col min="10703" max="10703" width="11.32421875" style="1256" customWidth="1"/>
    <col min="10704" max="10704" width="32.09375" style="1256" customWidth="1"/>
    <col min="10705" max="10705" width="17.39453125" style="1256" customWidth="1"/>
    <col min="10706" max="10706" width="10.24609375" style="1256" customWidth="1"/>
    <col min="10707" max="10707" width="19.8203125" style="1256" customWidth="1"/>
    <col min="10708" max="10708" width="10.3828125" style="1256" customWidth="1"/>
    <col min="10709" max="10709" width="19.41796875" style="1256" customWidth="1"/>
    <col min="10710" max="10710" width="10.3828125" style="1256" customWidth="1"/>
    <col min="10711" max="10711" width="9.16796875" style="1256" customWidth="1"/>
    <col min="10712" max="10712" width="11.0546875" style="1256" customWidth="1"/>
    <col min="10713" max="10958" width="9.16796875" style="1256"/>
    <col min="10959" max="10959" width="11.32421875" style="1256" customWidth="1"/>
    <col min="10960" max="10960" width="32.09375" style="1256" customWidth="1"/>
    <col min="10961" max="10961" width="17.39453125" style="1256" customWidth="1"/>
    <col min="10962" max="10962" width="10.24609375" style="1256" customWidth="1"/>
    <col min="10963" max="10963" width="19.8203125" style="1256" customWidth="1"/>
    <col min="10964" max="10964" width="10.3828125" style="1256" customWidth="1"/>
    <col min="10965" max="10965" width="19.41796875" style="1256" customWidth="1"/>
    <col min="10966" max="10966" width="10.3828125" style="1256" customWidth="1"/>
    <col min="10967" max="10967" width="9.16796875" style="1256" customWidth="1"/>
    <col min="10968" max="10968" width="11.0546875" style="1256" customWidth="1"/>
    <col min="10969" max="11214" width="9.16796875" style="1256"/>
    <col min="11215" max="11215" width="11.32421875" style="1256" customWidth="1"/>
    <col min="11216" max="11216" width="32.09375" style="1256" customWidth="1"/>
    <col min="11217" max="11217" width="17.39453125" style="1256" customWidth="1"/>
    <col min="11218" max="11218" width="10.24609375" style="1256" customWidth="1"/>
    <col min="11219" max="11219" width="19.8203125" style="1256" customWidth="1"/>
    <col min="11220" max="11220" width="10.3828125" style="1256" customWidth="1"/>
    <col min="11221" max="11221" width="19.41796875" style="1256" customWidth="1"/>
    <col min="11222" max="11222" width="10.3828125" style="1256" customWidth="1"/>
    <col min="11223" max="11223" width="9.16796875" style="1256" customWidth="1"/>
    <col min="11224" max="11224" width="11.0546875" style="1256" customWidth="1"/>
    <col min="11225" max="11470" width="9.16796875" style="1256"/>
    <col min="11471" max="11471" width="11.32421875" style="1256" customWidth="1"/>
    <col min="11472" max="11472" width="32.09375" style="1256" customWidth="1"/>
    <col min="11473" max="11473" width="17.39453125" style="1256" customWidth="1"/>
    <col min="11474" max="11474" width="10.24609375" style="1256" customWidth="1"/>
    <col min="11475" max="11475" width="19.8203125" style="1256" customWidth="1"/>
    <col min="11476" max="11476" width="10.3828125" style="1256" customWidth="1"/>
    <col min="11477" max="11477" width="19.41796875" style="1256" customWidth="1"/>
    <col min="11478" max="11478" width="10.3828125" style="1256" customWidth="1"/>
    <col min="11479" max="11479" width="9.16796875" style="1256" customWidth="1"/>
    <col min="11480" max="11480" width="11.0546875" style="1256" customWidth="1"/>
    <col min="11481" max="11726" width="9.16796875" style="1256"/>
    <col min="11727" max="11727" width="11.32421875" style="1256" customWidth="1"/>
    <col min="11728" max="11728" width="32.09375" style="1256" customWidth="1"/>
    <col min="11729" max="11729" width="17.39453125" style="1256" customWidth="1"/>
    <col min="11730" max="11730" width="10.24609375" style="1256" customWidth="1"/>
    <col min="11731" max="11731" width="19.8203125" style="1256" customWidth="1"/>
    <col min="11732" max="11732" width="10.3828125" style="1256" customWidth="1"/>
    <col min="11733" max="11733" width="19.41796875" style="1256" customWidth="1"/>
    <col min="11734" max="11734" width="10.3828125" style="1256" customWidth="1"/>
    <col min="11735" max="11735" width="9.16796875" style="1256" customWidth="1"/>
    <col min="11736" max="11736" width="11.0546875" style="1256" customWidth="1"/>
    <col min="11737" max="11982" width="9.16796875" style="1256"/>
    <col min="11983" max="11983" width="11.32421875" style="1256" customWidth="1"/>
    <col min="11984" max="11984" width="32.09375" style="1256" customWidth="1"/>
    <col min="11985" max="11985" width="17.39453125" style="1256" customWidth="1"/>
    <col min="11986" max="11986" width="10.24609375" style="1256" customWidth="1"/>
    <col min="11987" max="11987" width="19.8203125" style="1256" customWidth="1"/>
    <col min="11988" max="11988" width="10.3828125" style="1256" customWidth="1"/>
    <col min="11989" max="11989" width="19.41796875" style="1256" customWidth="1"/>
    <col min="11990" max="11990" width="10.3828125" style="1256" customWidth="1"/>
    <col min="11991" max="11991" width="9.16796875" style="1256" customWidth="1"/>
    <col min="11992" max="11992" width="11.0546875" style="1256" customWidth="1"/>
    <col min="11993" max="12238" width="9.16796875" style="1256"/>
    <col min="12239" max="12239" width="11.32421875" style="1256" customWidth="1"/>
    <col min="12240" max="12240" width="32.09375" style="1256" customWidth="1"/>
    <col min="12241" max="12241" width="17.39453125" style="1256" customWidth="1"/>
    <col min="12242" max="12242" width="10.24609375" style="1256" customWidth="1"/>
    <col min="12243" max="12243" width="19.8203125" style="1256" customWidth="1"/>
    <col min="12244" max="12244" width="10.3828125" style="1256" customWidth="1"/>
    <col min="12245" max="12245" width="19.41796875" style="1256" customWidth="1"/>
    <col min="12246" max="12246" width="10.3828125" style="1256" customWidth="1"/>
    <col min="12247" max="12247" width="9.16796875" style="1256" customWidth="1"/>
    <col min="12248" max="12248" width="11.0546875" style="1256" customWidth="1"/>
    <col min="12249" max="12494" width="9.16796875" style="1256"/>
    <col min="12495" max="12495" width="11.32421875" style="1256" customWidth="1"/>
    <col min="12496" max="12496" width="32.09375" style="1256" customWidth="1"/>
    <col min="12497" max="12497" width="17.39453125" style="1256" customWidth="1"/>
    <col min="12498" max="12498" width="10.24609375" style="1256" customWidth="1"/>
    <col min="12499" max="12499" width="19.8203125" style="1256" customWidth="1"/>
    <col min="12500" max="12500" width="10.3828125" style="1256" customWidth="1"/>
    <col min="12501" max="12501" width="19.41796875" style="1256" customWidth="1"/>
    <col min="12502" max="12502" width="10.3828125" style="1256" customWidth="1"/>
    <col min="12503" max="12503" width="9.16796875" style="1256" customWidth="1"/>
    <col min="12504" max="12504" width="11.0546875" style="1256" customWidth="1"/>
    <col min="12505" max="12750" width="9.16796875" style="1256"/>
    <col min="12751" max="12751" width="11.32421875" style="1256" customWidth="1"/>
    <col min="12752" max="12752" width="32.09375" style="1256" customWidth="1"/>
    <col min="12753" max="12753" width="17.39453125" style="1256" customWidth="1"/>
    <col min="12754" max="12754" width="10.24609375" style="1256" customWidth="1"/>
    <col min="12755" max="12755" width="19.8203125" style="1256" customWidth="1"/>
    <col min="12756" max="12756" width="10.3828125" style="1256" customWidth="1"/>
    <col min="12757" max="12757" width="19.41796875" style="1256" customWidth="1"/>
    <col min="12758" max="12758" width="10.3828125" style="1256" customWidth="1"/>
    <col min="12759" max="12759" width="9.16796875" style="1256" customWidth="1"/>
    <col min="12760" max="12760" width="11.0546875" style="1256" customWidth="1"/>
    <col min="12761" max="13006" width="9.16796875" style="1256"/>
    <col min="13007" max="13007" width="11.32421875" style="1256" customWidth="1"/>
    <col min="13008" max="13008" width="32.09375" style="1256" customWidth="1"/>
    <col min="13009" max="13009" width="17.39453125" style="1256" customWidth="1"/>
    <col min="13010" max="13010" width="10.24609375" style="1256" customWidth="1"/>
    <col min="13011" max="13011" width="19.8203125" style="1256" customWidth="1"/>
    <col min="13012" max="13012" width="10.3828125" style="1256" customWidth="1"/>
    <col min="13013" max="13013" width="19.41796875" style="1256" customWidth="1"/>
    <col min="13014" max="13014" width="10.3828125" style="1256" customWidth="1"/>
    <col min="13015" max="13015" width="9.16796875" style="1256" customWidth="1"/>
    <col min="13016" max="13016" width="11.0546875" style="1256" customWidth="1"/>
    <col min="13017" max="13262" width="9.16796875" style="1256"/>
    <col min="13263" max="13263" width="11.32421875" style="1256" customWidth="1"/>
    <col min="13264" max="13264" width="32.09375" style="1256" customWidth="1"/>
    <col min="13265" max="13265" width="17.39453125" style="1256" customWidth="1"/>
    <col min="13266" max="13266" width="10.24609375" style="1256" customWidth="1"/>
    <col min="13267" max="13267" width="19.8203125" style="1256" customWidth="1"/>
    <col min="13268" max="13268" width="10.3828125" style="1256" customWidth="1"/>
    <col min="13269" max="13269" width="19.41796875" style="1256" customWidth="1"/>
    <col min="13270" max="13270" width="10.3828125" style="1256" customWidth="1"/>
    <col min="13271" max="13271" width="9.16796875" style="1256" customWidth="1"/>
    <col min="13272" max="13272" width="11.0546875" style="1256" customWidth="1"/>
    <col min="13273" max="13518" width="9.16796875" style="1256"/>
    <col min="13519" max="13519" width="11.32421875" style="1256" customWidth="1"/>
    <col min="13520" max="13520" width="32.09375" style="1256" customWidth="1"/>
    <col min="13521" max="13521" width="17.39453125" style="1256" customWidth="1"/>
    <col min="13522" max="13522" width="10.24609375" style="1256" customWidth="1"/>
    <col min="13523" max="13523" width="19.8203125" style="1256" customWidth="1"/>
    <col min="13524" max="13524" width="10.3828125" style="1256" customWidth="1"/>
    <col min="13525" max="13525" width="19.41796875" style="1256" customWidth="1"/>
    <col min="13526" max="13526" width="10.3828125" style="1256" customWidth="1"/>
    <col min="13527" max="13527" width="9.16796875" style="1256" customWidth="1"/>
    <col min="13528" max="13528" width="11.0546875" style="1256" customWidth="1"/>
    <col min="13529" max="13774" width="9.16796875" style="1256"/>
    <col min="13775" max="13775" width="11.32421875" style="1256" customWidth="1"/>
    <col min="13776" max="13776" width="32.09375" style="1256" customWidth="1"/>
    <col min="13777" max="13777" width="17.39453125" style="1256" customWidth="1"/>
    <col min="13778" max="13778" width="10.24609375" style="1256" customWidth="1"/>
    <col min="13779" max="13779" width="19.8203125" style="1256" customWidth="1"/>
    <col min="13780" max="13780" width="10.3828125" style="1256" customWidth="1"/>
    <col min="13781" max="13781" width="19.41796875" style="1256" customWidth="1"/>
    <col min="13782" max="13782" width="10.3828125" style="1256" customWidth="1"/>
    <col min="13783" max="13783" width="9.16796875" style="1256" customWidth="1"/>
    <col min="13784" max="13784" width="11.0546875" style="1256" customWidth="1"/>
    <col min="13785" max="14030" width="9.16796875" style="1256"/>
    <col min="14031" max="14031" width="11.32421875" style="1256" customWidth="1"/>
    <col min="14032" max="14032" width="32.09375" style="1256" customWidth="1"/>
    <col min="14033" max="14033" width="17.39453125" style="1256" customWidth="1"/>
    <col min="14034" max="14034" width="10.24609375" style="1256" customWidth="1"/>
    <col min="14035" max="14035" width="19.8203125" style="1256" customWidth="1"/>
    <col min="14036" max="14036" width="10.3828125" style="1256" customWidth="1"/>
    <col min="14037" max="14037" width="19.41796875" style="1256" customWidth="1"/>
    <col min="14038" max="14038" width="10.3828125" style="1256" customWidth="1"/>
    <col min="14039" max="14039" width="9.16796875" style="1256" customWidth="1"/>
    <col min="14040" max="14040" width="11.0546875" style="1256" customWidth="1"/>
    <col min="14041" max="14286" width="9.16796875" style="1256"/>
    <col min="14287" max="14287" width="11.32421875" style="1256" customWidth="1"/>
    <col min="14288" max="14288" width="32.09375" style="1256" customWidth="1"/>
    <col min="14289" max="14289" width="17.39453125" style="1256" customWidth="1"/>
    <col min="14290" max="14290" width="10.24609375" style="1256" customWidth="1"/>
    <col min="14291" max="14291" width="19.8203125" style="1256" customWidth="1"/>
    <col min="14292" max="14292" width="10.3828125" style="1256" customWidth="1"/>
    <col min="14293" max="14293" width="19.41796875" style="1256" customWidth="1"/>
    <col min="14294" max="14294" width="10.3828125" style="1256" customWidth="1"/>
    <col min="14295" max="14295" width="9.16796875" style="1256" customWidth="1"/>
    <col min="14296" max="14296" width="11.0546875" style="1256" customWidth="1"/>
    <col min="14297" max="14542" width="9.16796875" style="1256"/>
    <col min="14543" max="14543" width="11.32421875" style="1256" customWidth="1"/>
    <col min="14544" max="14544" width="32.09375" style="1256" customWidth="1"/>
    <col min="14545" max="14545" width="17.39453125" style="1256" customWidth="1"/>
    <col min="14546" max="14546" width="10.24609375" style="1256" customWidth="1"/>
    <col min="14547" max="14547" width="19.8203125" style="1256" customWidth="1"/>
    <col min="14548" max="14548" width="10.3828125" style="1256" customWidth="1"/>
    <col min="14549" max="14549" width="19.41796875" style="1256" customWidth="1"/>
    <col min="14550" max="14550" width="10.3828125" style="1256" customWidth="1"/>
    <col min="14551" max="14551" width="9.16796875" style="1256" customWidth="1"/>
    <col min="14552" max="14552" width="11.0546875" style="1256" customWidth="1"/>
    <col min="14553" max="14798" width="9.16796875" style="1256"/>
    <col min="14799" max="14799" width="11.32421875" style="1256" customWidth="1"/>
    <col min="14800" max="14800" width="32.09375" style="1256" customWidth="1"/>
    <col min="14801" max="14801" width="17.39453125" style="1256" customWidth="1"/>
    <col min="14802" max="14802" width="10.24609375" style="1256" customWidth="1"/>
    <col min="14803" max="14803" width="19.8203125" style="1256" customWidth="1"/>
    <col min="14804" max="14804" width="10.3828125" style="1256" customWidth="1"/>
    <col min="14805" max="14805" width="19.41796875" style="1256" customWidth="1"/>
    <col min="14806" max="14806" width="10.3828125" style="1256" customWidth="1"/>
    <col min="14807" max="14807" width="9.16796875" style="1256" customWidth="1"/>
    <col min="14808" max="14808" width="11.0546875" style="1256" customWidth="1"/>
    <col min="14809" max="15054" width="9.16796875" style="1256"/>
    <col min="15055" max="15055" width="11.32421875" style="1256" customWidth="1"/>
    <col min="15056" max="15056" width="32.09375" style="1256" customWidth="1"/>
    <col min="15057" max="15057" width="17.39453125" style="1256" customWidth="1"/>
    <col min="15058" max="15058" width="10.24609375" style="1256" customWidth="1"/>
    <col min="15059" max="15059" width="19.8203125" style="1256" customWidth="1"/>
    <col min="15060" max="15060" width="10.3828125" style="1256" customWidth="1"/>
    <col min="15061" max="15061" width="19.41796875" style="1256" customWidth="1"/>
    <col min="15062" max="15062" width="10.3828125" style="1256" customWidth="1"/>
    <col min="15063" max="15063" width="9.16796875" style="1256" customWidth="1"/>
    <col min="15064" max="15064" width="11.0546875" style="1256" customWidth="1"/>
    <col min="15065" max="15310" width="9.16796875" style="1256"/>
    <col min="15311" max="15311" width="11.32421875" style="1256" customWidth="1"/>
    <col min="15312" max="15312" width="32.09375" style="1256" customWidth="1"/>
    <col min="15313" max="15313" width="17.39453125" style="1256" customWidth="1"/>
    <col min="15314" max="15314" width="10.24609375" style="1256" customWidth="1"/>
    <col min="15315" max="15315" width="19.8203125" style="1256" customWidth="1"/>
    <col min="15316" max="15316" width="10.3828125" style="1256" customWidth="1"/>
    <col min="15317" max="15317" width="19.41796875" style="1256" customWidth="1"/>
    <col min="15318" max="15318" width="10.3828125" style="1256" customWidth="1"/>
    <col min="15319" max="15319" width="9.16796875" style="1256" customWidth="1"/>
    <col min="15320" max="15320" width="11.0546875" style="1256" customWidth="1"/>
    <col min="15321" max="15566" width="9.16796875" style="1256"/>
    <col min="15567" max="15567" width="11.32421875" style="1256" customWidth="1"/>
    <col min="15568" max="15568" width="32.09375" style="1256" customWidth="1"/>
    <col min="15569" max="15569" width="17.39453125" style="1256" customWidth="1"/>
    <col min="15570" max="15570" width="10.24609375" style="1256" customWidth="1"/>
    <col min="15571" max="15571" width="19.8203125" style="1256" customWidth="1"/>
    <col min="15572" max="15572" width="10.3828125" style="1256" customWidth="1"/>
    <col min="15573" max="15573" width="19.41796875" style="1256" customWidth="1"/>
    <col min="15574" max="15574" width="10.3828125" style="1256" customWidth="1"/>
    <col min="15575" max="15575" width="9.16796875" style="1256" customWidth="1"/>
    <col min="15576" max="15576" width="11.0546875" style="1256" customWidth="1"/>
    <col min="15577" max="15822" width="9.16796875" style="1256"/>
    <col min="15823" max="15823" width="11.32421875" style="1256" customWidth="1"/>
    <col min="15824" max="15824" width="32.09375" style="1256" customWidth="1"/>
    <col min="15825" max="15825" width="17.39453125" style="1256" customWidth="1"/>
    <col min="15826" max="15826" width="10.24609375" style="1256" customWidth="1"/>
    <col min="15827" max="15827" width="19.8203125" style="1256" customWidth="1"/>
    <col min="15828" max="15828" width="10.3828125" style="1256" customWidth="1"/>
    <col min="15829" max="15829" width="19.41796875" style="1256" customWidth="1"/>
    <col min="15830" max="15830" width="10.3828125" style="1256" customWidth="1"/>
    <col min="15831" max="15831" width="9.16796875" style="1256" customWidth="1"/>
    <col min="15832" max="15832" width="11.0546875" style="1256" customWidth="1"/>
    <col min="15833" max="16078" width="9.16796875" style="1256"/>
    <col min="16079" max="16079" width="11.32421875" style="1256" customWidth="1"/>
    <col min="16080" max="16080" width="32.09375" style="1256" customWidth="1"/>
    <col min="16081" max="16081" width="17.39453125" style="1256" customWidth="1"/>
    <col min="16082" max="16082" width="10.24609375" style="1256" customWidth="1"/>
    <col min="16083" max="16083" width="19.8203125" style="1256" customWidth="1"/>
    <col min="16084" max="16084" width="10.3828125" style="1256" customWidth="1"/>
    <col min="16085" max="16085" width="19.41796875" style="1256" customWidth="1"/>
    <col min="16086" max="16086" width="10.3828125" style="1256" customWidth="1"/>
    <col min="16087" max="16087" width="9.16796875" style="1256" customWidth="1"/>
    <col min="16088" max="16088" width="11.0546875" style="1256" customWidth="1"/>
    <col min="16089" max="16384" width="9.16796875" style="1256"/>
  </cols>
  <sheetData>
    <row r="1" spans="1:69" ht="13.5" x14ac:dyDescent="0.15">
      <c r="O1" s="1257"/>
      <c r="P1" s="1258"/>
      <c r="Q1" s="1258"/>
      <c r="R1" s="1259"/>
      <c r="S1" s="1259"/>
      <c r="AB1" s="1257"/>
      <c r="AC1" s="1258"/>
      <c r="AD1" s="1258"/>
      <c r="AE1" s="1259"/>
      <c r="AN1" s="1257"/>
      <c r="AO1" s="1258"/>
      <c r="AP1" s="1258"/>
      <c r="AQ1" s="1259"/>
      <c r="BA1" s="1257"/>
      <c r="BB1" s="1258"/>
      <c r="BC1" s="1258"/>
      <c r="BD1" s="1259"/>
      <c r="BN1" s="1257"/>
      <c r="BO1" s="1258"/>
      <c r="BP1" s="1258"/>
      <c r="BQ1" s="1259"/>
    </row>
    <row r="2" spans="1:69" ht="21" x14ac:dyDescent="0.25">
      <c r="D2" s="1289" t="s">
        <v>636</v>
      </c>
      <c r="E2" s="1289"/>
      <c r="F2" s="1289"/>
      <c r="G2" s="1289"/>
      <c r="H2" s="1289"/>
      <c r="I2" s="1289"/>
      <c r="J2" s="1289"/>
      <c r="K2" s="1289"/>
      <c r="L2" s="1289"/>
      <c r="P2" s="1258"/>
      <c r="Q2" s="1258"/>
      <c r="W2" s="1289" t="s">
        <v>636</v>
      </c>
      <c r="X2" s="1289"/>
      <c r="Y2" s="1289"/>
      <c r="AC2" s="1258"/>
      <c r="AD2" s="1258"/>
      <c r="AI2" s="1289" t="s">
        <v>636</v>
      </c>
      <c r="AJ2" s="1289"/>
      <c r="AK2" s="1289"/>
      <c r="AO2" s="1258"/>
      <c r="AP2" s="1258"/>
      <c r="AV2" s="1289" t="s">
        <v>636</v>
      </c>
      <c r="AW2" s="1289"/>
      <c r="AX2" s="1289"/>
      <c r="BB2" s="1258"/>
      <c r="BC2" s="1258"/>
      <c r="BI2" s="1289" t="s">
        <v>636</v>
      </c>
      <c r="BJ2" s="1289"/>
      <c r="BK2" s="1289"/>
      <c r="BO2" s="1258"/>
      <c r="BP2" s="1258"/>
    </row>
    <row r="3" spans="1:69" ht="18" x14ac:dyDescent="0.15">
      <c r="B3" s="1260"/>
      <c r="C3" s="1261"/>
      <c r="D3" s="1260"/>
      <c r="E3" s="1260"/>
      <c r="F3" s="1260"/>
      <c r="G3" s="1260"/>
      <c r="H3" s="1260"/>
      <c r="I3" s="1260"/>
      <c r="J3" s="1260"/>
      <c r="K3" s="1260"/>
      <c r="L3" s="1260"/>
      <c r="M3" s="1260"/>
      <c r="N3" s="1260"/>
      <c r="O3" s="1260"/>
      <c r="P3" s="1258"/>
      <c r="Q3" s="1258"/>
      <c r="R3" s="1260"/>
      <c r="S3" s="1262"/>
      <c r="U3" s="1260"/>
      <c r="V3" s="1261"/>
      <c r="W3" s="1260"/>
      <c r="X3" s="1260"/>
      <c r="Y3" s="1260"/>
      <c r="Z3" s="1260"/>
      <c r="AA3" s="1260"/>
      <c r="AB3" s="1260"/>
      <c r="AC3" s="1258"/>
      <c r="AD3" s="1258"/>
      <c r="AE3" s="1260"/>
      <c r="AG3" s="1260"/>
      <c r="AH3" s="1261"/>
      <c r="AI3" s="1260"/>
      <c r="AJ3" s="1260"/>
      <c r="AK3" s="1260"/>
      <c r="AL3" s="1260"/>
      <c r="AM3" s="1260"/>
      <c r="AN3" s="1260"/>
      <c r="AO3" s="1258"/>
      <c r="AP3" s="1258"/>
      <c r="AQ3" s="1260"/>
      <c r="AT3" s="1260"/>
      <c r="AU3" s="1261"/>
      <c r="AV3" s="1260"/>
      <c r="AW3" s="1260"/>
      <c r="AX3" s="1260"/>
      <c r="AY3" s="1260"/>
      <c r="AZ3" s="1260"/>
      <c r="BA3" s="1260"/>
      <c r="BB3" s="1258"/>
      <c r="BC3" s="1258"/>
      <c r="BD3" s="1260"/>
      <c r="BG3" s="1260"/>
      <c r="BH3" s="1261"/>
      <c r="BI3" s="1260"/>
      <c r="BJ3" s="1260"/>
      <c r="BK3" s="1260"/>
      <c r="BL3" s="1260"/>
      <c r="BM3" s="1260"/>
      <c r="BN3" s="1260"/>
      <c r="BO3" s="1258"/>
      <c r="BP3" s="1258"/>
      <c r="BQ3" s="1260"/>
    </row>
    <row r="4" spans="1:69" ht="18" x14ac:dyDescent="0.2">
      <c r="A4" s="1685" t="s">
        <v>18</v>
      </c>
      <c r="B4" s="1685"/>
      <c r="C4" s="1685"/>
      <c r="D4" s="1685"/>
      <c r="E4" s="1685"/>
      <c r="F4" s="1685"/>
      <c r="G4" s="1685"/>
      <c r="H4" s="1685"/>
      <c r="I4" s="1685"/>
      <c r="J4" s="1685"/>
      <c r="K4" s="1685"/>
      <c r="L4" s="1685"/>
      <c r="M4" s="1685"/>
      <c r="N4" s="1685"/>
      <c r="O4" s="1685"/>
      <c r="P4" s="1685"/>
      <c r="Q4" s="1685"/>
      <c r="R4" s="1685"/>
      <c r="S4" s="1263"/>
      <c r="T4" s="1685" t="s">
        <v>525</v>
      </c>
      <c r="U4" s="1685"/>
      <c r="V4" s="1685"/>
      <c r="W4" s="1685"/>
      <c r="X4" s="1685"/>
      <c r="Y4" s="1685"/>
      <c r="Z4" s="1685"/>
      <c r="AA4" s="1685"/>
      <c r="AB4" s="1685"/>
      <c r="AC4" s="1685"/>
      <c r="AD4" s="1685"/>
      <c r="AE4" s="1685"/>
      <c r="AF4" s="1685" t="s">
        <v>535</v>
      </c>
      <c r="AG4" s="1685"/>
      <c r="AH4" s="1685"/>
      <c r="AI4" s="1685"/>
      <c r="AJ4" s="1685"/>
      <c r="AK4" s="1685"/>
      <c r="AL4" s="1685"/>
      <c r="AM4" s="1685"/>
      <c r="AN4" s="1685"/>
      <c r="AO4" s="1685"/>
      <c r="AP4" s="1685"/>
      <c r="AQ4" s="1685"/>
      <c r="AS4" s="1685" t="s">
        <v>537</v>
      </c>
      <c r="AT4" s="1685"/>
      <c r="AU4" s="1685"/>
      <c r="AV4" s="1685"/>
      <c r="AW4" s="1685"/>
      <c r="AX4" s="1685"/>
      <c r="AY4" s="1685"/>
      <c r="AZ4" s="1685"/>
      <c r="BA4" s="1685"/>
      <c r="BB4" s="1685"/>
      <c r="BC4" s="1685"/>
      <c r="BD4" s="1685"/>
      <c r="BF4" s="1685" t="s">
        <v>541</v>
      </c>
      <c r="BG4" s="1685"/>
      <c r="BH4" s="1685"/>
      <c r="BI4" s="1685"/>
      <c r="BJ4" s="1685"/>
      <c r="BK4" s="1685"/>
      <c r="BL4" s="1685"/>
      <c r="BM4" s="1685"/>
      <c r="BN4" s="1685"/>
      <c r="BO4" s="1685"/>
      <c r="BP4" s="1685"/>
      <c r="BQ4" s="1685"/>
    </row>
    <row r="5" spans="1:69" ht="14.25" x14ac:dyDescent="0.15">
      <c r="A5" s="1682" t="s">
        <v>637</v>
      </c>
      <c r="B5" s="1682"/>
      <c r="C5" s="1682"/>
      <c r="D5" s="1682"/>
      <c r="E5" s="1682"/>
      <c r="F5" s="1682"/>
      <c r="G5" s="1686" t="s">
        <v>723</v>
      </c>
      <c r="H5" s="1687"/>
      <c r="I5" s="1687"/>
      <c r="J5" s="1687"/>
      <c r="K5" s="1687"/>
      <c r="L5" s="1688"/>
      <c r="M5" s="1615" t="s">
        <v>717</v>
      </c>
      <c r="N5" s="1615"/>
      <c r="O5" s="1615"/>
      <c r="P5" s="1615"/>
      <c r="Q5" s="1615"/>
      <c r="R5" s="1615"/>
      <c r="S5" s="1263"/>
      <c r="T5" s="1682" t="s">
        <v>637</v>
      </c>
      <c r="U5" s="1682"/>
      <c r="V5" s="1682"/>
      <c r="W5" s="1682"/>
      <c r="X5" s="1682"/>
      <c r="Y5" s="1682"/>
      <c r="Z5" s="1615" t="s">
        <v>638</v>
      </c>
      <c r="AA5" s="1615"/>
      <c r="AB5" s="1615"/>
      <c r="AC5" s="1615"/>
      <c r="AD5" s="1615"/>
      <c r="AE5" s="1615"/>
      <c r="AF5" s="1682" t="s">
        <v>637</v>
      </c>
      <c r="AG5" s="1682"/>
      <c r="AH5" s="1682"/>
      <c r="AI5" s="1682"/>
      <c r="AJ5" s="1682"/>
      <c r="AK5" s="1682"/>
      <c r="AL5" s="1615" t="s">
        <v>638</v>
      </c>
      <c r="AM5" s="1615"/>
      <c r="AN5" s="1615"/>
      <c r="AO5" s="1615"/>
      <c r="AP5" s="1615"/>
      <c r="AQ5" s="1615"/>
      <c r="AS5" s="1682" t="s">
        <v>637</v>
      </c>
      <c r="AT5" s="1682"/>
      <c r="AU5" s="1682"/>
      <c r="AV5" s="1682"/>
      <c r="AW5" s="1682"/>
      <c r="AX5" s="1682"/>
      <c r="AY5" s="1615" t="s">
        <v>638</v>
      </c>
      <c r="AZ5" s="1615"/>
      <c r="BA5" s="1615"/>
      <c r="BB5" s="1615"/>
      <c r="BC5" s="1615"/>
      <c r="BD5" s="1615"/>
      <c r="BF5" s="1682" t="s">
        <v>637</v>
      </c>
      <c r="BG5" s="1682"/>
      <c r="BH5" s="1682"/>
      <c r="BI5" s="1682"/>
      <c r="BJ5" s="1682"/>
      <c r="BK5" s="1682"/>
      <c r="BL5" s="1615" t="s">
        <v>638</v>
      </c>
      <c r="BM5" s="1615"/>
      <c r="BN5" s="1615"/>
      <c r="BO5" s="1615"/>
      <c r="BP5" s="1615"/>
      <c r="BQ5" s="1615"/>
    </row>
    <row r="6" spans="1:69" ht="27.75" customHeight="1" x14ac:dyDescent="0.15">
      <c r="A6" s="1304" t="s">
        <v>21</v>
      </c>
      <c r="B6" s="1304" t="s">
        <v>22</v>
      </c>
      <c r="C6" s="1367" t="s">
        <v>468</v>
      </c>
      <c r="D6" s="1304" t="s">
        <v>702</v>
      </c>
      <c r="E6" s="1367" t="s">
        <v>639</v>
      </c>
      <c r="F6" s="1305" t="s">
        <v>703</v>
      </c>
      <c r="G6" s="1290" t="s">
        <v>21</v>
      </c>
      <c r="H6" s="1290" t="s">
        <v>22</v>
      </c>
      <c r="I6" s="1367" t="s">
        <v>468</v>
      </c>
      <c r="J6" s="1304" t="s">
        <v>702</v>
      </c>
      <c r="K6" s="1367" t="s">
        <v>639</v>
      </c>
      <c r="L6" s="1305" t="s">
        <v>703</v>
      </c>
      <c r="M6" s="1290" t="s">
        <v>21</v>
      </c>
      <c r="N6" s="1290" t="s">
        <v>22</v>
      </c>
      <c r="O6" s="1368" t="s">
        <v>468</v>
      </c>
      <c r="P6" s="1290" t="s">
        <v>702</v>
      </c>
      <c r="Q6" s="1368" t="s">
        <v>639</v>
      </c>
      <c r="R6" s="1291" t="s">
        <v>703</v>
      </c>
      <c r="S6" s="1263"/>
      <c r="T6" s="1304" t="s">
        <v>21</v>
      </c>
      <c r="U6" s="1304" t="s">
        <v>22</v>
      </c>
      <c r="V6" s="1367" t="s">
        <v>468</v>
      </c>
      <c r="W6" s="1304" t="s">
        <v>702</v>
      </c>
      <c r="X6" s="1367" t="s">
        <v>639</v>
      </c>
      <c r="Y6" s="1305" t="s">
        <v>703</v>
      </c>
      <c r="Z6" s="1290" t="s">
        <v>21</v>
      </c>
      <c r="AA6" s="1290" t="s">
        <v>22</v>
      </c>
      <c r="AB6" s="1368" t="s">
        <v>468</v>
      </c>
      <c r="AC6" s="1290" t="s">
        <v>702</v>
      </c>
      <c r="AD6" s="1368" t="s">
        <v>639</v>
      </c>
      <c r="AE6" s="1291" t="s">
        <v>703</v>
      </c>
      <c r="AF6" s="1304" t="s">
        <v>21</v>
      </c>
      <c r="AG6" s="1304" t="s">
        <v>22</v>
      </c>
      <c r="AH6" s="1367" t="s">
        <v>468</v>
      </c>
      <c r="AI6" s="1304" t="s">
        <v>702</v>
      </c>
      <c r="AJ6" s="1367" t="s">
        <v>639</v>
      </c>
      <c r="AK6" s="1305" t="s">
        <v>703</v>
      </c>
      <c r="AL6" s="1290" t="s">
        <v>21</v>
      </c>
      <c r="AM6" s="1290" t="s">
        <v>22</v>
      </c>
      <c r="AN6" s="1368" t="s">
        <v>468</v>
      </c>
      <c r="AO6" s="1290" t="s">
        <v>702</v>
      </c>
      <c r="AP6" s="1368" t="s">
        <v>639</v>
      </c>
      <c r="AQ6" s="1291" t="s">
        <v>703</v>
      </c>
      <c r="AS6" s="1304" t="s">
        <v>21</v>
      </c>
      <c r="AT6" s="1304" t="s">
        <v>22</v>
      </c>
      <c r="AU6" s="1367" t="s">
        <v>468</v>
      </c>
      <c r="AV6" s="1304" t="s">
        <v>702</v>
      </c>
      <c r="AW6" s="1367" t="s">
        <v>639</v>
      </c>
      <c r="AX6" s="1305" t="s">
        <v>703</v>
      </c>
      <c r="AY6" s="1290" t="s">
        <v>21</v>
      </c>
      <c r="AZ6" s="1290" t="s">
        <v>22</v>
      </c>
      <c r="BA6" s="1368" t="s">
        <v>468</v>
      </c>
      <c r="BB6" s="1290" t="s">
        <v>702</v>
      </c>
      <c r="BC6" s="1368" t="s">
        <v>639</v>
      </c>
      <c r="BD6" s="1291" t="s">
        <v>703</v>
      </c>
      <c r="BF6" s="1304" t="s">
        <v>21</v>
      </c>
      <c r="BG6" s="1304" t="s">
        <v>22</v>
      </c>
      <c r="BH6" s="1367" t="s">
        <v>468</v>
      </c>
      <c r="BI6" s="1304" t="s">
        <v>702</v>
      </c>
      <c r="BJ6" s="1367" t="s">
        <v>639</v>
      </c>
      <c r="BK6" s="1305" t="s">
        <v>703</v>
      </c>
      <c r="BL6" s="1290" t="s">
        <v>21</v>
      </c>
      <c r="BM6" s="1290" t="s">
        <v>22</v>
      </c>
      <c r="BN6" s="1368" t="s">
        <v>468</v>
      </c>
      <c r="BO6" s="1290" t="s">
        <v>702</v>
      </c>
      <c r="BP6" s="1368" t="s">
        <v>639</v>
      </c>
      <c r="BQ6" s="1291" t="s">
        <v>703</v>
      </c>
    </row>
    <row r="7" spans="1:69" ht="18.75" customHeight="1" x14ac:dyDescent="0.15">
      <c r="A7" s="1306" t="s">
        <v>38</v>
      </c>
      <c r="B7" s="1307" t="s">
        <v>619</v>
      </c>
      <c r="C7" s="1307" t="s">
        <v>62</v>
      </c>
      <c r="D7" s="1308">
        <v>70</v>
      </c>
      <c r="E7" s="1307"/>
      <c r="F7" s="1343">
        <v>869.99999999999989</v>
      </c>
      <c r="G7" s="1264" t="s">
        <v>38</v>
      </c>
      <c r="H7" s="1265" t="s">
        <v>619</v>
      </c>
      <c r="I7" s="1343" t="s">
        <v>62</v>
      </c>
      <c r="J7" s="1343">
        <v>70</v>
      </c>
      <c r="K7" s="1343"/>
      <c r="L7" s="1343">
        <v>995</v>
      </c>
      <c r="M7" s="1264" t="s">
        <v>38</v>
      </c>
      <c r="N7" s="1265" t="s">
        <v>619</v>
      </c>
      <c r="O7" s="1265" t="s">
        <v>62</v>
      </c>
      <c r="P7" s="1266">
        <v>100</v>
      </c>
      <c r="Q7" s="1265"/>
      <c r="R7" s="1343">
        <v>961.99999999999989</v>
      </c>
      <c r="S7" s="1263"/>
      <c r="T7" s="1306" t="s">
        <v>38</v>
      </c>
      <c r="U7" s="1307" t="s">
        <v>619</v>
      </c>
      <c r="V7" s="1307" t="s">
        <v>62</v>
      </c>
      <c r="W7" s="1308">
        <v>70</v>
      </c>
      <c r="X7" s="1307"/>
      <c r="Y7" s="1343">
        <v>813.00000000000011</v>
      </c>
      <c r="Z7" s="1264" t="s">
        <v>38</v>
      </c>
      <c r="AA7" s="1265" t="s">
        <v>619</v>
      </c>
      <c r="AB7" s="1265" t="s">
        <v>62</v>
      </c>
      <c r="AC7" s="1266">
        <v>100</v>
      </c>
      <c r="AD7" s="1265"/>
      <c r="AE7" s="1343">
        <v>861.00000000000011</v>
      </c>
      <c r="AF7" s="1306" t="s">
        <v>38</v>
      </c>
      <c r="AG7" s="1307" t="s">
        <v>619</v>
      </c>
      <c r="AH7" s="1307" t="s">
        <v>62</v>
      </c>
      <c r="AI7" s="1308">
        <v>70</v>
      </c>
      <c r="AJ7" s="1307"/>
      <c r="AK7" s="1343">
        <v>811</v>
      </c>
      <c r="AL7" s="1264" t="s">
        <v>38</v>
      </c>
      <c r="AM7" s="1265" t="s">
        <v>619</v>
      </c>
      <c r="AN7" s="1265" t="s">
        <v>62</v>
      </c>
      <c r="AO7" s="1266">
        <v>100</v>
      </c>
      <c r="AP7" s="1265"/>
      <c r="AQ7" s="1343">
        <v>859</v>
      </c>
      <c r="AS7" s="1306" t="s">
        <v>38</v>
      </c>
      <c r="AT7" s="1307" t="s">
        <v>619</v>
      </c>
      <c r="AU7" s="1307" t="s">
        <v>62</v>
      </c>
      <c r="AV7" s="1308">
        <v>70</v>
      </c>
      <c r="AW7" s="1307"/>
      <c r="AX7" s="1343">
        <v>831</v>
      </c>
      <c r="AY7" s="1264" t="s">
        <v>38</v>
      </c>
      <c r="AZ7" s="1265" t="s">
        <v>619</v>
      </c>
      <c r="BA7" s="1265" t="s">
        <v>62</v>
      </c>
      <c r="BB7" s="1266">
        <v>100</v>
      </c>
      <c r="BC7" s="1265"/>
      <c r="BD7" s="1343">
        <v>869.00000000000011</v>
      </c>
      <c r="BF7" s="1306" t="s">
        <v>38</v>
      </c>
      <c r="BG7" s="1307" t="s">
        <v>619</v>
      </c>
      <c r="BH7" s="1307" t="s">
        <v>62</v>
      </c>
      <c r="BI7" s="1308">
        <v>70</v>
      </c>
      <c r="BJ7" s="1307"/>
      <c r="BK7" s="1343">
        <v>811</v>
      </c>
      <c r="BL7" s="1264" t="s">
        <v>38</v>
      </c>
      <c r="BM7" s="1265" t="s">
        <v>619</v>
      </c>
      <c r="BN7" s="1265" t="s">
        <v>62</v>
      </c>
      <c r="BO7" s="1266">
        <v>100</v>
      </c>
      <c r="BP7" s="1265"/>
      <c r="BQ7" s="1343">
        <v>875</v>
      </c>
    </row>
    <row r="8" spans="1:69" ht="18.75" customHeight="1" thickBot="1" x14ac:dyDescent="0.2">
      <c r="A8" s="1309"/>
      <c r="B8" s="1310"/>
      <c r="C8" s="1310"/>
      <c r="D8" s="1311"/>
      <c r="E8" s="1310"/>
      <c r="F8" s="1312"/>
      <c r="G8" s="1271"/>
      <c r="H8" s="1262"/>
      <c r="I8" s="1312"/>
      <c r="J8" s="1312"/>
      <c r="K8" s="1312"/>
      <c r="L8" s="1312"/>
      <c r="M8" s="1271"/>
      <c r="N8" s="1262"/>
      <c r="O8" s="1262"/>
      <c r="P8" s="1272"/>
      <c r="Q8" s="1262"/>
      <c r="R8" s="1273"/>
      <c r="S8" s="1263"/>
      <c r="T8" s="1309"/>
      <c r="U8" s="1310"/>
      <c r="V8" s="1310"/>
      <c r="W8" s="1311"/>
      <c r="X8" s="1310"/>
      <c r="Y8" s="1312"/>
      <c r="Z8" s="1271"/>
      <c r="AA8" s="1262"/>
      <c r="AB8" s="1262"/>
      <c r="AC8" s="1272"/>
      <c r="AD8" s="1262"/>
      <c r="AE8" s="1273"/>
      <c r="AF8" s="1309"/>
      <c r="AG8" s="1310"/>
      <c r="AH8" s="1310"/>
      <c r="AI8" s="1311"/>
      <c r="AJ8" s="1310"/>
      <c r="AK8" s="1312"/>
      <c r="AL8" s="1271"/>
      <c r="AM8" s="1262"/>
      <c r="AN8" s="1262"/>
      <c r="AO8" s="1272"/>
      <c r="AP8" s="1262"/>
      <c r="AQ8" s="1273"/>
      <c r="AS8" s="1309"/>
      <c r="AT8" s="1310"/>
      <c r="AU8" s="1310"/>
      <c r="AV8" s="1311"/>
      <c r="AW8" s="1310"/>
      <c r="AX8" s="1312"/>
      <c r="AY8" s="1271"/>
      <c r="AZ8" s="1262"/>
      <c r="BA8" s="1262"/>
      <c r="BB8" s="1272"/>
      <c r="BC8" s="1262"/>
      <c r="BD8" s="1273"/>
      <c r="BF8" s="1309"/>
      <c r="BG8" s="1310"/>
      <c r="BH8" s="1310"/>
      <c r="BI8" s="1311"/>
      <c r="BJ8" s="1310"/>
      <c r="BK8" s="1312"/>
      <c r="BL8" s="1271"/>
      <c r="BM8" s="1262"/>
      <c r="BN8" s="1262"/>
      <c r="BO8" s="1272"/>
      <c r="BP8" s="1262"/>
      <c r="BQ8" s="1273"/>
    </row>
    <row r="9" spans="1:69" ht="19.5" customHeight="1" x14ac:dyDescent="0.15">
      <c r="A9" s="1313" t="s">
        <v>41</v>
      </c>
      <c r="B9" s="1314" t="s">
        <v>640</v>
      </c>
      <c r="C9" s="1314" t="s">
        <v>43</v>
      </c>
      <c r="D9" s="1315">
        <v>100</v>
      </c>
      <c r="E9" s="1314" t="s">
        <v>676</v>
      </c>
      <c r="F9" s="1316">
        <v>415.00000000000006</v>
      </c>
      <c r="G9" s="1359" t="s">
        <v>706</v>
      </c>
      <c r="H9" s="1274" t="s">
        <v>640</v>
      </c>
      <c r="I9" s="1314" t="s">
        <v>43</v>
      </c>
      <c r="J9" s="1318">
        <v>150</v>
      </c>
      <c r="K9" s="1318" t="s">
        <v>724</v>
      </c>
      <c r="L9" s="1318">
        <v>360</v>
      </c>
      <c r="M9" s="1359" t="s">
        <v>706</v>
      </c>
      <c r="N9" s="1274" t="s">
        <v>640</v>
      </c>
      <c r="O9" s="1274" t="s">
        <v>661</v>
      </c>
      <c r="P9" s="1275">
        <v>110</v>
      </c>
      <c r="Q9" s="1274" t="s">
        <v>704</v>
      </c>
      <c r="R9" s="1277">
        <v>475</v>
      </c>
      <c r="S9" s="1263"/>
      <c r="T9" s="1313" t="s">
        <v>41</v>
      </c>
      <c r="U9" s="1314" t="s">
        <v>640</v>
      </c>
      <c r="V9" s="1314" t="s">
        <v>43</v>
      </c>
      <c r="W9" s="1315">
        <v>100</v>
      </c>
      <c r="X9" s="1314" t="s">
        <v>676</v>
      </c>
      <c r="Y9" s="1316">
        <v>409.99999999999994</v>
      </c>
      <c r="Z9" s="1276" t="s">
        <v>706</v>
      </c>
      <c r="AA9" s="1274" t="s">
        <v>640</v>
      </c>
      <c r="AB9" s="1274" t="s">
        <v>661</v>
      </c>
      <c r="AC9" s="1275">
        <v>110</v>
      </c>
      <c r="AD9" s="1274" t="s">
        <v>704</v>
      </c>
      <c r="AE9" s="1277">
        <v>475</v>
      </c>
      <c r="AF9" s="1313" t="s">
        <v>41</v>
      </c>
      <c r="AG9" s="1314" t="s">
        <v>640</v>
      </c>
      <c r="AH9" s="1314" t="s">
        <v>43</v>
      </c>
      <c r="AI9" s="1315">
        <v>100</v>
      </c>
      <c r="AJ9" s="1314" t="s">
        <v>676</v>
      </c>
      <c r="AK9" s="1316">
        <v>409.99999999999994</v>
      </c>
      <c r="AL9" s="1276" t="s">
        <v>706</v>
      </c>
      <c r="AM9" s="1274" t="s">
        <v>640</v>
      </c>
      <c r="AN9" s="1274" t="s">
        <v>661</v>
      </c>
      <c r="AO9" s="1275">
        <v>110</v>
      </c>
      <c r="AP9" s="1274" t="s">
        <v>704</v>
      </c>
      <c r="AQ9" s="1277">
        <v>475</v>
      </c>
      <c r="AS9" s="1313" t="s">
        <v>41</v>
      </c>
      <c r="AT9" s="1314" t="s">
        <v>640</v>
      </c>
      <c r="AU9" s="1314" t="s">
        <v>43</v>
      </c>
      <c r="AV9" s="1315">
        <v>100</v>
      </c>
      <c r="AW9" s="1314" t="s">
        <v>676</v>
      </c>
      <c r="AX9" s="1316">
        <v>409.99999999999994</v>
      </c>
      <c r="AY9" s="1276" t="s">
        <v>706</v>
      </c>
      <c r="AZ9" s="1274" t="s">
        <v>640</v>
      </c>
      <c r="BA9" s="1274" t="s">
        <v>661</v>
      </c>
      <c r="BB9" s="1275">
        <v>110</v>
      </c>
      <c r="BC9" s="1274" t="s">
        <v>704</v>
      </c>
      <c r="BD9" s="1277">
        <v>475</v>
      </c>
      <c r="BF9" s="1313" t="s">
        <v>41</v>
      </c>
      <c r="BG9" s="1314" t="s">
        <v>640</v>
      </c>
      <c r="BH9" s="1314" t="s">
        <v>43</v>
      </c>
      <c r="BI9" s="1315">
        <v>100</v>
      </c>
      <c r="BJ9" s="1314" t="s">
        <v>676</v>
      </c>
      <c r="BK9" s="1316">
        <v>409.99999999999994</v>
      </c>
      <c r="BL9" s="1276" t="s">
        <v>706</v>
      </c>
      <c r="BM9" s="1274" t="s">
        <v>640</v>
      </c>
      <c r="BN9" s="1274" t="s">
        <v>661</v>
      </c>
      <c r="BO9" s="1275">
        <v>110</v>
      </c>
      <c r="BP9" s="1274" t="s">
        <v>704</v>
      </c>
      <c r="BQ9" s="1277">
        <v>475</v>
      </c>
    </row>
    <row r="10" spans="1:69" ht="14.25" x14ac:dyDescent="0.15">
      <c r="A10" s="1317"/>
      <c r="B10" s="1307" t="s">
        <v>674</v>
      </c>
      <c r="C10" s="1307" t="s">
        <v>641</v>
      </c>
      <c r="D10" s="1308">
        <v>110</v>
      </c>
      <c r="E10" s="1307" t="s">
        <v>677</v>
      </c>
      <c r="F10" s="1318">
        <v>560</v>
      </c>
      <c r="G10" s="1318"/>
      <c r="H10" s="1318"/>
      <c r="I10" s="1307" t="s">
        <v>641</v>
      </c>
      <c r="J10" s="1318">
        <v>300</v>
      </c>
      <c r="K10" s="1318" t="s">
        <v>725</v>
      </c>
      <c r="L10" s="1318">
        <v>540</v>
      </c>
      <c r="M10" s="1360"/>
      <c r="N10" s="1265"/>
      <c r="O10" s="1265" t="s">
        <v>642</v>
      </c>
      <c r="P10" s="1266">
        <v>210</v>
      </c>
      <c r="Q10" s="1265" t="s">
        <v>705</v>
      </c>
      <c r="R10" s="1278">
        <v>700</v>
      </c>
      <c r="S10" s="1263"/>
      <c r="T10" s="1317"/>
      <c r="U10" s="1307" t="s">
        <v>674</v>
      </c>
      <c r="V10" s="1307" t="s">
        <v>641</v>
      </c>
      <c r="W10" s="1308">
        <v>110</v>
      </c>
      <c r="X10" s="1307" t="s">
        <v>677</v>
      </c>
      <c r="Y10" s="1318">
        <v>560</v>
      </c>
      <c r="Z10" s="1264"/>
      <c r="AA10" s="1265"/>
      <c r="AB10" s="1265" t="s">
        <v>642</v>
      </c>
      <c r="AC10" s="1266">
        <v>210</v>
      </c>
      <c r="AD10" s="1265" t="s">
        <v>705</v>
      </c>
      <c r="AE10" s="1278">
        <v>700</v>
      </c>
      <c r="AF10" s="1317"/>
      <c r="AG10" s="1307" t="s">
        <v>674</v>
      </c>
      <c r="AH10" s="1307" t="s">
        <v>641</v>
      </c>
      <c r="AI10" s="1308">
        <v>110</v>
      </c>
      <c r="AJ10" s="1307" t="s">
        <v>677</v>
      </c>
      <c r="AK10" s="1318">
        <v>560</v>
      </c>
      <c r="AL10" s="1264"/>
      <c r="AM10" s="1265"/>
      <c r="AN10" s="1265" t="s">
        <v>642</v>
      </c>
      <c r="AO10" s="1266">
        <v>210</v>
      </c>
      <c r="AP10" s="1265" t="s">
        <v>705</v>
      </c>
      <c r="AQ10" s="1278">
        <v>700</v>
      </c>
      <c r="AS10" s="1317"/>
      <c r="AT10" s="1307" t="s">
        <v>674</v>
      </c>
      <c r="AU10" s="1307" t="s">
        <v>641</v>
      </c>
      <c r="AV10" s="1308">
        <v>110</v>
      </c>
      <c r="AW10" s="1307" t="s">
        <v>677</v>
      </c>
      <c r="AX10" s="1318">
        <v>560</v>
      </c>
      <c r="AY10" s="1264"/>
      <c r="AZ10" s="1265"/>
      <c r="BA10" s="1265" t="s">
        <v>642</v>
      </c>
      <c r="BB10" s="1266">
        <v>210</v>
      </c>
      <c r="BC10" s="1265" t="s">
        <v>705</v>
      </c>
      <c r="BD10" s="1278">
        <v>700</v>
      </c>
      <c r="BF10" s="1317"/>
      <c r="BG10" s="1307" t="s">
        <v>674</v>
      </c>
      <c r="BH10" s="1307" t="s">
        <v>641</v>
      </c>
      <c r="BI10" s="1308">
        <v>110</v>
      </c>
      <c r="BJ10" s="1307" t="s">
        <v>677</v>
      </c>
      <c r="BK10" s="1318">
        <v>560</v>
      </c>
      <c r="BL10" s="1264"/>
      <c r="BM10" s="1265"/>
      <c r="BN10" s="1265" t="s">
        <v>642</v>
      </c>
      <c r="BO10" s="1266">
        <v>210</v>
      </c>
      <c r="BP10" s="1265" t="s">
        <v>705</v>
      </c>
      <c r="BQ10" s="1278">
        <v>700</v>
      </c>
    </row>
    <row r="11" spans="1:69" ht="14.25" x14ac:dyDescent="0.15">
      <c r="A11" s="1317"/>
      <c r="B11" s="1307" t="s">
        <v>675</v>
      </c>
      <c r="C11" s="1307" t="s">
        <v>642</v>
      </c>
      <c r="D11" s="1308">
        <v>175</v>
      </c>
      <c r="E11" s="1307" t="s">
        <v>643</v>
      </c>
      <c r="F11" s="1318">
        <v>715</v>
      </c>
      <c r="G11" s="1318"/>
      <c r="H11" s="1318"/>
      <c r="I11" s="1307" t="s">
        <v>642</v>
      </c>
      <c r="J11" s="1318">
        <v>460</v>
      </c>
      <c r="K11" s="1318" t="s">
        <v>726</v>
      </c>
      <c r="L11" s="1318">
        <v>700</v>
      </c>
      <c r="M11" s="1271"/>
      <c r="N11" s="1271"/>
      <c r="O11" s="1271"/>
      <c r="P11" s="1271"/>
      <c r="Q11" s="1271"/>
      <c r="R11" s="1293"/>
      <c r="S11" s="1263"/>
      <c r="T11" s="1317"/>
      <c r="U11" s="1307" t="s">
        <v>675</v>
      </c>
      <c r="V11" s="1307" t="s">
        <v>642</v>
      </c>
      <c r="W11" s="1308">
        <v>175</v>
      </c>
      <c r="X11" s="1307" t="s">
        <v>643</v>
      </c>
      <c r="Y11" s="1318">
        <v>715</v>
      </c>
      <c r="Z11" s="1271"/>
      <c r="AA11" s="1271"/>
      <c r="AB11" s="1271"/>
      <c r="AC11" s="1271"/>
      <c r="AD11" s="1271"/>
      <c r="AE11" s="1293"/>
      <c r="AF11" s="1317"/>
      <c r="AG11" s="1307" t="s">
        <v>675</v>
      </c>
      <c r="AH11" s="1307" t="s">
        <v>642</v>
      </c>
      <c r="AI11" s="1308">
        <v>175</v>
      </c>
      <c r="AJ11" s="1307" t="s">
        <v>643</v>
      </c>
      <c r="AK11" s="1318">
        <v>715</v>
      </c>
      <c r="AL11" s="1271"/>
      <c r="AM11" s="1271"/>
      <c r="AN11" s="1271"/>
      <c r="AO11" s="1271"/>
      <c r="AP11" s="1271"/>
      <c r="AQ11" s="1293"/>
      <c r="AS11" s="1317"/>
      <c r="AT11" s="1307" t="s">
        <v>675</v>
      </c>
      <c r="AU11" s="1307" t="s">
        <v>642</v>
      </c>
      <c r="AV11" s="1308">
        <v>175</v>
      </c>
      <c r="AW11" s="1307" t="s">
        <v>643</v>
      </c>
      <c r="AX11" s="1318">
        <v>715</v>
      </c>
      <c r="AY11" s="1271"/>
      <c r="AZ11" s="1271"/>
      <c r="BA11" s="1271"/>
      <c r="BB11" s="1271"/>
      <c r="BC11" s="1271"/>
      <c r="BD11" s="1293"/>
      <c r="BF11" s="1317"/>
      <c r="BG11" s="1307" t="s">
        <v>675</v>
      </c>
      <c r="BH11" s="1307" t="s">
        <v>642</v>
      </c>
      <c r="BI11" s="1308">
        <v>175</v>
      </c>
      <c r="BJ11" s="1307" t="s">
        <v>643</v>
      </c>
      <c r="BK11" s="1318">
        <v>715</v>
      </c>
      <c r="BL11" s="1271"/>
      <c r="BM11" s="1271"/>
      <c r="BN11" s="1271"/>
      <c r="BO11" s="1271"/>
      <c r="BP11" s="1271"/>
      <c r="BQ11" s="1293"/>
    </row>
    <row r="12" spans="1:69" ht="14.25" x14ac:dyDescent="0.15">
      <c r="A12" s="1317"/>
      <c r="B12" s="1307"/>
      <c r="C12" s="1307"/>
      <c r="D12" s="1308"/>
      <c r="E12" s="1307" t="s">
        <v>411</v>
      </c>
      <c r="F12" s="1318">
        <v>819.99999999999989</v>
      </c>
      <c r="G12" s="1356"/>
      <c r="H12" s="1356"/>
      <c r="I12" s="1356"/>
      <c r="J12" s="1356"/>
      <c r="K12" s="1356"/>
      <c r="L12" s="1356"/>
      <c r="M12" s="1271"/>
      <c r="N12" s="1271"/>
      <c r="O12" s="1271"/>
      <c r="P12" s="1271"/>
      <c r="Q12" s="1271"/>
      <c r="R12" s="1293"/>
      <c r="S12" s="1263"/>
      <c r="T12" s="1317"/>
      <c r="U12" s="1307"/>
      <c r="V12" s="1307"/>
      <c r="W12" s="1308"/>
      <c r="X12" s="1307" t="s">
        <v>411</v>
      </c>
      <c r="Y12" s="1318">
        <v>819.99999999999989</v>
      </c>
      <c r="Z12" s="1271"/>
      <c r="AA12" s="1271"/>
      <c r="AB12" s="1271"/>
      <c r="AC12" s="1271"/>
      <c r="AD12" s="1271"/>
      <c r="AE12" s="1293"/>
      <c r="AF12" s="1317"/>
      <c r="AG12" s="1307"/>
      <c r="AH12" s="1307"/>
      <c r="AI12" s="1308"/>
      <c r="AJ12" s="1307" t="s">
        <v>411</v>
      </c>
      <c r="AK12" s="1318">
        <v>819.99999999999989</v>
      </c>
      <c r="AL12" s="1271"/>
      <c r="AM12" s="1271"/>
      <c r="AN12" s="1271"/>
      <c r="AO12" s="1271"/>
      <c r="AP12" s="1271"/>
      <c r="AQ12" s="1293"/>
      <c r="AS12" s="1317"/>
      <c r="AT12" s="1307"/>
      <c r="AU12" s="1307"/>
      <c r="AV12" s="1308"/>
      <c r="AW12" s="1307" t="s">
        <v>411</v>
      </c>
      <c r="AX12" s="1318">
        <v>819.99999999999989</v>
      </c>
      <c r="AY12" s="1271"/>
      <c r="AZ12" s="1271"/>
      <c r="BA12" s="1271"/>
      <c r="BB12" s="1271"/>
      <c r="BC12" s="1271"/>
      <c r="BD12" s="1293"/>
      <c r="BF12" s="1317"/>
      <c r="BG12" s="1307"/>
      <c r="BH12" s="1307"/>
      <c r="BI12" s="1308"/>
      <c r="BJ12" s="1307" t="s">
        <v>411</v>
      </c>
      <c r="BK12" s="1318">
        <v>819.99999999999989</v>
      </c>
      <c r="BL12" s="1271"/>
      <c r="BM12" s="1271"/>
      <c r="BN12" s="1271"/>
      <c r="BO12" s="1271"/>
      <c r="BP12" s="1271"/>
      <c r="BQ12" s="1293"/>
    </row>
    <row r="13" spans="1:69" ht="18.75" customHeight="1" x14ac:dyDescent="0.15">
      <c r="A13" s="1319"/>
      <c r="B13" s="1310"/>
      <c r="C13" s="1310"/>
      <c r="D13" s="1311"/>
      <c r="E13" s="1310"/>
      <c r="F13" s="1312"/>
      <c r="G13" s="1312"/>
      <c r="H13" s="1312"/>
      <c r="I13" s="1312"/>
      <c r="J13" s="1312"/>
      <c r="K13" s="1312"/>
      <c r="L13" s="1312"/>
      <c r="M13" s="1271"/>
      <c r="N13" s="1271"/>
      <c r="O13" s="1271"/>
      <c r="P13" s="1271"/>
      <c r="Q13" s="1271"/>
      <c r="R13" s="1293"/>
      <c r="S13" s="1263"/>
      <c r="T13" s="1319"/>
      <c r="U13" s="1310"/>
      <c r="V13" s="1310"/>
      <c r="W13" s="1311"/>
      <c r="X13" s="1310"/>
      <c r="Y13" s="1312"/>
      <c r="Z13" s="1271"/>
      <c r="AA13" s="1271"/>
      <c r="AB13" s="1271"/>
      <c r="AC13" s="1271"/>
      <c r="AD13" s="1271"/>
      <c r="AE13" s="1293"/>
      <c r="AF13" s="1319"/>
      <c r="AG13" s="1310"/>
      <c r="AH13" s="1310"/>
      <c r="AI13" s="1311"/>
      <c r="AJ13" s="1310"/>
      <c r="AK13" s="1312"/>
      <c r="AL13" s="1271"/>
      <c r="AM13" s="1271"/>
      <c r="AN13" s="1271"/>
      <c r="AO13" s="1271"/>
      <c r="AP13" s="1271"/>
      <c r="AQ13" s="1293"/>
      <c r="AS13" s="1319"/>
      <c r="AT13" s="1310"/>
      <c r="AU13" s="1310"/>
      <c r="AV13" s="1311"/>
      <c r="AW13" s="1310"/>
      <c r="AX13" s="1312"/>
      <c r="AY13" s="1271"/>
      <c r="AZ13" s="1271"/>
      <c r="BA13" s="1271"/>
      <c r="BB13" s="1271"/>
      <c r="BC13" s="1271"/>
      <c r="BD13" s="1293"/>
      <c r="BF13" s="1319"/>
      <c r="BG13" s="1310"/>
      <c r="BH13" s="1310"/>
      <c r="BI13" s="1311"/>
      <c r="BJ13" s="1310"/>
      <c r="BK13" s="1312"/>
      <c r="BL13" s="1271"/>
      <c r="BM13" s="1271"/>
      <c r="BN13" s="1271"/>
      <c r="BO13" s="1271"/>
      <c r="BP13" s="1271"/>
      <c r="BQ13" s="1293"/>
    </row>
    <row r="14" spans="1:69" ht="14.25" x14ac:dyDescent="0.15">
      <c r="A14" s="1317" t="s">
        <v>50</v>
      </c>
      <c r="B14" s="1307" t="s">
        <v>51</v>
      </c>
      <c r="C14" s="1307" t="s">
        <v>43</v>
      </c>
      <c r="D14" s="1308">
        <v>85</v>
      </c>
      <c r="E14" s="1307" t="s">
        <v>676</v>
      </c>
      <c r="F14" s="1308">
        <v>405</v>
      </c>
      <c r="G14" s="1311"/>
      <c r="H14" s="1311"/>
      <c r="I14" s="1311"/>
      <c r="J14" s="1311"/>
      <c r="K14" s="1311"/>
      <c r="L14" s="1311"/>
      <c r="M14" s="1271"/>
      <c r="N14" s="1271"/>
      <c r="O14" s="1271"/>
      <c r="P14" s="1271"/>
      <c r="Q14" s="1271"/>
      <c r="R14" s="1293"/>
      <c r="S14" s="1263"/>
      <c r="T14" s="1317" t="s">
        <v>50</v>
      </c>
      <c r="U14" s="1307" t="s">
        <v>51</v>
      </c>
      <c r="V14" s="1307" t="s">
        <v>43</v>
      </c>
      <c r="W14" s="1308">
        <v>85</v>
      </c>
      <c r="X14" s="1307" t="s">
        <v>676</v>
      </c>
      <c r="Y14" s="1308">
        <v>400</v>
      </c>
      <c r="Z14" s="1271"/>
      <c r="AA14" s="1271"/>
      <c r="AB14" s="1271"/>
      <c r="AC14" s="1271"/>
      <c r="AD14" s="1271"/>
      <c r="AE14" s="1293"/>
      <c r="AF14" s="1317" t="s">
        <v>50</v>
      </c>
      <c r="AG14" s="1307" t="s">
        <v>51</v>
      </c>
      <c r="AH14" s="1307" t="s">
        <v>43</v>
      </c>
      <c r="AI14" s="1308">
        <v>85</v>
      </c>
      <c r="AJ14" s="1307" t="s">
        <v>676</v>
      </c>
      <c r="AK14" s="1308">
        <v>400</v>
      </c>
      <c r="AL14" s="1271"/>
      <c r="AM14" s="1271"/>
      <c r="AN14" s="1271"/>
      <c r="AO14" s="1271"/>
      <c r="AP14" s="1271"/>
      <c r="AQ14" s="1293"/>
      <c r="AS14" s="1317" t="s">
        <v>50</v>
      </c>
      <c r="AT14" s="1307" t="s">
        <v>51</v>
      </c>
      <c r="AU14" s="1307" t="s">
        <v>43</v>
      </c>
      <c r="AV14" s="1308">
        <v>85</v>
      </c>
      <c r="AW14" s="1307" t="s">
        <v>676</v>
      </c>
      <c r="AX14" s="1308">
        <v>400</v>
      </c>
      <c r="AY14" s="1271"/>
      <c r="AZ14" s="1271"/>
      <c r="BA14" s="1271"/>
      <c r="BB14" s="1271"/>
      <c r="BC14" s="1271"/>
      <c r="BD14" s="1293"/>
      <c r="BF14" s="1317" t="s">
        <v>50</v>
      </c>
      <c r="BG14" s="1307" t="s">
        <v>51</v>
      </c>
      <c r="BH14" s="1307" t="s">
        <v>43</v>
      </c>
      <c r="BI14" s="1308">
        <v>85</v>
      </c>
      <c r="BJ14" s="1307" t="s">
        <v>676</v>
      </c>
      <c r="BK14" s="1308">
        <v>400</v>
      </c>
      <c r="BL14" s="1271"/>
      <c r="BM14" s="1271"/>
      <c r="BN14" s="1271"/>
      <c r="BO14" s="1271"/>
      <c r="BP14" s="1271"/>
      <c r="BQ14" s="1293"/>
    </row>
    <row r="15" spans="1:69" ht="14.25" x14ac:dyDescent="0.15">
      <c r="A15" s="1317"/>
      <c r="B15" s="1307" t="s">
        <v>644</v>
      </c>
      <c r="C15" s="1307" t="s">
        <v>641</v>
      </c>
      <c r="D15" s="1308">
        <v>100</v>
      </c>
      <c r="E15" s="1307" t="s">
        <v>677</v>
      </c>
      <c r="F15" s="1308">
        <v>530</v>
      </c>
      <c r="G15" s="1311"/>
      <c r="H15" s="1311"/>
      <c r="I15" s="1311"/>
      <c r="J15" s="1311"/>
      <c r="K15" s="1311"/>
      <c r="L15" s="1311"/>
      <c r="M15" s="1271"/>
      <c r="N15" s="1271"/>
      <c r="O15" s="1271"/>
      <c r="P15" s="1271"/>
      <c r="Q15" s="1271"/>
      <c r="R15" s="1293"/>
      <c r="S15" s="1263"/>
      <c r="T15" s="1317"/>
      <c r="U15" s="1307" t="s">
        <v>644</v>
      </c>
      <c r="V15" s="1307" t="s">
        <v>641</v>
      </c>
      <c r="W15" s="1308">
        <v>100</v>
      </c>
      <c r="X15" s="1307" t="s">
        <v>677</v>
      </c>
      <c r="Y15" s="1308">
        <v>530</v>
      </c>
      <c r="Z15" s="1271"/>
      <c r="AA15" s="1271"/>
      <c r="AB15" s="1271"/>
      <c r="AC15" s="1271"/>
      <c r="AD15" s="1271"/>
      <c r="AE15" s="1293"/>
      <c r="AF15" s="1317"/>
      <c r="AG15" s="1307" t="s">
        <v>644</v>
      </c>
      <c r="AH15" s="1307" t="s">
        <v>641</v>
      </c>
      <c r="AI15" s="1308">
        <v>100</v>
      </c>
      <c r="AJ15" s="1307" t="s">
        <v>677</v>
      </c>
      <c r="AK15" s="1308">
        <v>530</v>
      </c>
      <c r="AL15" s="1271"/>
      <c r="AM15" s="1271"/>
      <c r="AN15" s="1271"/>
      <c r="AO15" s="1271"/>
      <c r="AP15" s="1271"/>
      <c r="AQ15" s="1293"/>
      <c r="AS15" s="1317"/>
      <c r="AT15" s="1307" t="s">
        <v>644</v>
      </c>
      <c r="AU15" s="1307" t="s">
        <v>641</v>
      </c>
      <c r="AV15" s="1308">
        <v>100</v>
      </c>
      <c r="AW15" s="1307" t="s">
        <v>677</v>
      </c>
      <c r="AX15" s="1308">
        <v>530</v>
      </c>
      <c r="AY15" s="1271"/>
      <c r="AZ15" s="1271"/>
      <c r="BA15" s="1271"/>
      <c r="BB15" s="1271"/>
      <c r="BC15" s="1271"/>
      <c r="BD15" s="1293"/>
      <c r="BF15" s="1317"/>
      <c r="BG15" s="1307" t="s">
        <v>644</v>
      </c>
      <c r="BH15" s="1307" t="s">
        <v>641</v>
      </c>
      <c r="BI15" s="1308">
        <v>100</v>
      </c>
      <c r="BJ15" s="1307" t="s">
        <v>677</v>
      </c>
      <c r="BK15" s="1308">
        <v>530</v>
      </c>
      <c r="BL15" s="1271"/>
      <c r="BM15" s="1271"/>
      <c r="BN15" s="1271"/>
      <c r="BO15" s="1271"/>
      <c r="BP15" s="1271"/>
      <c r="BQ15" s="1293"/>
    </row>
    <row r="16" spans="1:69" ht="14.25" x14ac:dyDescent="0.15">
      <c r="A16" s="1320"/>
      <c r="B16" s="1307" t="s">
        <v>54</v>
      </c>
      <c r="C16" s="1307" t="s">
        <v>642</v>
      </c>
      <c r="D16" s="1308">
        <v>160</v>
      </c>
      <c r="E16" s="1307" t="s">
        <v>643</v>
      </c>
      <c r="F16" s="1308">
        <v>685</v>
      </c>
      <c r="G16" s="1311"/>
      <c r="H16" s="1311"/>
      <c r="I16" s="1311"/>
      <c r="J16" s="1311"/>
      <c r="K16" s="1311"/>
      <c r="L16" s="1311"/>
      <c r="M16" s="1271"/>
      <c r="N16" s="1271"/>
      <c r="O16" s="1271"/>
      <c r="P16" s="1271"/>
      <c r="Q16" s="1271"/>
      <c r="R16" s="1293"/>
      <c r="S16" s="1263"/>
      <c r="T16" s="1320"/>
      <c r="U16" s="1307" t="s">
        <v>54</v>
      </c>
      <c r="V16" s="1307" t="s">
        <v>642</v>
      </c>
      <c r="W16" s="1308">
        <v>160</v>
      </c>
      <c r="X16" s="1307" t="s">
        <v>643</v>
      </c>
      <c r="Y16" s="1308">
        <v>685</v>
      </c>
      <c r="Z16" s="1271"/>
      <c r="AA16" s="1271"/>
      <c r="AB16" s="1271"/>
      <c r="AC16" s="1271"/>
      <c r="AD16" s="1271"/>
      <c r="AE16" s="1293"/>
      <c r="AF16" s="1320"/>
      <c r="AG16" s="1307" t="s">
        <v>54</v>
      </c>
      <c r="AH16" s="1307" t="s">
        <v>642</v>
      </c>
      <c r="AI16" s="1308">
        <v>160</v>
      </c>
      <c r="AJ16" s="1307" t="s">
        <v>643</v>
      </c>
      <c r="AK16" s="1308">
        <v>685</v>
      </c>
      <c r="AL16" s="1271"/>
      <c r="AM16" s="1271"/>
      <c r="AN16" s="1271"/>
      <c r="AO16" s="1271"/>
      <c r="AP16" s="1271"/>
      <c r="AQ16" s="1293"/>
      <c r="AS16" s="1320"/>
      <c r="AT16" s="1307" t="s">
        <v>54</v>
      </c>
      <c r="AU16" s="1307" t="s">
        <v>642</v>
      </c>
      <c r="AV16" s="1308">
        <v>160</v>
      </c>
      <c r="AW16" s="1307" t="s">
        <v>643</v>
      </c>
      <c r="AX16" s="1308">
        <v>685</v>
      </c>
      <c r="AY16" s="1271"/>
      <c r="AZ16" s="1271"/>
      <c r="BA16" s="1271"/>
      <c r="BB16" s="1271"/>
      <c r="BC16" s="1271"/>
      <c r="BD16" s="1293"/>
      <c r="BF16" s="1320"/>
      <c r="BG16" s="1307" t="s">
        <v>54</v>
      </c>
      <c r="BH16" s="1307" t="s">
        <v>642</v>
      </c>
      <c r="BI16" s="1308">
        <v>160</v>
      </c>
      <c r="BJ16" s="1307" t="s">
        <v>643</v>
      </c>
      <c r="BK16" s="1308">
        <v>685</v>
      </c>
      <c r="BL16" s="1271"/>
      <c r="BM16" s="1271"/>
      <c r="BN16" s="1271"/>
      <c r="BO16" s="1271"/>
      <c r="BP16" s="1271"/>
      <c r="BQ16" s="1293"/>
    </row>
    <row r="17" spans="1:69" ht="15" thickBot="1" x14ac:dyDescent="0.2">
      <c r="A17" s="1321"/>
      <c r="B17" s="1322" t="s">
        <v>55</v>
      </c>
      <c r="C17" s="1322"/>
      <c r="D17" s="1323"/>
      <c r="E17" s="1322" t="s">
        <v>411</v>
      </c>
      <c r="F17" s="1323">
        <v>770</v>
      </c>
      <c r="G17" s="1357"/>
      <c r="H17" s="1357"/>
      <c r="I17" s="1357"/>
      <c r="J17" s="1357"/>
      <c r="K17" s="1357"/>
      <c r="L17" s="1357"/>
      <c r="M17" s="1294"/>
      <c r="N17" s="1294"/>
      <c r="O17" s="1294"/>
      <c r="P17" s="1294"/>
      <c r="Q17" s="1294"/>
      <c r="R17" s="1295"/>
      <c r="S17" s="1263"/>
      <c r="T17" s="1321"/>
      <c r="U17" s="1322" t="s">
        <v>55</v>
      </c>
      <c r="V17" s="1322"/>
      <c r="W17" s="1323"/>
      <c r="X17" s="1322" t="s">
        <v>411</v>
      </c>
      <c r="Y17" s="1323">
        <v>770</v>
      </c>
      <c r="Z17" s="1294"/>
      <c r="AA17" s="1294"/>
      <c r="AB17" s="1294"/>
      <c r="AC17" s="1294"/>
      <c r="AD17" s="1294"/>
      <c r="AE17" s="1295"/>
      <c r="AF17" s="1321"/>
      <c r="AG17" s="1322" t="s">
        <v>55</v>
      </c>
      <c r="AH17" s="1322"/>
      <c r="AI17" s="1323"/>
      <c r="AJ17" s="1322" t="s">
        <v>411</v>
      </c>
      <c r="AK17" s="1323">
        <v>770</v>
      </c>
      <c r="AL17" s="1294"/>
      <c r="AM17" s="1294"/>
      <c r="AN17" s="1294"/>
      <c r="AO17" s="1294"/>
      <c r="AP17" s="1294"/>
      <c r="AQ17" s="1295"/>
      <c r="AS17" s="1321"/>
      <c r="AT17" s="1322" t="s">
        <v>55</v>
      </c>
      <c r="AU17" s="1322"/>
      <c r="AV17" s="1323"/>
      <c r="AW17" s="1322" t="s">
        <v>411</v>
      </c>
      <c r="AX17" s="1323">
        <v>770</v>
      </c>
      <c r="AY17" s="1294"/>
      <c r="AZ17" s="1294"/>
      <c r="BA17" s="1294"/>
      <c r="BB17" s="1294"/>
      <c r="BC17" s="1294"/>
      <c r="BD17" s="1295"/>
      <c r="BF17" s="1321"/>
      <c r="BG17" s="1322" t="s">
        <v>55</v>
      </c>
      <c r="BH17" s="1322"/>
      <c r="BI17" s="1323"/>
      <c r="BJ17" s="1322" t="s">
        <v>411</v>
      </c>
      <c r="BK17" s="1323">
        <v>770</v>
      </c>
      <c r="BL17" s="1294"/>
      <c r="BM17" s="1294"/>
      <c r="BN17" s="1294"/>
      <c r="BO17" s="1294"/>
      <c r="BP17" s="1294"/>
      <c r="BQ17" s="1295"/>
    </row>
    <row r="18" spans="1:69" ht="18.75" customHeight="1" thickBot="1" x14ac:dyDescent="0.2">
      <c r="A18" s="1309"/>
      <c r="B18" s="1310"/>
      <c r="C18" s="1310"/>
      <c r="D18" s="1311"/>
      <c r="E18" s="1310"/>
      <c r="F18" s="1312"/>
      <c r="G18" s="1312"/>
      <c r="H18" s="1312"/>
      <c r="I18" s="1312"/>
      <c r="J18" s="1312"/>
      <c r="K18" s="1312"/>
      <c r="L18" s="1312"/>
      <c r="M18" s="1271"/>
      <c r="N18" s="1262"/>
      <c r="O18" s="1262"/>
      <c r="P18" s="1272"/>
      <c r="Q18" s="1262"/>
      <c r="R18" s="1273"/>
      <c r="S18" s="1263"/>
      <c r="T18" s="1309"/>
      <c r="U18" s="1310"/>
      <c r="V18" s="1310"/>
      <c r="W18" s="1311"/>
      <c r="X18" s="1310"/>
      <c r="Y18" s="1312"/>
      <c r="Z18" s="1271"/>
      <c r="AA18" s="1262"/>
      <c r="AB18" s="1262"/>
      <c r="AC18" s="1272"/>
      <c r="AD18" s="1262"/>
      <c r="AE18" s="1273"/>
      <c r="AF18" s="1309"/>
      <c r="AG18" s="1310"/>
      <c r="AH18" s="1310"/>
      <c r="AI18" s="1311"/>
      <c r="AJ18" s="1310"/>
      <c r="AK18" s="1312"/>
      <c r="AL18" s="1271"/>
      <c r="AM18" s="1262"/>
      <c r="AN18" s="1262"/>
      <c r="AO18" s="1272"/>
      <c r="AP18" s="1262"/>
      <c r="AQ18" s="1273"/>
      <c r="AS18" s="1309"/>
      <c r="AT18" s="1310"/>
      <c r="AU18" s="1310"/>
      <c r="AV18" s="1311"/>
      <c r="AW18" s="1310"/>
      <c r="AX18" s="1312"/>
      <c r="AY18" s="1271"/>
      <c r="AZ18" s="1262"/>
      <c r="BA18" s="1262"/>
      <c r="BB18" s="1272"/>
      <c r="BC18" s="1262"/>
      <c r="BD18" s="1273"/>
      <c r="BF18" s="1309"/>
      <c r="BG18" s="1310"/>
      <c r="BH18" s="1310"/>
      <c r="BI18" s="1311"/>
      <c r="BJ18" s="1310"/>
      <c r="BK18" s="1312"/>
      <c r="BL18" s="1271"/>
      <c r="BM18" s="1262"/>
      <c r="BN18" s="1262"/>
      <c r="BO18" s="1272"/>
      <c r="BP18" s="1262"/>
      <c r="BQ18" s="1273"/>
    </row>
    <row r="19" spans="1:69" ht="47.25" customHeight="1" x14ac:dyDescent="0.15">
      <c r="A19" s="1313" t="s">
        <v>57</v>
      </c>
      <c r="B19" s="1314" t="s">
        <v>645</v>
      </c>
      <c r="C19" s="1314" t="s">
        <v>661</v>
      </c>
      <c r="D19" s="1315">
        <v>120</v>
      </c>
      <c r="E19" s="1314" t="s">
        <v>647</v>
      </c>
      <c r="F19" s="1315">
        <v>735</v>
      </c>
      <c r="G19" s="1359" t="s">
        <v>707</v>
      </c>
      <c r="H19" s="1274" t="s">
        <v>708</v>
      </c>
      <c r="I19" s="1307" t="s">
        <v>661</v>
      </c>
      <c r="J19" s="1308">
        <v>230</v>
      </c>
      <c r="K19" s="1308" t="s">
        <v>727</v>
      </c>
      <c r="L19" s="1308">
        <v>750</v>
      </c>
      <c r="M19" s="1359" t="s">
        <v>707</v>
      </c>
      <c r="N19" s="1274" t="s">
        <v>708</v>
      </c>
      <c r="O19" s="1274" t="s">
        <v>661</v>
      </c>
      <c r="P19" s="1275">
        <v>180</v>
      </c>
      <c r="Q19" s="1274" t="s">
        <v>634</v>
      </c>
      <c r="R19" s="1277">
        <v>775</v>
      </c>
      <c r="S19" s="1263"/>
      <c r="T19" s="1313" t="s">
        <v>57</v>
      </c>
      <c r="U19" s="1314" t="s">
        <v>645</v>
      </c>
      <c r="V19" s="1314" t="s">
        <v>661</v>
      </c>
      <c r="W19" s="1315">
        <v>120</v>
      </c>
      <c r="X19" s="1314" t="s">
        <v>647</v>
      </c>
      <c r="Y19" s="1315">
        <v>730</v>
      </c>
      <c r="Z19" s="1276" t="s">
        <v>707</v>
      </c>
      <c r="AA19" s="1370" t="s">
        <v>708</v>
      </c>
      <c r="AB19" s="1274" t="s">
        <v>661</v>
      </c>
      <c r="AC19" s="1275">
        <v>180</v>
      </c>
      <c r="AD19" s="1274" t="s">
        <v>634</v>
      </c>
      <c r="AE19" s="1277">
        <v>775</v>
      </c>
      <c r="AF19" s="1313" t="s">
        <v>57</v>
      </c>
      <c r="AG19" s="1314" t="s">
        <v>645</v>
      </c>
      <c r="AH19" s="1314" t="s">
        <v>661</v>
      </c>
      <c r="AI19" s="1315">
        <v>120</v>
      </c>
      <c r="AJ19" s="1314" t="s">
        <v>647</v>
      </c>
      <c r="AK19" s="1315">
        <v>730</v>
      </c>
      <c r="AL19" s="1276" t="s">
        <v>707</v>
      </c>
      <c r="AM19" s="1274" t="s">
        <v>708</v>
      </c>
      <c r="AN19" s="1274" t="s">
        <v>661</v>
      </c>
      <c r="AO19" s="1275">
        <v>180</v>
      </c>
      <c r="AP19" s="1274" t="s">
        <v>634</v>
      </c>
      <c r="AQ19" s="1277">
        <v>775</v>
      </c>
      <c r="AS19" s="1313" t="s">
        <v>57</v>
      </c>
      <c r="AT19" s="1314" t="s">
        <v>645</v>
      </c>
      <c r="AU19" s="1314" t="s">
        <v>661</v>
      </c>
      <c r="AV19" s="1315">
        <v>120</v>
      </c>
      <c r="AW19" s="1314" t="s">
        <v>647</v>
      </c>
      <c r="AX19" s="1315">
        <v>730</v>
      </c>
      <c r="AY19" s="1276" t="s">
        <v>707</v>
      </c>
      <c r="AZ19" s="1274" t="s">
        <v>708</v>
      </c>
      <c r="BA19" s="1274" t="s">
        <v>661</v>
      </c>
      <c r="BB19" s="1275">
        <v>180</v>
      </c>
      <c r="BC19" s="1274" t="s">
        <v>634</v>
      </c>
      <c r="BD19" s="1277">
        <v>775</v>
      </c>
      <c r="BF19" s="1313" t="s">
        <v>57</v>
      </c>
      <c r="BG19" s="1314" t="s">
        <v>645</v>
      </c>
      <c r="BH19" s="1314" t="s">
        <v>661</v>
      </c>
      <c r="BI19" s="1315">
        <v>120</v>
      </c>
      <c r="BJ19" s="1314" t="s">
        <v>647</v>
      </c>
      <c r="BK19" s="1315">
        <v>730</v>
      </c>
      <c r="BL19" s="1276" t="s">
        <v>707</v>
      </c>
      <c r="BM19" s="1274" t="s">
        <v>708</v>
      </c>
      <c r="BN19" s="1274" t="s">
        <v>661</v>
      </c>
      <c r="BO19" s="1275">
        <v>180</v>
      </c>
      <c r="BP19" s="1274" t="s">
        <v>634</v>
      </c>
      <c r="BQ19" s="1277">
        <v>775</v>
      </c>
    </row>
    <row r="20" spans="1:69" ht="49.5" customHeight="1" x14ac:dyDescent="0.15">
      <c r="A20" s="1317"/>
      <c r="B20" s="1307" t="s">
        <v>674</v>
      </c>
      <c r="C20" s="1307" t="s">
        <v>642</v>
      </c>
      <c r="D20" s="1308">
        <v>175</v>
      </c>
      <c r="E20" s="1307" t="s">
        <v>411</v>
      </c>
      <c r="F20" s="1308">
        <v>860</v>
      </c>
      <c r="G20" s="1360"/>
      <c r="H20" s="1265"/>
      <c r="I20" s="1307" t="s">
        <v>642</v>
      </c>
      <c r="J20" s="1308">
        <v>260</v>
      </c>
      <c r="K20" s="1308"/>
      <c r="L20" s="1308"/>
      <c r="M20" s="1360"/>
      <c r="N20" s="1265"/>
      <c r="O20" s="1265" t="s">
        <v>642</v>
      </c>
      <c r="P20" s="1266">
        <v>250</v>
      </c>
      <c r="Q20" s="1265"/>
      <c r="R20" s="1279"/>
      <c r="S20" s="1263"/>
      <c r="T20" s="1317"/>
      <c r="U20" s="1447" t="s">
        <v>674</v>
      </c>
      <c r="V20" s="1307" t="s">
        <v>642</v>
      </c>
      <c r="W20" s="1308">
        <v>175</v>
      </c>
      <c r="X20" s="1307" t="s">
        <v>411</v>
      </c>
      <c r="Y20" s="1308">
        <v>855.00000000000011</v>
      </c>
      <c r="Z20" s="1264"/>
      <c r="AA20" s="1265"/>
      <c r="AB20" s="1265" t="s">
        <v>642</v>
      </c>
      <c r="AC20" s="1266">
        <v>250</v>
      </c>
      <c r="AD20" s="1265"/>
      <c r="AE20" s="1279"/>
      <c r="AF20" s="1317"/>
      <c r="AG20" s="1307" t="s">
        <v>674</v>
      </c>
      <c r="AH20" s="1307" t="s">
        <v>642</v>
      </c>
      <c r="AI20" s="1308">
        <v>175</v>
      </c>
      <c r="AJ20" s="1307" t="s">
        <v>411</v>
      </c>
      <c r="AK20" s="1308">
        <v>855.00000000000011</v>
      </c>
      <c r="AL20" s="1264"/>
      <c r="AM20" s="1265"/>
      <c r="AN20" s="1265" t="s">
        <v>642</v>
      </c>
      <c r="AO20" s="1266">
        <v>250</v>
      </c>
      <c r="AP20" s="1265"/>
      <c r="AQ20" s="1279"/>
      <c r="AS20" s="1317"/>
      <c r="AT20" s="1307" t="s">
        <v>674</v>
      </c>
      <c r="AU20" s="1307" t="s">
        <v>642</v>
      </c>
      <c r="AV20" s="1308">
        <v>175</v>
      </c>
      <c r="AW20" s="1307" t="s">
        <v>411</v>
      </c>
      <c r="AX20" s="1308">
        <v>855.00000000000011</v>
      </c>
      <c r="AY20" s="1264"/>
      <c r="AZ20" s="1265"/>
      <c r="BA20" s="1265" t="s">
        <v>642</v>
      </c>
      <c r="BB20" s="1266">
        <v>250</v>
      </c>
      <c r="BC20" s="1265"/>
      <c r="BD20" s="1279"/>
      <c r="BF20" s="1317"/>
      <c r="BG20" s="1307" t="s">
        <v>674</v>
      </c>
      <c r="BH20" s="1307" t="s">
        <v>642</v>
      </c>
      <c r="BI20" s="1308">
        <v>175</v>
      </c>
      <c r="BJ20" s="1307" t="s">
        <v>411</v>
      </c>
      <c r="BK20" s="1308">
        <v>855.00000000000011</v>
      </c>
      <c r="BL20" s="1264"/>
      <c r="BM20" s="1265"/>
      <c r="BN20" s="1265" t="s">
        <v>642</v>
      </c>
      <c r="BO20" s="1266">
        <v>250</v>
      </c>
      <c r="BP20" s="1265"/>
      <c r="BQ20" s="1279"/>
    </row>
    <row r="21" spans="1:69" ht="14.25" x14ac:dyDescent="0.15">
      <c r="A21" s="1317"/>
      <c r="B21" s="1307" t="s">
        <v>675</v>
      </c>
      <c r="C21" s="1307" t="s">
        <v>62</v>
      </c>
      <c r="D21" s="1308">
        <v>150</v>
      </c>
      <c r="E21" s="1307"/>
      <c r="F21" s="1324"/>
      <c r="G21" s="1271"/>
      <c r="H21" s="1262"/>
      <c r="I21" s="1307" t="s">
        <v>62</v>
      </c>
      <c r="J21" s="1308">
        <v>310</v>
      </c>
      <c r="K21" s="1324"/>
      <c r="L21" s="1324"/>
      <c r="M21" s="1271"/>
      <c r="N21" s="1262"/>
      <c r="O21" s="1262"/>
      <c r="P21" s="1272"/>
      <c r="Q21" s="1262"/>
      <c r="R21" s="1280"/>
      <c r="S21" s="1263"/>
      <c r="T21" s="1317"/>
      <c r="U21" s="1307" t="s">
        <v>675</v>
      </c>
      <c r="V21" s="1307" t="s">
        <v>62</v>
      </c>
      <c r="W21" s="1308">
        <v>150</v>
      </c>
      <c r="X21" s="1307"/>
      <c r="Y21" s="1324"/>
      <c r="Z21" s="1271"/>
      <c r="AA21" s="1262"/>
      <c r="AB21" s="1262"/>
      <c r="AC21" s="1272"/>
      <c r="AD21" s="1262"/>
      <c r="AE21" s="1280"/>
      <c r="AF21" s="1317"/>
      <c r="AG21" s="1307" t="s">
        <v>675</v>
      </c>
      <c r="AH21" s="1307" t="s">
        <v>62</v>
      </c>
      <c r="AI21" s="1308">
        <v>150</v>
      </c>
      <c r="AJ21" s="1307"/>
      <c r="AK21" s="1324"/>
      <c r="AL21" s="1271"/>
      <c r="AM21" s="1262"/>
      <c r="AN21" s="1262"/>
      <c r="AO21" s="1272"/>
      <c r="AP21" s="1262"/>
      <c r="AQ21" s="1280"/>
      <c r="AS21" s="1317"/>
      <c r="AT21" s="1307" t="s">
        <v>675</v>
      </c>
      <c r="AU21" s="1307" t="s">
        <v>62</v>
      </c>
      <c r="AV21" s="1308">
        <v>150</v>
      </c>
      <c r="AW21" s="1307"/>
      <c r="AX21" s="1324"/>
      <c r="AY21" s="1271"/>
      <c r="AZ21" s="1262"/>
      <c r="BA21" s="1262"/>
      <c r="BB21" s="1272"/>
      <c r="BC21" s="1262"/>
      <c r="BD21" s="1280"/>
      <c r="BF21" s="1317"/>
      <c r="BG21" s="1307" t="s">
        <v>675</v>
      </c>
      <c r="BH21" s="1307" t="s">
        <v>62</v>
      </c>
      <c r="BI21" s="1308">
        <v>150</v>
      </c>
      <c r="BJ21" s="1307"/>
      <c r="BK21" s="1324"/>
      <c r="BL21" s="1271"/>
      <c r="BM21" s="1262"/>
      <c r="BN21" s="1262"/>
      <c r="BO21" s="1272"/>
      <c r="BP21" s="1262"/>
      <c r="BQ21" s="1280"/>
    </row>
    <row r="22" spans="1:69" ht="18.75" customHeight="1" x14ac:dyDescent="0.15">
      <c r="A22" s="1319"/>
      <c r="B22" s="1310"/>
      <c r="C22" s="1325"/>
      <c r="D22" s="1325"/>
      <c r="E22" s="1310"/>
      <c r="F22" s="1312"/>
      <c r="G22" s="1271"/>
      <c r="H22" s="1262"/>
      <c r="I22" s="1312"/>
      <c r="J22" s="1312"/>
      <c r="K22" s="1312"/>
      <c r="L22" s="1312"/>
      <c r="M22" s="1271"/>
      <c r="N22" s="1262"/>
      <c r="O22" s="1262"/>
      <c r="P22" s="1272"/>
      <c r="Q22" s="1262"/>
      <c r="R22" s="1280"/>
      <c r="S22" s="1263"/>
      <c r="T22" s="1319"/>
      <c r="U22" s="1310"/>
      <c r="V22" s="1325"/>
      <c r="W22" s="1325"/>
      <c r="X22" s="1310"/>
      <c r="Y22" s="1312"/>
      <c r="Z22" s="1271"/>
      <c r="AA22" s="1262"/>
      <c r="AB22" s="1262"/>
      <c r="AC22" s="1272"/>
      <c r="AD22" s="1262"/>
      <c r="AE22" s="1280"/>
      <c r="AF22" s="1319"/>
      <c r="AG22" s="1310"/>
      <c r="AH22" s="1325"/>
      <c r="AI22" s="1325"/>
      <c r="AJ22" s="1310"/>
      <c r="AK22" s="1312"/>
      <c r="AL22" s="1271"/>
      <c r="AM22" s="1262"/>
      <c r="AN22" s="1262"/>
      <c r="AO22" s="1272"/>
      <c r="AP22" s="1262"/>
      <c r="AQ22" s="1280"/>
      <c r="AS22" s="1319"/>
      <c r="AT22" s="1310"/>
      <c r="AU22" s="1325"/>
      <c r="AV22" s="1325"/>
      <c r="AW22" s="1310"/>
      <c r="AX22" s="1312"/>
      <c r="AY22" s="1271"/>
      <c r="AZ22" s="1262"/>
      <c r="BA22" s="1262"/>
      <c r="BB22" s="1272"/>
      <c r="BC22" s="1262"/>
      <c r="BD22" s="1280"/>
      <c r="BF22" s="1319"/>
      <c r="BG22" s="1310"/>
      <c r="BH22" s="1325"/>
      <c r="BI22" s="1325"/>
      <c r="BJ22" s="1310"/>
      <c r="BK22" s="1312"/>
      <c r="BL22" s="1271"/>
      <c r="BM22" s="1262"/>
      <c r="BN22" s="1262"/>
      <c r="BO22" s="1272"/>
      <c r="BP22" s="1262"/>
      <c r="BQ22" s="1280"/>
    </row>
    <row r="23" spans="1:69" ht="14.25" x14ac:dyDescent="0.15">
      <c r="A23" s="1317" t="s">
        <v>64</v>
      </c>
      <c r="B23" s="1307" t="s">
        <v>645</v>
      </c>
      <c r="C23" s="1307" t="s">
        <v>661</v>
      </c>
      <c r="D23" s="1308">
        <v>110</v>
      </c>
      <c r="E23" s="1307" t="s">
        <v>647</v>
      </c>
      <c r="F23" s="1308">
        <v>680</v>
      </c>
      <c r="G23" s="1271"/>
      <c r="H23" s="1262"/>
      <c r="I23" s="1311"/>
      <c r="J23" s="1311"/>
      <c r="K23" s="1311"/>
      <c r="L23" s="1311"/>
      <c r="M23" s="1271"/>
      <c r="N23" s="1262"/>
      <c r="O23" s="1262"/>
      <c r="P23" s="1272"/>
      <c r="Q23" s="1262"/>
      <c r="R23" s="1280"/>
      <c r="S23" s="1263"/>
      <c r="T23" s="1317" t="s">
        <v>64</v>
      </c>
      <c r="U23" s="1307" t="s">
        <v>645</v>
      </c>
      <c r="V23" s="1307" t="s">
        <v>661</v>
      </c>
      <c r="W23" s="1308">
        <v>110</v>
      </c>
      <c r="X23" s="1307" t="s">
        <v>647</v>
      </c>
      <c r="Y23" s="1308">
        <v>675</v>
      </c>
      <c r="Z23" s="1271"/>
      <c r="AA23" s="1262"/>
      <c r="AB23" s="1262"/>
      <c r="AC23" s="1272"/>
      <c r="AD23" s="1262"/>
      <c r="AE23" s="1280"/>
      <c r="AF23" s="1317" t="s">
        <v>64</v>
      </c>
      <c r="AG23" s="1307" t="s">
        <v>645</v>
      </c>
      <c r="AH23" s="1307" t="s">
        <v>661</v>
      </c>
      <c r="AI23" s="1308">
        <v>110</v>
      </c>
      <c r="AJ23" s="1307" t="s">
        <v>647</v>
      </c>
      <c r="AK23" s="1308">
        <v>675</v>
      </c>
      <c r="AL23" s="1271"/>
      <c r="AM23" s="1262"/>
      <c r="AN23" s="1262"/>
      <c r="AO23" s="1272"/>
      <c r="AP23" s="1262"/>
      <c r="AQ23" s="1280"/>
      <c r="AS23" s="1317" t="s">
        <v>64</v>
      </c>
      <c r="AT23" s="1307" t="s">
        <v>645</v>
      </c>
      <c r="AU23" s="1307" t="s">
        <v>661</v>
      </c>
      <c r="AV23" s="1308">
        <v>110</v>
      </c>
      <c r="AW23" s="1307" t="s">
        <v>647</v>
      </c>
      <c r="AX23" s="1308">
        <v>675</v>
      </c>
      <c r="AY23" s="1271"/>
      <c r="AZ23" s="1262"/>
      <c r="BA23" s="1262"/>
      <c r="BB23" s="1272"/>
      <c r="BC23" s="1262"/>
      <c r="BD23" s="1280"/>
      <c r="BF23" s="1317" t="s">
        <v>64</v>
      </c>
      <c r="BG23" s="1307" t="s">
        <v>645</v>
      </c>
      <c r="BH23" s="1307" t="s">
        <v>661</v>
      </c>
      <c r="BI23" s="1308">
        <v>110</v>
      </c>
      <c r="BJ23" s="1307" t="s">
        <v>647</v>
      </c>
      <c r="BK23" s="1308">
        <v>675</v>
      </c>
      <c r="BL23" s="1271"/>
      <c r="BM23" s="1262"/>
      <c r="BN23" s="1262"/>
      <c r="BO23" s="1272"/>
      <c r="BP23" s="1262"/>
      <c r="BQ23" s="1280"/>
    </row>
    <row r="24" spans="1:69" ht="14.25" x14ac:dyDescent="0.15">
      <c r="A24" s="1317"/>
      <c r="B24" s="1307" t="s">
        <v>678</v>
      </c>
      <c r="C24" s="1307" t="s">
        <v>642</v>
      </c>
      <c r="D24" s="1308">
        <v>135</v>
      </c>
      <c r="E24" s="1307" t="s">
        <v>411</v>
      </c>
      <c r="F24" s="1308">
        <v>805.00000000000011</v>
      </c>
      <c r="G24" s="1271"/>
      <c r="H24" s="1262"/>
      <c r="I24" s="1311"/>
      <c r="J24" s="1311"/>
      <c r="K24" s="1311"/>
      <c r="L24" s="1311"/>
      <c r="M24" s="1271"/>
      <c r="N24" s="1262"/>
      <c r="O24" s="1262"/>
      <c r="P24" s="1272"/>
      <c r="Q24" s="1262"/>
      <c r="R24" s="1280"/>
      <c r="S24" s="1263"/>
      <c r="T24" s="1317"/>
      <c r="U24" s="1307" t="s">
        <v>678</v>
      </c>
      <c r="V24" s="1307" t="s">
        <v>642</v>
      </c>
      <c r="W24" s="1308">
        <v>135</v>
      </c>
      <c r="X24" s="1307" t="s">
        <v>411</v>
      </c>
      <c r="Y24" s="1308">
        <v>800</v>
      </c>
      <c r="Z24" s="1271"/>
      <c r="AA24" s="1262"/>
      <c r="AB24" s="1262"/>
      <c r="AC24" s="1272"/>
      <c r="AD24" s="1262"/>
      <c r="AE24" s="1280"/>
      <c r="AF24" s="1317"/>
      <c r="AG24" s="1307" t="s">
        <v>678</v>
      </c>
      <c r="AH24" s="1307" t="s">
        <v>642</v>
      </c>
      <c r="AI24" s="1308">
        <v>135</v>
      </c>
      <c r="AJ24" s="1307" t="s">
        <v>411</v>
      </c>
      <c r="AK24" s="1308">
        <v>800</v>
      </c>
      <c r="AL24" s="1271"/>
      <c r="AM24" s="1262"/>
      <c r="AN24" s="1262"/>
      <c r="AO24" s="1272"/>
      <c r="AP24" s="1262"/>
      <c r="AQ24" s="1280"/>
      <c r="AS24" s="1317"/>
      <c r="AT24" s="1307" t="s">
        <v>678</v>
      </c>
      <c r="AU24" s="1307" t="s">
        <v>642</v>
      </c>
      <c r="AV24" s="1308">
        <v>135</v>
      </c>
      <c r="AW24" s="1307" t="s">
        <v>411</v>
      </c>
      <c r="AX24" s="1308">
        <v>800</v>
      </c>
      <c r="AY24" s="1271"/>
      <c r="AZ24" s="1262"/>
      <c r="BA24" s="1262"/>
      <c r="BB24" s="1272"/>
      <c r="BC24" s="1262"/>
      <c r="BD24" s="1280"/>
      <c r="BF24" s="1317"/>
      <c r="BG24" s="1307" t="s">
        <v>678</v>
      </c>
      <c r="BH24" s="1307" t="s">
        <v>642</v>
      </c>
      <c r="BI24" s="1308">
        <v>135</v>
      </c>
      <c r="BJ24" s="1307" t="s">
        <v>411</v>
      </c>
      <c r="BK24" s="1308">
        <v>800</v>
      </c>
      <c r="BL24" s="1271"/>
      <c r="BM24" s="1262"/>
      <c r="BN24" s="1262"/>
      <c r="BO24" s="1272"/>
      <c r="BP24" s="1262"/>
      <c r="BQ24" s="1280"/>
    </row>
    <row r="25" spans="1:69" ht="15" thickBot="1" x14ac:dyDescent="0.2">
      <c r="A25" s="1321"/>
      <c r="B25" s="1322" t="s">
        <v>55</v>
      </c>
      <c r="C25" s="1322" t="s">
        <v>62</v>
      </c>
      <c r="D25" s="1323">
        <v>165</v>
      </c>
      <c r="E25" s="1322"/>
      <c r="F25" s="1326"/>
      <c r="G25" s="1294"/>
      <c r="H25" s="1296"/>
      <c r="I25" s="1358"/>
      <c r="J25" s="1358"/>
      <c r="K25" s="1358"/>
      <c r="L25" s="1358"/>
      <c r="M25" s="1294"/>
      <c r="N25" s="1296"/>
      <c r="O25" s="1296"/>
      <c r="P25" s="1297"/>
      <c r="Q25" s="1296"/>
      <c r="R25" s="1298"/>
      <c r="S25" s="1263"/>
      <c r="T25" s="1321"/>
      <c r="U25" s="1322" t="s">
        <v>55</v>
      </c>
      <c r="V25" s="1322" t="s">
        <v>62</v>
      </c>
      <c r="W25" s="1323">
        <v>165</v>
      </c>
      <c r="X25" s="1322"/>
      <c r="Y25" s="1326"/>
      <c r="Z25" s="1294"/>
      <c r="AA25" s="1296"/>
      <c r="AB25" s="1296"/>
      <c r="AC25" s="1297"/>
      <c r="AD25" s="1296"/>
      <c r="AE25" s="1298"/>
      <c r="AF25" s="1321"/>
      <c r="AG25" s="1322" t="s">
        <v>55</v>
      </c>
      <c r="AH25" s="1322" t="s">
        <v>62</v>
      </c>
      <c r="AI25" s="1323">
        <v>165</v>
      </c>
      <c r="AJ25" s="1322"/>
      <c r="AK25" s="1326"/>
      <c r="AL25" s="1294"/>
      <c r="AM25" s="1296"/>
      <c r="AN25" s="1296"/>
      <c r="AO25" s="1297"/>
      <c r="AP25" s="1296"/>
      <c r="AQ25" s="1298"/>
      <c r="AS25" s="1321"/>
      <c r="AT25" s="1322" t="s">
        <v>55</v>
      </c>
      <c r="AU25" s="1322" t="s">
        <v>62</v>
      </c>
      <c r="AV25" s="1323">
        <v>165</v>
      </c>
      <c r="AW25" s="1322"/>
      <c r="AX25" s="1326"/>
      <c r="AY25" s="1294"/>
      <c r="AZ25" s="1296"/>
      <c r="BA25" s="1296"/>
      <c r="BB25" s="1297"/>
      <c r="BC25" s="1296"/>
      <c r="BD25" s="1298"/>
      <c r="BF25" s="1321"/>
      <c r="BG25" s="1322" t="s">
        <v>55</v>
      </c>
      <c r="BH25" s="1322" t="s">
        <v>62</v>
      </c>
      <c r="BI25" s="1323">
        <v>165</v>
      </c>
      <c r="BJ25" s="1322"/>
      <c r="BK25" s="1326"/>
      <c r="BL25" s="1294"/>
      <c r="BM25" s="1296"/>
      <c r="BN25" s="1296"/>
      <c r="BO25" s="1297"/>
      <c r="BP25" s="1296"/>
      <c r="BQ25" s="1298"/>
    </row>
    <row r="26" spans="1:69" ht="18.75" customHeight="1" thickBot="1" x14ac:dyDescent="0.2">
      <c r="A26" s="1309"/>
      <c r="B26" s="1310"/>
      <c r="C26" s="1310"/>
      <c r="D26" s="1311"/>
      <c r="E26" s="1310"/>
      <c r="F26" s="1312"/>
      <c r="G26" s="1271"/>
      <c r="H26" s="1262"/>
      <c r="I26" s="1312"/>
      <c r="J26" s="1312"/>
      <c r="K26" s="1312"/>
      <c r="L26" s="1312"/>
      <c r="M26" s="1271"/>
      <c r="N26" s="1262"/>
      <c r="O26" s="1262"/>
      <c r="P26" s="1272"/>
      <c r="Q26" s="1262"/>
      <c r="R26" s="1273"/>
      <c r="S26" s="1263"/>
      <c r="T26" s="1309"/>
      <c r="U26" s="1310"/>
      <c r="V26" s="1310"/>
      <c r="W26" s="1311"/>
      <c r="X26" s="1310"/>
      <c r="Y26" s="1312"/>
      <c r="Z26" s="1271"/>
      <c r="AA26" s="1262"/>
      <c r="AB26" s="1262"/>
      <c r="AC26" s="1272"/>
      <c r="AD26" s="1262"/>
      <c r="AE26" s="1273"/>
      <c r="AF26" s="1309"/>
      <c r="AG26" s="1310"/>
      <c r="AH26" s="1310"/>
      <c r="AI26" s="1311"/>
      <c r="AJ26" s="1310"/>
      <c r="AK26" s="1312"/>
      <c r="AL26" s="1271"/>
      <c r="AM26" s="1262"/>
      <c r="AN26" s="1262"/>
      <c r="AO26" s="1272"/>
      <c r="AP26" s="1262"/>
      <c r="AQ26" s="1273"/>
      <c r="AS26" s="1309"/>
      <c r="AT26" s="1310"/>
      <c r="AU26" s="1310"/>
      <c r="AV26" s="1311"/>
      <c r="AW26" s="1310"/>
      <c r="AX26" s="1312"/>
      <c r="AY26" s="1271"/>
      <c r="AZ26" s="1262"/>
      <c r="BA26" s="1262"/>
      <c r="BB26" s="1272"/>
      <c r="BC26" s="1262"/>
      <c r="BD26" s="1273"/>
      <c r="BF26" s="1309"/>
      <c r="BG26" s="1310"/>
      <c r="BH26" s="1310"/>
      <c r="BI26" s="1311"/>
      <c r="BJ26" s="1310"/>
      <c r="BK26" s="1312"/>
      <c r="BL26" s="1271"/>
      <c r="BM26" s="1262"/>
      <c r="BN26" s="1262"/>
      <c r="BO26" s="1272"/>
      <c r="BP26" s="1262"/>
      <c r="BQ26" s="1273"/>
    </row>
    <row r="27" spans="1:69" ht="14.25" x14ac:dyDescent="0.15">
      <c r="A27" s="1313" t="s">
        <v>69</v>
      </c>
      <c r="B27" s="1314" t="s">
        <v>679</v>
      </c>
      <c r="C27" s="1314" t="s">
        <v>661</v>
      </c>
      <c r="D27" s="1315">
        <v>125</v>
      </c>
      <c r="E27" s="1314" t="s">
        <v>676</v>
      </c>
      <c r="F27" s="1315">
        <v>840</v>
      </c>
      <c r="G27" s="1276" t="s">
        <v>508</v>
      </c>
      <c r="H27" s="1274" t="s">
        <v>709</v>
      </c>
      <c r="I27" s="1274" t="s">
        <v>661</v>
      </c>
      <c r="J27" s="1315">
        <v>260</v>
      </c>
      <c r="K27" s="1315" t="s">
        <v>727</v>
      </c>
      <c r="L27" s="1315">
        <v>770</v>
      </c>
      <c r="M27" s="1276" t="s">
        <v>508</v>
      </c>
      <c r="N27" s="1274" t="s">
        <v>709</v>
      </c>
      <c r="O27" s="1274" t="s">
        <v>661</v>
      </c>
      <c r="P27" s="1275">
        <v>200</v>
      </c>
      <c r="Q27" s="1274" t="s">
        <v>634</v>
      </c>
      <c r="R27" s="1277">
        <v>850</v>
      </c>
      <c r="S27" s="1263"/>
      <c r="T27" s="1313" t="s">
        <v>69</v>
      </c>
      <c r="U27" s="1314" t="s">
        <v>679</v>
      </c>
      <c r="V27" s="1314" t="s">
        <v>661</v>
      </c>
      <c r="W27" s="1315">
        <v>125</v>
      </c>
      <c r="X27" s="1314" t="s">
        <v>676</v>
      </c>
      <c r="Y27" s="1315">
        <v>840</v>
      </c>
      <c r="Z27" s="1276" t="s">
        <v>508</v>
      </c>
      <c r="AA27" s="1274" t="s">
        <v>709</v>
      </c>
      <c r="AB27" s="1274" t="s">
        <v>661</v>
      </c>
      <c r="AC27" s="1275">
        <v>200</v>
      </c>
      <c r="AD27" s="1274" t="s">
        <v>634</v>
      </c>
      <c r="AE27" s="1277">
        <v>850</v>
      </c>
      <c r="AF27" s="1313" t="s">
        <v>69</v>
      </c>
      <c r="AG27" s="1314" t="s">
        <v>679</v>
      </c>
      <c r="AH27" s="1314" t="s">
        <v>661</v>
      </c>
      <c r="AI27" s="1315">
        <v>125</v>
      </c>
      <c r="AJ27" s="1314" t="s">
        <v>676</v>
      </c>
      <c r="AK27" s="1315">
        <v>840</v>
      </c>
      <c r="AL27" s="1276" t="s">
        <v>508</v>
      </c>
      <c r="AM27" s="1274" t="s">
        <v>709</v>
      </c>
      <c r="AN27" s="1274" t="s">
        <v>661</v>
      </c>
      <c r="AO27" s="1275">
        <v>200</v>
      </c>
      <c r="AP27" s="1274" t="s">
        <v>634</v>
      </c>
      <c r="AQ27" s="1277">
        <v>850</v>
      </c>
      <c r="AS27" s="1313" t="s">
        <v>69</v>
      </c>
      <c r="AT27" s="1314" t="s">
        <v>679</v>
      </c>
      <c r="AU27" s="1314" t="s">
        <v>661</v>
      </c>
      <c r="AV27" s="1315">
        <v>125</v>
      </c>
      <c r="AW27" s="1314" t="s">
        <v>676</v>
      </c>
      <c r="AX27" s="1315">
        <v>840</v>
      </c>
      <c r="AY27" s="1276" t="s">
        <v>508</v>
      </c>
      <c r="AZ27" s="1274" t="s">
        <v>709</v>
      </c>
      <c r="BA27" s="1274" t="s">
        <v>661</v>
      </c>
      <c r="BB27" s="1275">
        <v>200</v>
      </c>
      <c r="BC27" s="1274" t="s">
        <v>634</v>
      </c>
      <c r="BD27" s="1277">
        <v>850</v>
      </c>
      <c r="BF27" s="1313" t="s">
        <v>69</v>
      </c>
      <c r="BG27" s="1314" t="s">
        <v>679</v>
      </c>
      <c r="BH27" s="1314" t="s">
        <v>661</v>
      </c>
      <c r="BI27" s="1315">
        <v>125</v>
      </c>
      <c r="BJ27" s="1314" t="s">
        <v>676</v>
      </c>
      <c r="BK27" s="1315">
        <v>840</v>
      </c>
      <c r="BL27" s="1276" t="s">
        <v>508</v>
      </c>
      <c r="BM27" s="1274" t="s">
        <v>709</v>
      </c>
      <c r="BN27" s="1274" t="s">
        <v>661</v>
      </c>
      <c r="BO27" s="1275">
        <v>200</v>
      </c>
      <c r="BP27" s="1274" t="s">
        <v>634</v>
      </c>
      <c r="BQ27" s="1277">
        <v>850</v>
      </c>
    </row>
    <row r="28" spans="1:69" ht="14.25" x14ac:dyDescent="0.15">
      <c r="A28" s="1317"/>
      <c r="B28" s="1307" t="s">
        <v>680</v>
      </c>
      <c r="C28" s="1307" t="s">
        <v>642</v>
      </c>
      <c r="D28" s="1308">
        <v>230</v>
      </c>
      <c r="E28" s="1307" t="s">
        <v>558</v>
      </c>
      <c r="F28" s="1308">
        <v>940</v>
      </c>
      <c r="G28" s="1264"/>
      <c r="H28" s="1265"/>
      <c r="I28" s="1265" t="s">
        <v>642</v>
      </c>
      <c r="J28" s="1308">
        <v>360</v>
      </c>
      <c r="K28" s="1308"/>
      <c r="L28" s="1308"/>
      <c r="M28" s="1264"/>
      <c r="N28" s="1265"/>
      <c r="O28" s="1265" t="s">
        <v>642</v>
      </c>
      <c r="P28" s="1266">
        <v>300</v>
      </c>
      <c r="Q28" s="1265"/>
      <c r="R28" s="1279"/>
      <c r="S28" s="1263"/>
      <c r="T28" s="1317"/>
      <c r="U28" s="1307" t="s">
        <v>680</v>
      </c>
      <c r="V28" s="1307" t="s">
        <v>642</v>
      </c>
      <c r="W28" s="1308">
        <v>230</v>
      </c>
      <c r="X28" s="1307" t="s">
        <v>558</v>
      </c>
      <c r="Y28" s="1308">
        <v>940</v>
      </c>
      <c r="Z28" s="1264"/>
      <c r="AA28" s="1265"/>
      <c r="AB28" s="1265" t="s">
        <v>642</v>
      </c>
      <c r="AC28" s="1266">
        <v>300</v>
      </c>
      <c r="AD28" s="1265"/>
      <c r="AE28" s="1279"/>
      <c r="AF28" s="1317"/>
      <c r="AG28" s="1307" t="s">
        <v>680</v>
      </c>
      <c r="AH28" s="1307" t="s">
        <v>642</v>
      </c>
      <c r="AI28" s="1308">
        <v>230</v>
      </c>
      <c r="AJ28" s="1307" t="s">
        <v>558</v>
      </c>
      <c r="AK28" s="1308">
        <v>940</v>
      </c>
      <c r="AL28" s="1264"/>
      <c r="AM28" s="1265"/>
      <c r="AN28" s="1265" t="s">
        <v>642</v>
      </c>
      <c r="AO28" s="1266">
        <v>300</v>
      </c>
      <c r="AP28" s="1265"/>
      <c r="AQ28" s="1279"/>
      <c r="AS28" s="1317"/>
      <c r="AT28" s="1307" t="s">
        <v>680</v>
      </c>
      <c r="AU28" s="1307" t="s">
        <v>642</v>
      </c>
      <c r="AV28" s="1308">
        <v>230</v>
      </c>
      <c r="AW28" s="1307" t="s">
        <v>558</v>
      </c>
      <c r="AX28" s="1308">
        <v>940</v>
      </c>
      <c r="AY28" s="1264"/>
      <c r="AZ28" s="1265"/>
      <c r="BA28" s="1265" t="s">
        <v>642</v>
      </c>
      <c r="BB28" s="1266">
        <v>300</v>
      </c>
      <c r="BC28" s="1265"/>
      <c r="BD28" s="1279"/>
      <c r="BF28" s="1317"/>
      <c r="BG28" s="1307" t="s">
        <v>680</v>
      </c>
      <c r="BH28" s="1307" t="s">
        <v>642</v>
      </c>
      <c r="BI28" s="1308">
        <v>230</v>
      </c>
      <c r="BJ28" s="1307" t="s">
        <v>558</v>
      </c>
      <c r="BK28" s="1308">
        <v>940</v>
      </c>
      <c r="BL28" s="1264"/>
      <c r="BM28" s="1265"/>
      <c r="BN28" s="1265" t="s">
        <v>642</v>
      </c>
      <c r="BO28" s="1266">
        <v>300</v>
      </c>
      <c r="BP28" s="1265"/>
      <c r="BQ28" s="1279"/>
    </row>
    <row r="29" spans="1:69" ht="18.75" customHeight="1" x14ac:dyDescent="0.15">
      <c r="A29" s="1319"/>
      <c r="B29" s="1310"/>
      <c r="C29" s="1310"/>
      <c r="D29" s="1311"/>
      <c r="E29" s="1310"/>
      <c r="F29" s="1312"/>
      <c r="G29" s="1271"/>
      <c r="H29" s="1262"/>
      <c r="I29" s="1312"/>
      <c r="J29" s="1312"/>
      <c r="K29" s="1312"/>
      <c r="L29" s="1312"/>
      <c r="M29" s="1271"/>
      <c r="N29" s="1262"/>
      <c r="O29" s="1262"/>
      <c r="P29" s="1272"/>
      <c r="Q29" s="1262"/>
      <c r="R29" s="1280"/>
      <c r="S29" s="1263"/>
      <c r="T29" s="1319"/>
      <c r="U29" s="1310"/>
      <c r="V29" s="1310"/>
      <c r="W29" s="1311"/>
      <c r="X29" s="1310"/>
      <c r="Y29" s="1312"/>
      <c r="Z29" s="1271"/>
      <c r="AA29" s="1262"/>
      <c r="AB29" s="1262"/>
      <c r="AC29" s="1272"/>
      <c r="AD29" s="1262"/>
      <c r="AE29" s="1280"/>
      <c r="AF29" s="1319"/>
      <c r="AG29" s="1310"/>
      <c r="AH29" s="1310"/>
      <c r="AI29" s="1311"/>
      <c r="AJ29" s="1310"/>
      <c r="AK29" s="1312"/>
      <c r="AL29" s="1271"/>
      <c r="AM29" s="1262"/>
      <c r="AN29" s="1262"/>
      <c r="AO29" s="1272"/>
      <c r="AP29" s="1262"/>
      <c r="AQ29" s="1280"/>
      <c r="AS29" s="1319"/>
      <c r="AT29" s="1310"/>
      <c r="AU29" s="1310"/>
      <c r="AV29" s="1311"/>
      <c r="AW29" s="1310"/>
      <c r="AX29" s="1312"/>
      <c r="AY29" s="1271"/>
      <c r="AZ29" s="1262"/>
      <c r="BA29" s="1262"/>
      <c r="BB29" s="1272"/>
      <c r="BC29" s="1262"/>
      <c r="BD29" s="1280"/>
      <c r="BF29" s="1319"/>
      <c r="BG29" s="1310"/>
      <c r="BH29" s="1310"/>
      <c r="BI29" s="1311"/>
      <c r="BJ29" s="1310"/>
      <c r="BK29" s="1312"/>
      <c r="BL29" s="1271"/>
      <c r="BM29" s="1262"/>
      <c r="BN29" s="1262"/>
      <c r="BO29" s="1272"/>
      <c r="BP29" s="1262"/>
      <c r="BQ29" s="1280"/>
    </row>
    <row r="30" spans="1:69" ht="14.25" x14ac:dyDescent="0.15">
      <c r="A30" s="1317" t="s">
        <v>76</v>
      </c>
      <c r="B30" s="1307" t="s">
        <v>648</v>
      </c>
      <c r="C30" s="1307" t="s">
        <v>661</v>
      </c>
      <c r="D30" s="1308">
        <v>115</v>
      </c>
      <c r="E30" s="1307" t="s">
        <v>676</v>
      </c>
      <c r="F30" s="1308">
        <v>790</v>
      </c>
      <c r="G30" s="1271"/>
      <c r="H30" s="1262"/>
      <c r="I30" s="1311"/>
      <c r="J30" s="1311"/>
      <c r="K30" s="1311"/>
      <c r="L30" s="1311"/>
      <c r="M30" s="1271"/>
      <c r="N30" s="1262"/>
      <c r="O30" s="1262"/>
      <c r="P30" s="1272"/>
      <c r="Q30" s="1262"/>
      <c r="R30" s="1280"/>
      <c r="S30" s="1263"/>
      <c r="T30" s="1317" t="s">
        <v>76</v>
      </c>
      <c r="U30" s="1307" t="s">
        <v>648</v>
      </c>
      <c r="V30" s="1307" t="s">
        <v>661</v>
      </c>
      <c r="W30" s="1308">
        <v>115</v>
      </c>
      <c r="X30" s="1307" t="s">
        <v>676</v>
      </c>
      <c r="Y30" s="1308">
        <v>790</v>
      </c>
      <c r="Z30" s="1271"/>
      <c r="AA30" s="1262"/>
      <c r="AB30" s="1262"/>
      <c r="AC30" s="1272"/>
      <c r="AD30" s="1262"/>
      <c r="AE30" s="1280"/>
      <c r="AF30" s="1317" t="s">
        <v>76</v>
      </c>
      <c r="AG30" s="1307" t="s">
        <v>648</v>
      </c>
      <c r="AH30" s="1307" t="s">
        <v>661</v>
      </c>
      <c r="AI30" s="1308">
        <v>115</v>
      </c>
      <c r="AJ30" s="1307" t="s">
        <v>676</v>
      </c>
      <c r="AK30" s="1308">
        <v>790</v>
      </c>
      <c r="AL30" s="1271"/>
      <c r="AM30" s="1262"/>
      <c r="AN30" s="1262"/>
      <c r="AO30" s="1272"/>
      <c r="AP30" s="1262"/>
      <c r="AQ30" s="1280"/>
      <c r="AS30" s="1317" t="s">
        <v>76</v>
      </c>
      <c r="AT30" s="1307" t="s">
        <v>648</v>
      </c>
      <c r="AU30" s="1307" t="s">
        <v>661</v>
      </c>
      <c r="AV30" s="1308">
        <v>115</v>
      </c>
      <c r="AW30" s="1307" t="s">
        <v>676</v>
      </c>
      <c r="AX30" s="1308">
        <v>790</v>
      </c>
      <c r="AY30" s="1271"/>
      <c r="AZ30" s="1262"/>
      <c r="BA30" s="1262"/>
      <c r="BB30" s="1272"/>
      <c r="BC30" s="1262"/>
      <c r="BD30" s="1280"/>
      <c r="BF30" s="1317" t="s">
        <v>76</v>
      </c>
      <c r="BG30" s="1307" t="s">
        <v>648</v>
      </c>
      <c r="BH30" s="1307" t="s">
        <v>661</v>
      </c>
      <c r="BI30" s="1308">
        <v>115</v>
      </c>
      <c r="BJ30" s="1307" t="s">
        <v>676</v>
      </c>
      <c r="BK30" s="1308">
        <v>790</v>
      </c>
      <c r="BL30" s="1271"/>
      <c r="BM30" s="1262"/>
      <c r="BN30" s="1262"/>
      <c r="BO30" s="1272"/>
      <c r="BP30" s="1262"/>
      <c r="BQ30" s="1280"/>
    </row>
    <row r="31" spans="1:69" ht="15" thickBot="1" x14ac:dyDescent="0.2">
      <c r="A31" s="1321"/>
      <c r="B31" s="1322" t="s">
        <v>649</v>
      </c>
      <c r="C31" s="1322" t="s">
        <v>642</v>
      </c>
      <c r="D31" s="1323">
        <v>220</v>
      </c>
      <c r="E31" s="1322" t="s">
        <v>558</v>
      </c>
      <c r="F31" s="1323">
        <v>890</v>
      </c>
      <c r="G31" s="1294"/>
      <c r="H31" s="1296"/>
      <c r="I31" s="1357"/>
      <c r="J31" s="1357"/>
      <c r="K31" s="1357"/>
      <c r="L31" s="1357"/>
      <c r="M31" s="1294"/>
      <c r="N31" s="1296"/>
      <c r="O31" s="1296"/>
      <c r="P31" s="1297"/>
      <c r="Q31" s="1296"/>
      <c r="R31" s="1298"/>
      <c r="S31" s="1263"/>
      <c r="T31" s="1321"/>
      <c r="U31" s="1322" t="s">
        <v>649</v>
      </c>
      <c r="V31" s="1322" t="s">
        <v>642</v>
      </c>
      <c r="W31" s="1323">
        <v>220</v>
      </c>
      <c r="X31" s="1322" t="s">
        <v>558</v>
      </c>
      <c r="Y31" s="1323">
        <v>890</v>
      </c>
      <c r="Z31" s="1294"/>
      <c r="AA31" s="1296"/>
      <c r="AB31" s="1296"/>
      <c r="AC31" s="1297"/>
      <c r="AD31" s="1296"/>
      <c r="AE31" s="1298"/>
      <c r="AF31" s="1321"/>
      <c r="AG31" s="1322" t="s">
        <v>649</v>
      </c>
      <c r="AH31" s="1322" t="s">
        <v>642</v>
      </c>
      <c r="AI31" s="1323">
        <v>220</v>
      </c>
      <c r="AJ31" s="1322" t="s">
        <v>558</v>
      </c>
      <c r="AK31" s="1323">
        <v>890</v>
      </c>
      <c r="AL31" s="1294"/>
      <c r="AM31" s="1296"/>
      <c r="AN31" s="1296"/>
      <c r="AO31" s="1297"/>
      <c r="AP31" s="1296"/>
      <c r="AQ31" s="1298"/>
      <c r="AS31" s="1321"/>
      <c r="AT31" s="1322" t="s">
        <v>649</v>
      </c>
      <c r="AU31" s="1322" t="s">
        <v>642</v>
      </c>
      <c r="AV31" s="1323">
        <v>220</v>
      </c>
      <c r="AW31" s="1322" t="s">
        <v>558</v>
      </c>
      <c r="AX31" s="1323">
        <v>890</v>
      </c>
      <c r="AY31" s="1294"/>
      <c r="AZ31" s="1296"/>
      <c r="BA31" s="1296"/>
      <c r="BB31" s="1297"/>
      <c r="BC31" s="1296"/>
      <c r="BD31" s="1298"/>
      <c r="BF31" s="1321"/>
      <c r="BG31" s="1322" t="s">
        <v>649</v>
      </c>
      <c r="BH31" s="1322" t="s">
        <v>642</v>
      </c>
      <c r="BI31" s="1323">
        <v>220</v>
      </c>
      <c r="BJ31" s="1322" t="s">
        <v>558</v>
      </c>
      <c r="BK31" s="1323">
        <v>890</v>
      </c>
      <c r="BL31" s="1294"/>
      <c r="BM31" s="1296"/>
      <c r="BN31" s="1296"/>
      <c r="BO31" s="1297"/>
      <c r="BP31" s="1296"/>
      <c r="BQ31" s="1298"/>
    </row>
    <row r="32" spans="1:69" ht="18.75" customHeight="1" x14ac:dyDescent="0.15">
      <c r="A32" s="1309"/>
      <c r="B32" s="1310"/>
      <c r="C32" s="1310"/>
      <c r="D32" s="1311"/>
      <c r="E32" s="1310"/>
      <c r="F32" s="1312"/>
      <c r="G32" s="1271"/>
      <c r="H32" s="1262"/>
      <c r="I32" s="1312"/>
      <c r="J32" s="1312"/>
      <c r="K32" s="1312"/>
      <c r="L32" s="1312"/>
      <c r="M32" s="1271"/>
      <c r="N32" s="1262"/>
      <c r="O32" s="1262"/>
      <c r="P32" s="1272"/>
      <c r="Q32" s="1262"/>
      <c r="R32" s="1273"/>
      <c r="S32" s="1263"/>
      <c r="T32" s="1309"/>
      <c r="U32" s="1310"/>
      <c r="V32" s="1310"/>
      <c r="W32" s="1311"/>
      <c r="X32" s="1310"/>
      <c r="Y32" s="1312"/>
      <c r="Z32" s="1271"/>
      <c r="AA32" s="1262"/>
      <c r="AB32" s="1262"/>
      <c r="AC32" s="1272"/>
      <c r="AD32" s="1262"/>
      <c r="AE32" s="1273"/>
      <c r="AF32" s="1309"/>
      <c r="AG32" s="1310"/>
      <c r="AH32" s="1310"/>
      <c r="AI32" s="1311"/>
      <c r="AJ32" s="1310"/>
      <c r="AK32" s="1312"/>
      <c r="AL32" s="1271"/>
      <c r="AM32" s="1262"/>
      <c r="AN32" s="1262"/>
      <c r="AO32" s="1272"/>
      <c r="AP32" s="1262"/>
      <c r="AQ32" s="1273"/>
      <c r="AS32" s="1309"/>
      <c r="AT32" s="1310"/>
      <c r="AU32" s="1310"/>
      <c r="AV32" s="1311"/>
      <c r="AW32" s="1310"/>
      <c r="AX32" s="1312"/>
      <c r="AY32" s="1271"/>
      <c r="AZ32" s="1262"/>
      <c r="BA32" s="1262"/>
      <c r="BB32" s="1272"/>
      <c r="BC32" s="1262"/>
      <c r="BD32" s="1273"/>
      <c r="BF32" s="1309"/>
      <c r="BG32" s="1310"/>
      <c r="BH32" s="1310"/>
      <c r="BI32" s="1311"/>
      <c r="BJ32" s="1310"/>
      <c r="BK32" s="1312"/>
      <c r="BL32" s="1271"/>
      <c r="BM32" s="1262"/>
      <c r="BN32" s="1262"/>
      <c r="BO32" s="1272"/>
      <c r="BP32" s="1262"/>
      <c r="BQ32" s="1273"/>
    </row>
    <row r="33" spans="1:69" ht="14.25" x14ac:dyDescent="0.15">
      <c r="A33" s="1306" t="s">
        <v>430</v>
      </c>
      <c r="B33" s="1307" t="s">
        <v>650</v>
      </c>
      <c r="C33" s="1307"/>
      <c r="D33" s="1308"/>
      <c r="E33" s="1307" t="s">
        <v>634</v>
      </c>
      <c r="F33" s="1343">
        <v>455</v>
      </c>
      <c r="G33" s="1264" t="s">
        <v>430</v>
      </c>
      <c r="H33" s="1265" t="s">
        <v>650</v>
      </c>
      <c r="I33" s="1343"/>
      <c r="J33" s="1343"/>
      <c r="K33" s="1343" t="s">
        <v>561</v>
      </c>
      <c r="L33" s="1343">
        <v>755</v>
      </c>
      <c r="M33" s="1264" t="s">
        <v>430</v>
      </c>
      <c r="N33" s="1265" t="s">
        <v>650</v>
      </c>
      <c r="O33" s="1265"/>
      <c r="P33" s="1266"/>
      <c r="Q33" s="1265" t="s">
        <v>634</v>
      </c>
      <c r="R33" s="1343">
        <v>475.87299999999999</v>
      </c>
      <c r="S33" s="1263"/>
      <c r="T33" s="1306" t="s">
        <v>430</v>
      </c>
      <c r="U33" s="1307" t="s">
        <v>650</v>
      </c>
      <c r="V33" s="1307"/>
      <c r="W33" s="1308"/>
      <c r="X33" s="1307" t="s">
        <v>634</v>
      </c>
      <c r="Y33" s="1343">
        <v>616</v>
      </c>
      <c r="Z33" s="1264" t="s">
        <v>430</v>
      </c>
      <c r="AA33" s="1265" t="s">
        <v>650</v>
      </c>
      <c r="AB33" s="1265"/>
      <c r="AC33" s="1266"/>
      <c r="AD33" s="1265" t="s">
        <v>634</v>
      </c>
      <c r="AE33" s="1343">
        <v>666.82299999999998</v>
      </c>
      <c r="AF33" s="1306" t="s">
        <v>430</v>
      </c>
      <c r="AG33" s="1307" t="s">
        <v>650</v>
      </c>
      <c r="AH33" s="1307"/>
      <c r="AI33" s="1308"/>
      <c r="AJ33" s="1307" t="s">
        <v>634</v>
      </c>
      <c r="AK33" s="1343">
        <v>640</v>
      </c>
      <c r="AL33" s="1264" t="s">
        <v>430</v>
      </c>
      <c r="AM33" s="1265" t="s">
        <v>650</v>
      </c>
      <c r="AN33" s="1265"/>
      <c r="AO33" s="1266"/>
      <c r="AP33" s="1265" t="s">
        <v>634</v>
      </c>
      <c r="AQ33" s="1343">
        <v>692.02499999999998</v>
      </c>
      <c r="AS33" s="1306" t="s">
        <v>430</v>
      </c>
      <c r="AT33" s="1307" t="s">
        <v>650</v>
      </c>
      <c r="AU33" s="1307"/>
      <c r="AV33" s="1308"/>
      <c r="AW33" s="1307" t="s">
        <v>634</v>
      </c>
      <c r="AX33" s="1343">
        <v>715</v>
      </c>
      <c r="AY33" s="1264" t="s">
        <v>430</v>
      </c>
      <c r="AZ33" s="1265" t="s">
        <v>650</v>
      </c>
      <c r="BA33" s="1265"/>
      <c r="BB33" s="1266"/>
      <c r="BC33" s="1265" t="s">
        <v>634</v>
      </c>
      <c r="BD33" s="1343">
        <v>734.31100000000004</v>
      </c>
      <c r="BF33" s="1306" t="s">
        <v>430</v>
      </c>
      <c r="BG33" s="1307" t="s">
        <v>650</v>
      </c>
      <c r="BH33" s="1307"/>
      <c r="BI33" s="1308"/>
      <c r="BJ33" s="1307" t="s">
        <v>634</v>
      </c>
      <c r="BK33" s="1343">
        <v>663</v>
      </c>
      <c r="BL33" s="1264" t="s">
        <v>430</v>
      </c>
      <c r="BM33" s="1265" t="s">
        <v>650</v>
      </c>
      <c r="BN33" s="1265"/>
      <c r="BO33" s="1266"/>
      <c r="BP33" s="1265" t="s">
        <v>634</v>
      </c>
      <c r="BQ33" s="1343">
        <v>721.74300000000005</v>
      </c>
    </row>
    <row r="34" spans="1:69" ht="18.75" customHeight="1" x14ac:dyDescent="0.15">
      <c r="A34" s="1309"/>
      <c r="B34" s="1310"/>
      <c r="C34" s="1310"/>
      <c r="D34" s="1311"/>
      <c r="E34" s="1310"/>
      <c r="F34" s="1312"/>
      <c r="G34" s="1271"/>
      <c r="H34" s="1262"/>
      <c r="I34" s="1312"/>
      <c r="J34" s="1312"/>
      <c r="K34" s="1312"/>
      <c r="L34" s="1312"/>
      <c r="M34" s="1271"/>
      <c r="N34" s="1262"/>
      <c r="O34" s="1262"/>
      <c r="P34" s="1272"/>
      <c r="Q34" s="1262"/>
      <c r="R34" s="1273"/>
      <c r="S34" s="1263"/>
      <c r="T34" s="1309"/>
      <c r="U34" s="1310"/>
      <c r="V34" s="1310"/>
      <c r="W34" s="1311"/>
      <c r="X34" s="1310"/>
      <c r="Y34" s="1312"/>
      <c r="Z34" s="1271"/>
      <c r="AA34" s="1262"/>
      <c r="AB34" s="1262"/>
      <c r="AC34" s="1272"/>
      <c r="AD34" s="1262"/>
      <c r="AE34" s="1273"/>
      <c r="AF34" s="1309"/>
      <c r="AG34" s="1310"/>
      <c r="AH34" s="1310"/>
      <c r="AI34" s="1311"/>
      <c r="AJ34" s="1310"/>
      <c r="AK34" s="1312"/>
      <c r="AL34" s="1271"/>
      <c r="AM34" s="1262"/>
      <c r="AN34" s="1262"/>
      <c r="AO34" s="1272"/>
      <c r="AP34" s="1262"/>
      <c r="AQ34" s="1273"/>
      <c r="AS34" s="1309"/>
      <c r="AT34" s="1310"/>
      <c r="AU34" s="1310"/>
      <c r="AV34" s="1311"/>
      <c r="AW34" s="1310"/>
      <c r="AX34" s="1312"/>
      <c r="AY34" s="1271"/>
      <c r="AZ34" s="1262"/>
      <c r="BA34" s="1262"/>
      <c r="BB34" s="1272"/>
      <c r="BC34" s="1262"/>
      <c r="BD34" s="1273"/>
      <c r="BF34" s="1309"/>
      <c r="BG34" s="1310"/>
      <c r="BH34" s="1310"/>
      <c r="BI34" s="1311"/>
      <c r="BJ34" s="1310"/>
      <c r="BK34" s="1312"/>
      <c r="BL34" s="1271"/>
      <c r="BM34" s="1262"/>
      <c r="BN34" s="1262"/>
      <c r="BO34" s="1272"/>
      <c r="BP34" s="1262"/>
      <c r="BQ34" s="1273"/>
    </row>
    <row r="35" spans="1:69" ht="14.25" x14ac:dyDescent="0.15">
      <c r="A35" s="1306" t="s">
        <v>8</v>
      </c>
      <c r="B35" s="1307" t="s">
        <v>651</v>
      </c>
      <c r="C35" s="1307" t="s">
        <v>82</v>
      </c>
      <c r="D35" s="1308">
        <v>110</v>
      </c>
      <c r="E35" s="1307" t="s">
        <v>634</v>
      </c>
      <c r="F35" s="1308">
        <v>390</v>
      </c>
      <c r="G35" s="1264" t="s">
        <v>8</v>
      </c>
      <c r="H35" s="1265" t="s">
        <v>651</v>
      </c>
      <c r="I35" s="1307" t="s">
        <v>82</v>
      </c>
      <c r="J35" s="1308">
        <v>135</v>
      </c>
      <c r="K35" s="1307" t="s">
        <v>634</v>
      </c>
      <c r="L35" s="1308">
        <v>600</v>
      </c>
      <c r="M35" s="1264" t="s">
        <v>8</v>
      </c>
      <c r="N35" s="1265" t="s">
        <v>651</v>
      </c>
      <c r="O35" s="1265" t="s">
        <v>82</v>
      </c>
      <c r="P35" s="1266">
        <v>135</v>
      </c>
      <c r="Q35" s="1265" t="s">
        <v>634</v>
      </c>
      <c r="R35" s="1266">
        <v>409.99999999999994</v>
      </c>
      <c r="S35" s="1263"/>
      <c r="T35" s="1306" t="s">
        <v>8</v>
      </c>
      <c r="U35" s="1307" t="s">
        <v>651</v>
      </c>
      <c r="V35" s="1307" t="s">
        <v>82</v>
      </c>
      <c r="W35" s="1308">
        <v>110</v>
      </c>
      <c r="X35" s="1307" t="s">
        <v>634</v>
      </c>
      <c r="Y35" s="1308">
        <v>390</v>
      </c>
      <c r="Z35" s="1264" t="s">
        <v>8</v>
      </c>
      <c r="AA35" s="1265" t="s">
        <v>651</v>
      </c>
      <c r="AB35" s="1265" t="s">
        <v>82</v>
      </c>
      <c r="AC35" s="1266">
        <v>135</v>
      </c>
      <c r="AD35" s="1265" t="s">
        <v>634</v>
      </c>
      <c r="AE35" s="1266">
        <v>409.99999999999994</v>
      </c>
      <c r="AF35" s="1306" t="s">
        <v>8</v>
      </c>
      <c r="AG35" s="1307" t="s">
        <v>651</v>
      </c>
      <c r="AH35" s="1307" t="s">
        <v>82</v>
      </c>
      <c r="AI35" s="1308">
        <v>110</v>
      </c>
      <c r="AJ35" s="1307" t="s">
        <v>634</v>
      </c>
      <c r="AK35" s="1308">
        <v>390</v>
      </c>
      <c r="AL35" s="1264" t="s">
        <v>8</v>
      </c>
      <c r="AM35" s="1265" t="s">
        <v>651</v>
      </c>
      <c r="AN35" s="1265" t="s">
        <v>82</v>
      </c>
      <c r="AO35" s="1266">
        <v>135</v>
      </c>
      <c r="AP35" s="1265" t="s">
        <v>634</v>
      </c>
      <c r="AQ35" s="1266">
        <v>409.99999999999994</v>
      </c>
      <c r="AS35" s="1306" t="s">
        <v>8</v>
      </c>
      <c r="AT35" s="1307" t="s">
        <v>651</v>
      </c>
      <c r="AU35" s="1307" t="s">
        <v>82</v>
      </c>
      <c r="AV35" s="1308">
        <v>110</v>
      </c>
      <c r="AW35" s="1307" t="s">
        <v>634</v>
      </c>
      <c r="AX35" s="1308">
        <v>390</v>
      </c>
      <c r="AY35" s="1264" t="s">
        <v>8</v>
      </c>
      <c r="AZ35" s="1265" t="s">
        <v>651</v>
      </c>
      <c r="BA35" s="1265" t="s">
        <v>82</v>
      </c>
      <c r="BB35" s="1266">
        <v>135</v>
      </c>
      <c r="BC35" s="1265" t="s">
        <v>634</v>
      </c>
      <c r="BD35" s="1266">
        <v>409.99999999999994</v>
      </c>
      <c r="BF35" s="1306" t="s">
        <v>8</v>
      </c>
      <c r="BG35" s="1307" t="s">
        <v>651</v>
      </c>
      <c r="BH35" s="1307" t="s">
        <v>82</v>
      </c>
      <c r="BI35" s="1308">
        <v>110</v>
      </c>
      <c r="BJ35" s="1307" t="s">
        <v>634</v>
      </c>
      <c r="BK35" s="1308">
        <v>390</v>
      </c>
      <c r="BL35" s="1264" t="s">
        <v>8</v>
      </c>
      <c r="BM35" s="1265" t="s">
        <v>651</v>
      </c>
      <c r="BN35" s="1265" t="s">
        <v>82</v>
      </c>
      <c r="BO35" s="1266">
        <v>135</v>
      </c>
      <c r="BP35" s="1265" t="s">
        <v>634</v>
      </c>
      <c r="BQ35" s="1266">
        <v>409.99999999999994</v>
      </c>
    </row>
    <row r="36" spans="1:69" ht="18.75" customHeight="1" x14ac:dyDescent="0.15">
      <c r="A36" s="1309"/>
      <c r="B36" s="1310"/>
      <c r="C36" s="1310"/>
      <c r="D36" s="1311"/>
      <c r="E36" s="1310"/>
      <c r="F36" s="1312"/>
      <c r="G36" s="1271"/>
      <c r="H36" s="1262"/>
      <c r="I36" s="1312"/>
      <c r="J36" s="1312"/>
      <c r="K36" s="1312"/>
      <c r="L36" s="1312"/>
      <c r="M36" s="1271"/>
      <c r="N36" s="1262"/>
      <c r="O36" s="1262"/>
      <c r="P36" s="1272"/>
      <c r="Q36" s="1262"/>
      <c r="R36" s="1273"/>
      <c r="S36" s="1263"/>
      <c r="T36" s="1309"/>
      <c r="U36" s="1310"/>
      <c r="V36" s="1310"/>
      <c r="W36" s="1311"/>
      <c r="X36" s="1310"/>
      <c r="Y36" s="1312"/>
      <c r="Z36" s="1271"/>
      <c r="AA36" s="1262"/>
      <c r="AB36" s="1262"/>
      <c r="AC36" s="1272"/>
      <c r="AD36" s="1262"/>
      <c r="AE36" s="1273"/>
      <c r="AF36" s="1309"/>
      <c r="AG36" s="1310"/>
      <c r="AH36" s="1310"/>
      <c r="AI36" s="1311"/>
      <c r="AJ36" s="1310"/>
      <c r="AK36" s="1312"/>
      <c r="AL36" s="1271"/>
      <c r="AM36" s="1262"/>
      <c r="AN36" s="1262"/>
      <c r="AO36" s="1272"/>
      <c r="AP36" s="1262"/>
      <c r="AQ36" s="1273"/>
      <c r="AS36" s="1309"/>
      <c r="AT36" s="1310"/>
      <c r="AU36" s="1310"/>
      <c r="AV36" s="1311"/>
      <c r="AW36" s="1310"/>
      <c r="AX36" s="1312"/>
      <c r="AY36" s="1271"/>
      <c r="AZ36" s="1262"/>
      <c r="BA36" s="1262"/>
      <c r="BB36" s="1272"/>
      <c r="BC36" s="1262"/>
      <c r="BD36" s="1273"/>
      <c r="BF36" s="1309"/>
      <c r="BG36" s="1310"/>
      <c r="BH36" s="1310"/>
      <c r="BI36" s="1311"/>
      <c r="BJ36" s="1310"/>
      <c r="BK36" s="1312"/>
      <c r="BL36" s="1271"/>
      <c r="BM36" s="1262"/>
      <c r="BN36" s="1262"/>
      <c r="BO36" s="1272"/>
      <c r="BP36" s="1262"/>
      <c r="BQ36" s="1273"/>
    </row>
    <row r="37" spans="1:69" ht="14.25" x14ac:dyDescent="0.15">
      <c r="A37" s="1306" t="s">
        <v>564</v>
      </c>
      <c r="B37" s="1307" t="s">
        <v>681</v>
      </c>
      <c r="C37" s="1307" t="s">
        <v>82</v>
      </c>
      <c r="D37" s="1308">
        <v>100</v>
      </c>
      <c r="E37" s="1307" t="s">
        <v>634</v>
      </c>
      <c r="F37" s="1308">
        <v>390</v>
      </c>
      <c r="G37" s="1264" t="s">
        <v>564</v>
      </c>
      <c r="H37" s="1265" t="s">
        <v>681</v>
      </c>
      <c r="I37" s="1307" t="s">
        <v>82</v>
      </c>
      <c r="J37" s="1308">
        <v>140</v>
      </c>
      <c r="K37" s="1307" t="s">
        <v>634</v>
      </c>
      <c r="L37" s="1308">
        <v>600</v>
      </c>
      <c r="M37" s="1264" t="s">
        <v>564</v>
      </c>
      <c r="N37" s="1265" t="s">
        <v>681</v>
      </c>
      <c r="O37" s="1265" t="s">
        <v>82</v>
      </c>
      <c r="P37" s="1266">
        <v>135</v>
      </c>
      <c r="Q37" s="1265" t="s">
        <v>634</v>
      </c>
      <c r="R37" s="1266">
        <v>425</v>
      </c>
      <c r="S37" s="1263"/>
      <c r="T37" s="1306" t="s">
        <v>564</v>
      </c>
      <c r="U37" s="1307" t="s">
        <v>681</v>
      </c>
      <c r="V37" s="1307" t="s">
        <v>82</v>
      </c>
      <c r="W37" s="1308">
        <v>100</v>
      </c>
      <c r="X37" s="1307" t="s">
        <v>634</v>
      </c>
      <c r="Y37" s="1308">
        <v>390</v>
      </c>
      <c r="Z37" s="1264" t="s">
        <v>564</v>
      </c>
      <c r="AA37" s="1265" t="s">
        <v>681</v>
      </c>
      <c r="AB37" s="1265" t="s">
        <v>82</v>
      </c>
      <c r="AC37" s="1266">
        <v>135</v>
      </c>
      <c r="AD37" s="1265" t="s">
        <v>634</v>
      </c>
      <c r="AE37" s="1266">
        <v>425</v>
      </c>
      <c r="AF37" s="1306" t="s">
        <v>564</v>
      </c>
      <c r="AG37" s="1307" t="s">
        <v>681</v>
      </c>
      <c r="AH37" s="1307" t="s">
        <v>82</v>
      </c>
      <c r="AI37" s="1308">
        <v>100</v>
      </c>
      <c r="AJ37" s="1307" t="s">
        <v>634</v>
      </c>
      <c r="AK37" s="1308">
        <v>390</v>
      </c>
      <c r="AL37" s="1264" t="s">
        <v>564</v>
      </c>
      <c r="AM37" s="1265" t="s">
        <v>681</v>
      </c>
      <c r="AN37" s="1265" t="s">
        <v>82</v>
      </c>
      <c r="AO37" s="1266">
        <v>135</v>
      </c>
      <c r="AP37" s="1265" t="s">
        <v>634</v>
      </c>
      <c r="AQ37" s="1266">
        <v>425</v>
      </c>
      <c r="AS37" s="1306" t="s">
        <v>564</v>
      </c>
      <c r="AT37" s="1307" t="s">
        <v>681</v>
      </c>
      <c r="AU37" s="1307" t="s">
        <v>82</v>
      </c>
      <c r="AV37" s="1308">
        <v>100</v>
      </c>
      <c r="AW37" s="1307" t="s">
        <v>634</v>
      </c>
      <c r="AX37" s="1308">
        <v>390</v>
      </c>
      <c r="AY37" s="1264" t="s">
        <v>564</v>
      </c>
      <c r="AZ37" s="1265" t="s">
        <v>681</v>
      </c>
      <c r="BA37" s="1265" t="s">
        <v>82</v>
      </c>
      <c r="BB37" s="1266">
        <v>135</v>
      </c>
      <c r="BC37" s="1265" t="s">
        <v>634</v>
      </c>
      <c r="BD37" s="1266">
        <v>425</v>
      </c>
      <c r="BF37" s="1306" t="s">
        <v>564</v>
      </c>
      <c r="BG37" s="1307" t="s">
        <v>681</v>
      </c>
      <c r="BH37" s="1307" t="s">
        <v>82</v>
      </c>
      <c r="BI37" s="1308">
        <v>100</v>
      </c>
      <c r="BJ37" s="1307" t="s">
        <v>634</v>
      </c>
      <c r="BK37" s="1308">
        <v>390</v>
      </c>
      <c r="BL37" s="1264" t="s">
        <v>564</v>
      </c>
      <c r="BM37" s="1265" t="s">
        <v>681</v>
      </c>
      <c r="BN37" s="1265" t="s">
        <v>82</v>
      </c>
      <c r="BO37" s="1266">
        <v>135</v>
      </c>
      <c r="BP37" s="1265" t="s">
        <v>634</v>
      </c>
      <c r="BQ37" s="1266">
        <v>425</v>
      </c>
    </row>
    <row r="38" spans="1:69" ht="18.75" customHeight="1" thickBot="1" x14ac:dyDescent="0.2">
      <c r="A38" s="1309"/>
      <c r="B38" s="1310"/>
      <c r="C38" s="1310"/>
      <c r="D38" s="1311"/>
      <c r="E38" s="1310"/>
      <c r="F38" s="1312"/>
      <c r="G38" s="1271"/>
      <c r="H38" s="1262"/>
      <c r="I38" s="1312"/>
      <c r="J38" s="1312"/>
      <c r="K38" s="1312"/>
      <c r="L38" s="1312"/>
      <c r="M38" s="1271"/>
      <c r="N38" s="1262"/>
      <c r="O38" s="1262"/>
      <c r="P38" s="1272"/>
      <c r="Q38" s="1262"/>
      <c r="R38" s="1273"/>
      <c r="S38" s="1263"/>
      <c r="T38" s="1309"/>
      <c r="U38" s="1310"/>
      <c r="V38" s="1310"/>
      <c r="W38" s="1311"/>
      <c r="X38" s="1310"/>
      <c r="Y38" s="1312"/>
      <c r="Z38" s="1271"/>
      <c r="AA38" s="1262"/>
      <c r="AB38" s="1262"/>
      <c r="AC38" s="1272"/>
      <c r="AD38" s="1262"/>
      <c r="AE38" s="1273"/>
      <c r="AF38" s="1309"/>
      <c r="AG38" s="1310"/>
      <c r="AH38" s="1310"/>
      <c r="AI38" s="1311"/>
      <c r="AJ38" s="1310"/>
      <c r="AK38" s="1312"/>
      <c r="AL38" s="1271"/>
      <c r="AM38" s="1262"/>
      <c r="AN38" s="1262"/>
      <c r="AO38" s="1272"/>
      <c r="AP38" s="1262"/>
      <c r="AQ38" s="1273"/>
      <c r="AS38" s="1309"/>
      <c r="AT38" s="1310"/>
      <c r="AU38" s="1310"/>
      <c r="AV38" s="1311"/>
      <c r="AW38" s="1310"/>
      <c r="AX38" s="1312"/>
      <c r="AY38" s="1271"/>
      <c r="AZ38" s="1262"/>
      <c r="BA38" s="1262"/>
      <c r="BB38" s="1272"/>
      <c r="BC38" s="1262"/>
      <c r="BD38" s="1273"/>
      <c r="BF38" s="1309"/>
      <c r="BG38" s="1310"/>
      <c r="BH38" s="1310"/>
      <c r="BI38" s="1311"/>
      <c r="BJ38" s="1310"/>
      <c r="BK38" s="1312"/>
      <c r="BL38" s="1271"/>
      <c r="BM38" s="1262"/>
      <c r="BN38" s="1262"/>
      <c r="BO38" s="1272"/>
      <c r="BP38" s="1262"/>
      <c r="BQ38" s="1273"/>
    </row>
    <row r="39" spans="1:69" ht="14.25" x14ac:dyDescent="0.15">
      <c r="A39" s="1313" t="s">
        <v>9</v>
      </c>
      <c r="B39" s="1314" t="s">
        <v>682</v>
      </c>
      <c r="C39" s="1314" t="s">
        <v>568</v>
      </c>
      <c r="D39" s="1315">
        <v>90</v>
      </c>
      <c r="E39" s="1314" t="s">
        <v>653</v>
      </c>
      <c r="F39" s="1315">
        <v>605</v>
      </c>
      <c r="G39" s="1276" t="s">
        <v>9</v>
      </c>
      <c r="H39" s="1274" t="s">
        <v>682</v>
      </c>
      <c r="I39" s="1314" t="s">
        <v>568</v>
      </c>
      <c r="J39" s="1315">
        <v>90</v>
      </c>
      <c r="K39" s="1314" t="s">
        <v>653</v>
      </c>
      <c r="L39" s="1315">
        <v>605</v>
      </c>
      <c r="M39" s="1276" t="s">
        <v>9</v>
      </c>
      <c r="N39" s="1274" t="s">
        <v>682</v>
      </c>
      <c r="O39" s="1274" t="s">
        <v>710</v>
      </c>
      <c r="P39" s="1275">
        <v>140</v>
      </c>
      <c r="Q39" s="1274" t="s">
        <v>653</v>
      </c>
      <c r="R39" s="1277">
        <v>610</v>
      </c>
      <c r="S39" s="1263"/>
      <c r="T39" s="1313" t="s">
        <v>9</v>
      </c>
      <c r="U39" s="1314" t="s">
        <v>682</v>
      </c>
      <c r="V39" s="1314" t="s">
        <v>568</v>
      </c>
      <c r="W39" s="1315">
        <v>90</v>
      </c>
      <c r="X39" s="1314" t="s">
        <v>653</v>
      </c>
      <c r="Y39" s="1315">
        <v>585</v>
      </c>
      <c r="Z39" s="1276" t="s">
        <v>9</v>
      </c>
      <c r="AA39" s="1274" t="s">
        <v>682</v>
      </c>
      <c r="AB39" s="1274" t="s">
        <v>710</v>
      </c>
      <c r="AC39" s="1275">
        <v>140</v>
      </c>
      <c r="AD39" s="1274" t="s">
        <v>653</v>
      </c>
      <c r="AE39" s="1277">
        <v>610</v>
      </c>
      <c r="AF39" s="1313" t="s">
        <v>9</v>
      </c>
      <c r="AG39" s="1314" t="s">
        <v>682</v>
      </c>
      <c r="AH39" s="1314" t="s">
        <v>568</v>
      </c>
      <c r="AI39" s="1315">
        <v>90</v>
      </c>
      <c r="AJ39" s="1314" t="s">
        <v>653</v>
      </c>
      <c r="AK39" s="1315">
        <v>585</v>
      </c>
      <c r="AL39" s="1276" t="s">
        <v>9</v>
      </c>
      <c r="AM39" s="1274" t="s">
        <v>682</v>
      </c>
      <c r="AN39" s="1274" t="s">
        <v>710</v>
      </c>
      <c r="AO39" s="1275">
        <v>140</v>
      </c>
      <c r="AP39" s="1274" t="s">
        <v>653</v>
      </c>
      <c r="AQ39" s="1277">
        <v>610</v>
      </c>
      <c r="AS39" s="1313" t="s">
        <v>9</v>
      </c>
      <c r="AT39" s="1314" t="s">
        <v>682</v>
      </c>
      <c r="AU39" s="1314" t="s">
        <v>568</v>
      </c>
      <c r="AV39" s="1315">
        <v>90</v>
      </c>
      <c r="AW39" s="1314" t="s">
        <v>653</v>
      </c>
      <c r="AX39" s="1315">
        <v>585</v>
      </c>
      <c r="AY39" s="1276" t="s">
        <v>9</v>
      </c>
      <c r="AZ39" s="1274" t="s">
        <v>682</v>
      </c>
      <c r="BA39" s="1274" t="s">
        <v>710</v>
      </c>
      <c r="BB39" s="1275">
        <v>140</v>
      </c>
      <c r="BC39" s="1274" t="s">
        <v>653</v>
      </c>
      <c r="BD39" s="1277">
        <v>610</v>
      </c>
      <c r="BF39" s="1313" t="s">
        <v>9</v>
      </c>
      <c r="BG39" s="1314" t="s">
        <v>682</v>
      </c>
      <c r="BH39" s="1314" t="s">
        <v>568</v>
      </c>
      <c r="BI39" s="1315">
        <v>90</v>
      </c>
      <c r="BJ39" s="1314" t="s">
        <v>653</v>
      </c>
      <c r="BK39" s="1315">
        <v>585</v>
      </c>
      <c r="BL39" s="1276" t="s">
        <v>9</v>
      </c>
      <c r="BM39" s="1274" t="s">
        <v>682</v>
      </c>
      <c r="BN39" s="1274" t="s">
        <v>710</v>
      </c>
      <c r="BO39" s="1275">
        <v>140</v>
      </c>
      <c r="BP39" s="1274" t="s">
        <v>653</v>
      </c>
      <c r="BQ39" s="1277">
        <v>610</v>
      </c>
    </row>
    <row r="40" spans="1:69" ht="14.25" x14ac:dyDescent="0.15">
      <c r="A40" s="1317"/>
      <c r="B40" s="1307" t="s">
        <v>674</v>
      </c>
      <c r="C40" s="1307" t="s">
        <v>683</v>
      </c>
      <c r="D40" s="1308">
        <v>100</v>
      </c>
      <c r="E40" s="1307" t="s">
        <v>576</v>
      </c>
      <c r="F40" s="1308">
        <v>735</v>
      </c>
      <c r="G40" s="1308"/>
      <c r="H40" s="1308"/>
      <c r="I40" s="1307" t="s">
        <v>683</v>
      </c>
      <c r="J40" s="1308">
        <v>100</v>
      </c>
      <c r="K40" s="1307" t="s">
        <v>576</v>
      </c>
      <c r="L40" s="1308">
        <v>735</v>
      </c>
      <c r="M40" s="1264"/>
      <c r="N40" s="1265"/>
      <c r="O40" s="1265" t="s">
        <v>572</v>
      </c>
      <c r="P40" s="1266">
        <v>250</v>
      </c>
      <c r="Q40" s="1265" t="s">
        <v>576</v>
      </c>
      <c r="R40" s="1278">
        <v>710</v>
      </c>
      <c r="S40" s="1263"/>
      <c r="T40" s="1317"/>
      <c r="U40" s="1307" t="s">
        <v>674</v>
      </c>
      <c r="V40" s="1307" t="s">
        <v>683</v>
      </c>
      <c r="W40" s="1308">
        <v>100</v>
      </c>
      <c r="X40" s="1307" t="s">
        <v>654</v>
      </c>
      <c r="Y40" s="1308">
        <v>685</v>
      </c>
      <c r="Z40" s="1264"/>
      <c r="AA40" s="1265"/>
      <c r="AB40" s="1265" t="s">
        <v>572</v>
      </c>
      <c r="AC40" s="1266">
        <v>250</v>
      </c>
      <c r="AD40" s="1265" t="s">
        <v>576</v>
      </c>
      <c r="AE40" s="1278">
        <v>710</v>
      </c>
      <c r="AF40" s="1317"/>
      <c r="AG40" s="1307" t="s">
        <v>674</v>
      </c>
      <c r="AH40" s="1307" t="s">
        <v>683</v>
      </c>
      <c r="AI40" s="1308">
        <v>100</v>
      </c>
      <c r="AJ40" s="1307" t="s">
        <v>654</v>
      </c>
      <c r="AK40" s="1308">
        <v>685</v>
      </c>
      <c r="AL40" s="1264"/>
      <c r="AM40" s="1265"/>
      <c r="AN40" s="1265" t="s">
        <v>572</v>
      </c>
      <c r="AO40" s="1266">
        <v>250</v>
      </c>
      <c r="AP40" s="1265" t="s">
        <v>576</v>
      </c>
      <c r="AQ40" s="1278">
        <v>710</v>
      </c>
      <c r="AS40" s="1317"/>
      <c r="AT40" s="1307" t="s">
        <v>674</v>
      </c>
      <c r="AU40" s="1307" t="s">
        <v>683</v>
      </c>
      <c r="AV40" s="1308">
        <v>100</v>
      </c>
      <c r="AW40" s="1307" t="s">
        <v>654</v>
      </c>
      <c r="AX40" s="1308">
        <v>685</v>
      </c>
      <c r="AY40" s="1264"/>
      <c r="AZ40" s="1265"/>
      <c r="BA40" s="1265" t="s">
        <v>572</v>
      </c>
      <c r="BB40" s="1266">
        <v>250</v>
      </c>
      <c r="BC40" s="1265" t="s">
        <v>576</v>
      </c>
      <c r="BD40" s="1278">
        <v>710</v>
      </c>
      <c r="BF40" s="1317"/>
      <c r="BG40" s="1307" t="s">
        <v>674</v>
      </c>
      <c r="BH40" s="1307" t="s">
        <v>683</v>
      </c>
      <c r="BI40" s="1308">
        <v>100</v>
      </c>
      <c r="BJ40" s="1307" t="s">
        <v>654</v>
      </c>
      <c r="BK40" s="1308">
        <v>685</v>
      </c>
      <c r="BL40" s="1264"/>
      <c r="BM40" s="1265"/>
      <c r="BN40" s="1265" t="s">
        <v>572</v>
      </c>
      <c r="BO40" s="1266">
        <v>250</v>
      </c>
      <c r="BP40" s="1265" t="s">
        <v>576</v>
      </c>
      <c r="BQ40" s="1278">
        <v>710</v>
      </c>
    </row>
    <row r="41" spans="1:69" ht="14.25" x14ac:dyDescent="0.15">
      <c r="A41" s="1317"/>
      <c r="B41" s="1307"/>
      <c r="C41" s="1307" t="s">
        <v>684</v>
      </c>
      <c r="D41" s="1308">
        <v>125</v>
      </c>
      <c r="E41" s="1307"/>
      <c r="F41" s="1324"/>
      <c r="G41" s="1324"/>
      <c r="H41" s="1324"/>
      <c r="I41" s="1307" t="s">
        <v>684</v>
      </c>
      <c r="J41" s="1308">
        <v>125</v>
      </c>
      <c r="K41" s="1307"/>
      <c r="L41" s="1312"/>
      <c r="M41" s="1271"/>
      <c r="N41" s="1271"/>
      <c r="O41" s="1271"/>
      <c r="P41" s="1271"/>
      <c r="Q41" s="1271"/>
      <c r="R41" s="1293"/>
      <c r="S41" s="1263"/>
      <c r="T41" s="1317"/>
      <c r="U41" s="1307"/>
      <c r="V41" s="1307" t="s">
        <v>684</v>
      </c>
      <c r="W41" s="1308">
        <v>125</v>
      </c>
      <c r="X41" s="1307" t="s">
        <v>575</v>
      </c>
      <c r="Y41" s="1308">
        <v>715</v>
      </c>
      <c r="Z41" s="1271"/>
      <c r="AA41" s="1271"/>
      <c r="AB41" s="1271"/>
      <c r="AC41" s="1271"/>
      <c r="AD41" s="1271"/>
      <c r="AE41" s="1293"/>
      <c r="AF41" s="1317"/>
      <c r="AG41" s="1307"/>
      <c r="AH41" s="1307" t="s">
        <v>684</v>
      </c>
      <c r="AI41" s="1308">
        <v>125</v>
      </c>
      <c r="AJ41" s="1307" t="s">
        <v>575</v>
      </c>
      <c r="AK41" s="1308">
        <v>715</v>
      </c>
      <c r="AL41" s="1271"/>
      <c r="AM41" s="1271"/>
      <c r="AN41" s="1271"/>
      <c r="AO41" s="1271"/>
      <c r="AP41" s="1271"/>
      <c r="AQ41" s="1293"/>
      <c r="AS41" s="1317"/>
      <c r="AT41" s="1307"/>
      <c r="AU41" s="1307" t="s">
        <v>684</v>
      </c>
      <c r="AV41" s="1308">
        <v>125</v>
      </c>
      <c r="AW41" s="1307" t="s">
        <v>575</v>
      </c>
      <c r="AX41" s="1308">
        <v>715</v>
      </c>
      <c r="AY41" s="1271"/>
      <c r="AZ41" s="1271"/>
      <c r="BA41" s="1271"/>
      <c r="BB41" s="1271"/>
      <c r="BC41" s="1271"/>
      <c r="BD41" s="1293"/>
      <c r="BF41" s="1317"/>
      <c r="BG41" s="1307"/>
      <c r="BH41" s="1307" t="s">
        <v>684</v>
      </c>
      <c r="BI41" s="1308">
        <v>125</v>
      </c>
      <c r="BJ41" s="1307" t="s">
        <v>575</v>
      </c>
      <c r="BK41" s="1308">
        <v>715</v>
      </c>
      <c r="BL41" s="1271"/>
      <c r="BM41" s="1271"/>
      <c r="BN41" s="1271"/>
      <c r="BO41" s="1271"/>
      <c r="BP41" s="1271"/>
      <c r="BQ41" s="1293"/>
    </row>
    <row r="42" spans="1:69" ht="14.25" x14ac:dyDescent="0.15">
      <c r="A42" s="1317"/>
      <c r="B42" s="1307"/>
      <c r="C42" s="1307" t="s">
        <v>685</v>
      </c>
      <c r="D42" s="1308">
        <v>190</v>
      </c>
      <c r="E42" s="1307"/>
      <c r="F42" s="1324"/>
      <c r="G42" s="1324"/>
      <c r="H42" s="1324"/>
      <c r="I42" s="1307" t="s">
        <v>685</v>
      </c>
      <c r="J42" s="1308">
        <v>190</v>
      </c>
      <c r="K42" s="1307"/>
      <c r="L42" s="1312"/>
      <c r="M42" s="1271"/>
      <c r="N42" s="1271"/>
      <c r="O42" s="1271"/>
      <c r="P42" s="1271"/>
      <c r="Q42" s="1271"/>
      <c r="R42" s="1293"/>
      <c r="S42" s="1263"/>
      <c r="T42" s="1317"/>
      <c r="U42" s="1307"/>
      <c r="V42" s="1307" t="s">
        <v>685</v>
      </c>
      <c r="W42" s="1308">
        <v>190</v>
      </c>
      <c r="X42" s="1307"/>
      <c r="Y42" s="1324"/>
      <c r="Z42" s="1271"/>
      <c r="AA42" s="1271"/>
      <c r="AB42" s="1271"/>
      <c r="AC42" s="1271"/>
      <c r="AD42" s="1271"/>
      <c r="AE42" s="1293"/>
      <c r="AF42" s="1317"/>
      <c r="AG42" s="1307"/>
      <c r="AH42" s="1307" t="s">
        <v>685</v>
      </c>
      <c r="AI42" s="1308">
        <v>190</v>
      </c>
      <c r="AJ42" s="1307"/>
      <c r="AK42" s="1324"/>
      <c r="AL42" s="1271"/>
      <c r="AM42" s="1271"/>
      <c r="AN42" s="1271"/>
      <c r="AO42" s="1271"/>
      <c r="AP42" s="1271"/>
      <c r="AQ42" s="1293"/>
      <c r="AS42" s="1317"/>
      <c r="AT42" s="1307"/>
      <c r="AU42" s="1307" t="s">
        <v>685</v>
      </c>
      <c r="AV42" s="1308">
        <v>190</v>
      </c>
      <c r="AW42" s="1307"/>
      <c r="AX42" s="1324"/>
      <c r="AY42" s="1271"/>
      <c r="AZ42" s="1271"/>
      <c r="BA42" s="1271"/>
      <c r="BB42" s="1271"/>
      <c r="BC42" s="1271"/>
      <c r="BD42" s="1293"/>
      <c r="BF42" s="1317"/>
      <c r="BG42" s="1307"/>
      <c r="BH42" s="1307" t="s">
        <v>685</v>
      </c>
      <c r="BI42" s="1308">
        <v>190</v>
      </c>
      <c r="BJ42" s="1307"/>
      <c r="BK42" s="1324"/>
      <c r="BL42" s="1271"/>
      <c r="BM42" s="1271"/>
      <c r="BN42" s="1271"/>
      <c r="BO42" s="1271"/>
      <c r="BP42" s="1271"/>
      <c r="BQ42" s="1293"/>
    </row>
    <row r="43" spans="1:69" ht="14.25" x14ac:dyDescent="0.15">
      <c r="A43" s="1317"/>
      <c r="B43" s="1307"/>
      <c r="C43" s="1307" t="s">
        <v>572</v>
      </c>
      <c r="D43" s="1308">
        <v>225</v>
      </c>
      <c r="E43" s="1307"/>
      <c r="F43" s="1324"/>
      <c r="G43" s="1324"/>
      <c r="H43" s="1324"/>
      <c r="I43" s="1307" t="s">
        <v>572</v>
      </c>
      <c r="J43" s="1308">
        <v>225</v>
      </c>
      <c r="K43" s="1307"/>
      <c r="L43" s="1312"/>
      <c r="M43" s="1271"/>
      <c r="N43" s="1271"/>
      <c r="O43" s="1271"/>
      <c r="P43" s="1271"/>
      <c r="Q43" s="1271"/>
      <c r="R43" s="1293"/>
      <c r="S43" s="1263"/>
      <c r="T43" s="1317"/>
      <c r="U43" s="1307"/>
      <c r="V43" s="1307" t="s">
        <v>572</v>
      </c>
      <c r="W43" s="1308">
        <v>225</v>
      </c>
      <c r="X43" s="1307"/>
      <c r="Y43" s="1324"/>
      <c r="Z43" s="1271"/>
      <c r="AA43" s="1271"/>
      <c r="AB43" s="1271"/>
      <c r="AC43" s="1271"/>
      <c r="AD43" s="1271"/>
      <c r="AE43" s="1293"/>
      <c r="AF43" s="1317"/>
      <c r="AG43" s="1307"/>
      <c r="AH43" s="1307" t="s">
        <v>572</v>
      </c>
      <c r="AI43" s="1308">
        <v>225</v>
      </c>
      <c r="AJ43" s="1307"/>
      <c r="AK43" s="1324"/>
      <c r="AL43" s="1271"/>
      <c r="AM43" s="1271"/>
      <c r="AN43" s="1271"/>
      <c r="AO43" s="1271"/>
      <c r="AP43" s="1271"/>
      <c r="AQ43" s="1293"/>
      <c r="AS43" s="1317"/>
      <c r="AT43" s="1307"/>
      <c r="AU43" s="1307" t="s">
        <v>572</v>
      </c>
      <c r="AV43" s="1308">
        <v>225</v>
      </c>
      <c r="AW43" s="1307"/>
      <c r="AX43" s="1324"/>
      <c r="AY43" s="1271"/>
      <c r="AZ43" s="1271"/>
      <c r="BA43" s="1271"/>
      <c r="BB43" s="1271"/>
      <c r="BC43" s="1271"/>
      <c r="BD43" s="1293"/>
      <c r="BF43" s="1317"/>
      <c r="BG43" s="1307"/>
      <c r="BH43" s="1307" t="s">
        <v>572</v>
      </c>
      <c r="BI43" s="1308">
        <v>225</v>
      </c>
      <c r="BJ43" s="1307"/>
      <c r="BK43" s="1324"/>
      <c r="BL43" s="1271"/>
      <c r="BM43" s="1271"/>
      <c r="BN43" s="1271"/>
      <c r="BO43" s="1271"/>
      <c r="BP43" s="1271"/>
      <c r="BQ43" s="1293"/>
    </row>
    <row r="44" spans="1:69" ht="14.25" x14ac:dyDescent="0.15">
      <c r="A44" s="1319"/>
      <c r="B44" s="1310"/>
      <c r="C44" s="1327"/>
      <c r="D44" s="1311"/>
      <c r="E44" s="1310"/>
      <c r="F44" s="1312"/>
      <c r="G44" s="1312"/>
      <c r="H44" s="1312"/>
      <c r="I44" s="1327"/>
      <c r="J44" s="1312"/>
      <c r="K44" s="1310"/>
      <c r="L44" s="1324"/>
      <c r="M44" s="1271"/>
      <c r="N44" s="1271"/>
      <c r="O44" s="1271"/>
      <c r="P44" s="1271"/>
      <c r="Q44" s="1271"/>
      <c r="R44" s="1293"/>
      <c r="S44" s="1263"/>
      <c r="T44" s="1319"/>
      <c r="U44" s="1310"/>
      <c r="V44" s="1327"/>
      <c r="W44" s="1311"/>
      <c r="X44" s="1310"/>
      <c r="Y44" s="1312"/>
      <c r="Z44" s="1271"/>
      <c r="AA44" s="1271"/>
      <c r="AB44" s="1271"/>
      <c r="AC44" s="1271"/>
      <c r="AD44" s="1271"/>
      <c r="AE44" s="1293"/>
      <c r="AF44" s="1319"/>
      <c r="AG44" s="1310"/>
      <c r="AH44" s="1327"/>
      <c r="AI44" s="1311"/>
      <c r="AJ44" s="1310"/>
      <c r="AK44" s="1312"/>
      <c r="AL44" s="1271"/>
      <c r="AM44" s="1271"/>
      <c r="AN44" s="1271"/>
      <c r="AO44" s="1271"/>
      <c r="AP44" s="1271"/>
      <c r="AQ44" s="1293"/>
      <c r="AS44" s="1319"/>
      <c r="AT44" s="1310"/>
      <c r="AU44" s="1327"/>
      <c r="AV44" s="1311"/>
      <c r="AW44" s="1310"/>
      <c r="AX44" s="1312"/>
      <c r="AY44" s="1271"/>
      <c r="AZ44" s="1271"/>
      <c r="BA44" s="1271"/>
      <c r="BB44" s="1271"/>
      <c r="BC44" s="1271"/>
      <c r="BD44" s="1293"/>
      <c r="BF44" s="1319"/>
      <c r="BG44" s="1310"/>
      <c r="BH44" s="1327"/>
      <c r="BI44" s="1311"/>
      <c r="BJ44" s="1310"/>
      <c r="BK44" s="1312"/>
      <c r="BL44" s="1271"/>
      <c r="BM44" s="1271"/>
      <c r="BN44" s="1271"/>
      <c r="BO44" s="1271"/>
      <c r="BP44" s="1271"/>
      <c r="BQ44" s="1293"/>
    </row>
    <row r="45" spans="1:69" ht="14.25" x14ac:dyDescent="0.15">
      <c r="A45" s="1317" t="s">
        <v>11</v>
      </c>
      <c r="B45" s="1307" t="s">
        <v>652</v>
      </c>
      <c r="C45" s="1307" t="s">
        <v>568</v>
      </c>
      <c r="D45" s="1308">
        <v>80</v>
      </c>
      <c r="E45" s="1307" t="s">
        <v>653</v>
      </c>
      <c r="F45" s="1308">
        <v>575</v>
      </c>
      <c r="G45" s="1308"/>
      <c r="H45" s="1308"/>
      <c r="I45" s="1307" t="s">
        <v>568</v>
      </c>
      <c r="J45" s="1308">
        <v>80</v>
      </c>
      <c r="K45" s="1361" t="s">
        <v>653</v>
      </c>
      <c r="L45" s="1308">
        <v>575</v>
      </c>
      <c r="M45" s="1271"/>
      <c r="N45" s="1262"/>
      <c r="O45" s="1262"/>
      <c r="P45" s="1272"/>
      <c r="Q45" s="1262"/>
      <c r="R45" s="1280"/>
      <c r="S45" s="1263"/>
      <c r="T45" s="1317" t="s">
        <v>11</v>
      </c>
      <c r="U45" s="1307" t="s">
        <v>652</v>
      </c>
      <c r="V45" s="1307" t="s">
        <v>568</v>
      </c>
      <c r="W45" s="1308">
        <v>80</v>
      </c>
      <c r="X45" s="1307" t="s">
        <v>653</v>
      </c>
      <c r="Y45" s="1308">
        <v>575</v>
      </c>
      <c r="Z45" s="1271"/>
      <c r="AA45" s="1262"/>
      <c r="AB45" s="1262"/>
      <c r="AC45" s="1272"/>
      <c r="AD45" s="1262"/>
      <c r="AE45" s="1280"/>
      <c r="AF45" s="1317" t="s">
        <v>11</v>
      </c>
      <c r="AG45" s="1307" t="s">
        <v>652</v>
      </c>
      <c r="AH45" s="1307" t="s">
        <v>568</v>
      </c>
      <c r="AI45" s="1308">
        <v>80</v>
      </c>
      <c r="AJ45" s="1307" t="s">
        <v>653</v>
      </c>
      <c r="AK45" s="1308">
        <v>575</v>
      </c>
      <c r="AL45" s="1271"/>
      <c r="AM45" s="1262"/>
      <c r="AN45" s="1262"/>
      <c r="AO45" s="1272"/>
      <c r="AP45" s="1262"/>
      <c r="AQ45" s="1280"/>
      <c r="AS45" s="1317" t="s">
        <v>11</v>
      </c>
      <c r="AT45" s="1307" t="s">
        <v>652</v>
      </c>
      <c r="AU45" s="1307" t="s">
        <v>568</v>
      </c>
      <c r="AV45" s="1308">
        <v>80</v>
      </c>
      <c r="AW45" s="1307" t="s">
        <v>653</v>
      </c>
      <c r="AX45" s="1308">
        <v>575</v>
      </c>
      <c r="AY45" s="1271"/>
      <c r="AZ45" s="1262"/>
      <c r="BA45" s="1262"/>
      <c r="BB45" s="1272"/>
      <c r="BC45" s="1262"/>
      <c r="BD45" s="1280"/>
      <c r="BF45" s="1317" t="s">
        <v>11</v>
      </c>
      <c r="BG45" s="1307" t="s">
        <v>652</v>
      </c>
      <c r="BH45" s="1307" t="s">
        <v>568</v>
      </c>
      <c r="BI45" s="1308">
        <v>80</v>
      </c>
      <c r="BJ45" s="1307" t="s">
        <v>653</v>
      </c>
      <c r="BK45" s="1308">
        <v>575</v>
      </c>
      <c r="BL45" s="1271"/>
      <c r="BM45" s="1262"/>
      <c r="BN45" s="1262"/>
      <c r="BO45" s="1272"/>
      <c r="BP45" s="1262"/>
      <c r="BQ45" s="1280"/>
    </row>
    <row r="46" spans="1:69" ht="14.25" x14ac:dyDescent="0.15">
      <c r="A46" s="1317"/>
      <c r="B46" s="1307" t="s">
        <v>686</v>
      </c>
      <c r="C46" s="1307" t="s">
        <v>683</v>
      </c>
      <c r="D46" s="1308">
        <v>95</v>
      </c>
      <c r="E46" s="1307" t="s">
        <v>654</v>
      </c>
      <c r="F46" s="1308">
        <v>670</v>
      </c>
      <c r="G46" s="1308"/>
      <c r="H46" s="1308"/>
      <c r="I46" s="1307" t="s">
        <v>683</v>
      </c>
      <c r="J46" s="1308">
        <v>95</v>
      </c>
      <c r="K46" s="1361" t="s">
        <v>654</v>
      </c>
      <c r="L46" s="1308">
        <v>670</v>
      </c>
      <c r="M46" s="1271"/>
      <c r="N46" s="1262"/>
      <c r="O46" s="1262"/>
      <c r="P46" s="1272"/>
      <c r="Q46" s="1262"/>
      <c r="R46" s="1280"/>
      <c r="S46" s="1263"/>
      <c r="T46" s="1317"/>
      <c r="U46" s="1307" t="s">
        <v>686</v>
      </c>
      <c r="V46" s="1307" t="s">
        <v>683</v>
      </c>
      <c r="W46" s="1308">
        <v>95</v>
      </c>
      <c r="X46" s="1307" t="s">
        <v>654</v>
      </c>
      <c r="Y46" s="1308">
        <v>670</v>
      </c>
      <c r="Z46" s="1271"/>
      <c r="AA46" s="1262"/>
      <c r="AB46" s="1262"/>
      <c r="AC46" s="1272"/>
      <c r="AD46" s="1262"/>
      <c r="AE46" s="1280"/>
      <c r="AF46" s="1317"/>
      <c r="AG46" s="1307" t="s">
        <v>686</v>
      </c>
      <c r="AH46" s="1307" t="s">
        <v>683</v>
      </c>
      <c r="AI46" s="1308">
        <v>95</v>
      </c>
      <c r="AJ46" s="1307" t="s">
        <v>654</v>
      </c>
      <c r="AK46" s="1308">
        <v>670</v>
      </c>
      <c r="AL46" s="1271"/>
      <c r="AM46" s="1262"/>
      <c r="AN46" s="1262"/>
      <c r="AO46" s="1272"/>
      <c r="AP46" s="1262"/>
      <c r="AQ46" s="1280"/>
      <c r="AS46" s="1317"/>
      <c r="AT46" s="1307" t="s">
        <v>686</v>
      </c>
      <c r="AU46" s="1307" t="s">
        <v>683</v>
      </c>
      <c r="AV46" s="1308">
        <v>95</v>
      </c>
      <c r="AW46" s="1307" t="s">
        <v>654</v>
      </c>
      <c r="AX46" s="1308">
        <v>670</v>
      </c>
      <c r="AY46" s="1271"/>
      <c r="AZ46" s="1262"/>
      <c r="BA46" s="1262"/>
      <c r="BB46" s="1272"/>
      <c r="BC46" s="1262"/>
      <c r="BD46" s="1280"/>
      <c r="BF46" s="1317"/>
      <c r="BG46" s="1307" t="s">
        <v>686</v>
      </c>
      <c r="BH46" s="1307" t="s">
        <v>683</v>
      </c>
      <c r="BI46" s="1308">
        <v>95</v>
      </c>
      <c r="BJ46" s="1307" t="s">
        <v>654</v>
      </c>
      <c r="BK46" s="1308">
        <v>670</v>
      </c>
      <c r="BL46" s="1271"/>
      <c r="BM46" s="1262"/>
      <c r="BN46" s="1262"/>
      <c r="BO46" s="1272"/>
      <c r="BP46" s="1262"/>
      <c r="BQ46" s="1280"/>
    </row>
    <row r="47" spans="1:69" ht="14.25" x14ac:dyDescent="0.15">
      <c r="A47" s="1317"/>
      <c r="B47" s="1307" t="s">
        <v>687</v>
      </c>
      <c r="C47" s="1307" t="s">
        <v>684</v>
      </c>
      <c r="D47" s="1308">
        <v>120</v>
      </c>
      <c r="E47" s="1307" t="s">
        <v>575</v>
      </c>
      <c r="F47" s="1308">
        <v>700</v>
      </c>
      <c r="G47" s="1308"/>
      <c r="H47" s="1308"/>
      <c r="I47" s="1307" t="s">
        <v>684</v>
      </c>
      <c r="J47" s="1308">
        <v>120</v>
      </c>
      <c r="K47" s="1361" t="s">
        <v>728</v>
      </c>
      <c r="L47" s="1308">
        <v>700</v>
      </c>
      <c r="M47" s="1271"/>
      <c r="N47" s="1262"/>
      <c r="O47" s="1262"/>
      <c r="P47" s="1272"/>
      <c r="Q47" s="1262"/>
      <c r="R47" s="1280"/>
      <c r="S47" s="1263"/>
      <c r="T47" s="1317"/>
      <c r="U47" s="1307" t="s">
        <v>687</v>
      </c>
      <c r="V47" s="1307" t="s">
        <v>684</v>
      </c>
      <c r="W47" s="1308">
        <v>120</v>
      </c>
      <c r="X47" s="1307" t="s">
        <v>575</v>
      </c>
      <c r="Y47" s="1308">
        <v>700</v>
      </c>
      <c r="Z47" s="1271"/>
      <c r="AA47" s="1262"/>
      <c r="AB47" s="1262"/>
      <c r="AC47" s="1272"/>
      <c r="AD47" s="1262"/>
      <c r="AE47" s="1280"/>
      <c r="AF47" s="1317"/>
      <c r="AG47" s="1307" t="s">
        <v>687</v>
      </c>
      <c r="AH47" s="1307" t="s">
        <v>684</v>
      </c>
      <c r="AI47" s="1308">
        <v>120</v>
      </c>
      <c r="AJ47" s="1307" t="s">
        <v>575</v>
      </c>
      <c r="AK47" s="1308">
        <v>700</v>
      </c>
      <c r="AL47" s="1271"/>
      <c r="AM47" s="1262"/>
      <c r="AN47" s="1262"/>
      <c r="AO47" s="1272"/>
      <c r="AP47" s="1262"/>
      <c r="AQ47" s="1280"/>
      <c r="AS47" s="1317"/>
      <c r="AT47" s="1307" t="s">
        <v>687</v>
      </c>
      <c r="AU47" s="1307" t="s">
        <v>684</v>
      </c>
      <c r="AV47" s="1308">
        <v>120</v>
      </c>
      <c r="AW47" s="1307" t="s">
        <v>575</v>
      </c>
      <c r="AX47" s="1308">
        <v>700</v>
      </c>
      <c r="AY47" s="1271"/>
      <c r="AZ47" s="1262"/>
      <c r="BA47" s="1262"/>
      <c r="BB47" s="1272"/>
      <c r="BC47" s="1262"/>
      <c r="BD47" s="1280"/>
      <c r="BF47" s="1317"/>
      <c r="BG47" s="1307" t="s">
        <v>687</v>
      </c>
      <c r="BH47" s="1307" t="s">
        <v>684</v>
      </c>
      <c r="BI47" s="1308">
        <v>120</v>
      </c>
      <c r="BJ47" s="1307" t="s">
        <v>575</v>
      </c>
      <c r="BK47" s="1308">
        <v>700</v>
      </c>
      <c r="BL47" s="1271"/>
      <c r="BM47" s="1262"/>
      <c r="BN47" s="1262"/>
      <c r="BO47" s="1272"/>
      <c r="BP47" s="1262"/>
      <c r="BQ47" s="1280"/>
    </row>
    <row r="48" spans="1:69" ht="14.25" x14ac:dyDescent="0.15">
      <c r="A48" s="1317"/>
      <c r="B48" s="1307"/>
      <c r="C48" s="1307" t="s">
        <v>685</v>
      </c>
      <c r="D48" s="1308">
        <v>175</v>
      </c>
      <c r="E48" s="1307"/>
      <c r="F48" s="1324"/>
      <c r="G48" s="1324"/>
      <c r="H48" s="1324"/>
      <c r="I48" s="1307" t="s">
        <v>685</v>
      </c>
      <c r="J48" s="1308">
        <v>175</v>
      </c>
      <c r="K48" s="1312"/>
      <c r="L48" s="1312"/>
      <c r="M48" s="1271"/>
      <c r="N48" s="1262"/>
      <c r="O48" s="1262"/>
      <c r="P48" s="1272"/>
      <c r="Q48" s="1262"/>
      <c r="R48" s="1280"/>
      <c r="S48" s="1263"/>
      <c r="T48" s="1317"/>
      <c r="U48" s="1307"/>
      <c r="V48" s="1307" t="s">
        <v>685</v>
      </c>
      <c r="W48" s="1308">
        <v>175</v>
      </c>
      <c r="X48" s="1307"/>
      <c r="Y48" s="1324"/>
      <c r="Z48" s="1271"/>
      <c r="AA48" s="1262"/>
      <c r="AB48" s="1262"/>
      <c r="AC48" s="1272"/>
      <c r="AD48" s="1262"/>
      <c r="AE48" s="1280"/>
      <c r="AF48" s="1317"/>
      <c r="AG48" s="1307"/>
      <c r="AH48" s="1307" t="s">
        <v>685</v>
      </c>
      <c r="AI48" s="1308">
        <v>175</v>
      </c>
      <c r="AJ48" s="1307"/>
      <c r="AK48" s="1324"/>
      <c r="AL48" s="1271"/>
      <c r="AM48" s="1262"/>
      <c r="AN48" s="1262"/>
      <c r="AO48" s="1272"/>
      <c r="AP48" s="1262"/>
      <c r="AQ48" s="1280"/>
      <c r="AS48" s="1317"/>
      <c r="AT48" s="1307"/>
      <c r="AU48" s="1307" t="s">
        <v>685</v>
      </c>
      <c r="AV48" s="1308">
        <v>175</v>
      </c>
      <c r="AW48" s="1307"/>
      <c r="AX48" s="1324"/>
      <c r="AY48" s="1271"/>
      <c r="AZ48" s="1262"/>
      <c r="BA48" s="1262"/>
      <c r="BB48" s="1272"/>
      <c r="BC48" s="1262"/>
      <c r="BD48" s="1280"/>
      <c r="BF48" s="1317"/>
      <c r="BG48" s="1307"/>
      <c r="BH48" s="1307" t="s">
        <v>685</v>
      </c>
      <c r="BI48" s="1308">
        <v>175</v>
      </c>
      <c r="BJ48" s="1307"/>
      <c r="BK48" s="1324"/>
      <c r="BL48" s="1271"/>
      <c r="BM48" s="1262"/>
      <c r="BN48" s="1262"/>
      <c r="BO48" s="1272"/>
      <c r="BP48" s="1262"/>
      <c r="BQ48" s="1280"/>
    </row>
    <row r="49" spans="1:69" ht="15" thickBot="1" x14ac:dyDescent="0.2">
      <c r="A49" s="1321"/>
      <c r="B49" s="1322"/>
      <c r="C49" s="1322" t="s">
        <v>572</v>
      </c>
      <c r="D49" s="1323">
        <v>210</v>
      </c>
      <c r="E49" s="1322"/>
      <c r="F49" s="1326"/>
      <c r="G49" s="1326"/>
      <c r="H49" s="1326"/>
      <c r="I49" s="1322" t="s">
        <v>572</v>
      </c>
      <c r="J49" s="1323">
        <v>210</v>
      </c>
      <c r="K49" s="1358"/>
      <c r="L49" s="1358"/>
      <c r="M49" s="1294"/>
      <c r="N49" s="1296"/>
      <c r="O49" s="1296"/>
      <c r="P49" s="1297"/>
      <c r="Q49" s="1296"/>
      <c r="R49" s="1298"/>
      <c r="S49" s="1263"/>
      <c r="T49" s="1321"/>
      <c r="U49" s="1322"/>
      <c r="V49" s="1322" t="s">
        <v>572</v>
      </c>
      <c r="W49" s="1323">
        <v>210</v>
      </c>
      <c r="X49" s="1322"/>
      <c r="Y49" s="1326"/>
      <c r="Z49" s="1294"/>
      <c r="AA49" s="1296"/>
      <c r="AB49" s="1296"/>
      <c r="AC49" s="1297"/>
      <c r="AD49" s="1296"/>
      <c r="AE49" s="1298"/>
      <c r="AF49" s="1321"/>
      <c r="AG49" s="1322"/>
      <c r="AH49" s="1322" t="s">
        <v>572</v>
      </c>
      <c r="AI49" s="1323">
        <v>210</v>
      </c>
      <c r="AJ49" s="1322"/>
      <c r="AK49" s="1326"/>
      <c r="AL49" s="1294"/>
      <c r="AM49" s="1296"/>
      <c r="AN49" s="1296"/>
      <c r="AO49" s="1297"/>
      <c r="AP49" s="1296"/>
      <c r="AQ49" s="1298"/>
      <c r="AS49" s="1321"/>
      <c r="AT49" s="1322"/>
      <c r="AU49" s="1322" t="s">
        <v>572</v>
      </c>
      <c r="AV49" s="1323">
        <v>210</v>
      </c>
      <c r="AW49" s="1322"/>
      <c r="AX49" s="1326"/>
      <c r="AY49" s="1294"/>
      <c r="AZ49" s="1296"/>
      <c r="BA49" s="1296"/>
      <c r="BB49" s="1297"/>
      <c r="BC49" s="1296"/>
      <c r="BD49" s="1298"/>
      <c r="BF49" s="1321"/>
      <c r="BG49" s="1322"/>
      <c r="BH49" s="1322" t="s">
        <v>572</v>
      </c>
      <c r="BI49" s="1323">
        <v>210</v>
      </c>
      <c r="BJ49" s="1322"/>
      <c r="BK49" s="1326"/>
      <c r="BL49" s="1294"/>
      <c r="BM49" s="1296"/>
      <c r="BN49" s="1296"/>
      <c r="BO49" s="1297"/>
      <c r="BP49" s="1296"/>
      <c r="BQ49" s="1298"/>
    </row>
    <row r="50" spans="1:69" ht="18.75" customHeight="1" x14ac:dyDescent="0.15">
      <c r="A50" s="1309"/>
      <c r="B50" s="1310"/>
      <c r="C50" s="1310"/>
      <c r="D50" s="1311"/>
      <c r="E50" s="1310"/>
      <c r="F50" s="1312"/>
      <c r="G50" s="1312"/>
      <c r="H50" s="1312"/>
      <c r="I50" s="1312"/>
      <c r="J50" s="1312"/>
      <c r="K50" s="1312"/>
      <c r="L50" s="1312"/>
      <c r="M50" s="1271"/>
      <c r="N50" s="1262"/>
      <c r="O50" s="1262"/>
      <c r="P50" s="1272"/>
      <c r="Q50" s="1262"/>
      <c r="R50" s="1273"/>
      <c r="S50" s="1263"/>
      <c r="T50" s="1309"/>
      <c r="U50" s="1310"/>
      <c r="V50" s="1310"/>
      <c r="W50" s="1311"/>
      <c r="X50" s="1310"/>
      <c r="Y50" s="1312"/>
      <c r="Z50" s="1271"/>
      <c r="AA50" s="1262"/>
      <c r="AB50" s="1262"/>
      <c r="AC50" s="1272"/>
      <c r="AD50" s="1262"/>
      <c r="AE50" s="1273"/>
      <c r="AF50" s="1309"/>
      <c r="AG50" s="1310"/>
      <c r="AH50" s="1310"/>
      <c r="AI50" s="1311"/>
      <c r="AJ50" s="1310"/>
      <c r="AK50" s="1312"/>
      <c r="AL50" s="1271"/>
      <c r="AM50" s="1262"/>
      <c r="AN50" s="1262"/>
      <c r="AO50" s="1272"/>
      <c r="AP50" s="1262"/>
      <c r="AQ50" s="1273"/>
      <c r="AS50" s="1309"/>
      <c r="AT50" s="1310"/>
      <c r="AU50" s="1310"/>
      <c r="AV50" s="1311"/>
      <c r="AW50" s="1310"/>
      <c r="AX50" s="1312"/>
      <c r="AY50" s="1271"/>
      <c r="AZ50" s="1262"/>
      <c r="BA50" s="1262"/>
      <c r="BB50" s="1272"/>
      <c r="BC50" s="1262"/>
      <c r="BD50" s="1273"/>
      <c r="BF50" s="1309"/>
      <c r="BG50" s="1310"/>
      <c r="BH50" s="1310"/>
      <c r="BI50" s="1311"/>
      <c r="BJ50" s="1310"/>
      <c r="BK50" s="1312"/>
      <c r="BL50" s="1271"/>
      <c r="BM50" s="1262"/>
      <c r="BN50" s="1262"/>
      <c r="BO50" s="1272"/>
      <c r="BP50" s="1262"/>
      <c r="BQ50" s="1273"/>
    </row>
    <row r="51" spans="1:69" ht="18.75" customHeight="1" x14ac:dyDescent="0.15">
      <c r="A51" s="1309"/>
      <c r="B51" s="1310"/>
      <c r="C51" s="1310"/>
      <c r="D51" s="1311"/>
      <c r="E51" s="1310"/>
      <c r="F51" s="1312"/>
      <c r="G51" s="1312"/>
      <c r="H51" s="1312"/>
      <c r="I51" s="1312"/>
      <c r="J51" s="1312"/>
      <c r="K51" s="1312"/>
      <c r="L51" s="1312"/>
      <c r="M51" s="1271"/>
      <c r="N51" s="1262"/>
      <c r="O51" s="1262"/>
      <c r="P51" s="1272"/>
      <c r="Q51" s="1262"/>
      <c r="R51" s="1273"/>
      <c r="S51" s="1263"/>
      <c r="T51" s="1309"/>
      <c r="U51" s="1310"/>
      <c r="V51" s="1310"/>
      <c r="W51" s="1311"/>
      <c r="X51" s="1310"/>
      <c r="Y51" s="1312"/>
      <c r="Z51" s="1271"/>
      <c r="AA51" s="1262"/>
      <c r="AB51" s="1262"/>
      <c r="AC51" s="1272"/>
      <c r="AD51" s="1262"/>
      <c r="AE51" s="1273"/>
      <c r="AF51" s="1309"/>
      <c r="AG51" s="1310"/>
      <c r="AH51" s="1310"/>
      <c r="AI51" s="1311"/>
      <c r="AJ51" s="1310"/>
      <c r="AK51" s="1312"/>
      <c r="AL51" s="1271"/>
      <c r="AM51" s="1262"/>
      <c r="AN51" s="1262"/>
      <c r="AO51" s="1272"/>
      <c r="AP51" s="1262"/>
      <c r="AQ51" s="1273"/>
      <c r="AS51" s="1309"/>
      <c r="AT51" s="1310"/>
      <c r="AU51" s="1310"/>
      <c r="AV51" s="1311"/>
      <c r="AW51" s="1310"/>
      <c r="AX51" s="1312"/>
      <c r="AY51" s="1271"/>
      <c r="AZ51" s="1262"/>
      <c r="BA51" s="1262"/>
      <c r="BB51" s="1272"/>
      <c r="BC51" s="1262"/>
      <c r="BD51" s="1273"/>
      <c r="BF51" s="1309"/>
      <c r="BG51" s="1310"/>
      <c r="BH51" s="1310"/>
      <c r="BI51" s="1311"/>
      <c r="BJ51" s="1310"/>
      <c r="BK51" s="1312"/>
      <c r="BL51" s="1271"/>
      <c r="BM51" s="1262"/>
      <c r="BN51" s="1262"/>
      <c r="BO51" s="1272"/>
      <c r="BP51" s="1262"/>
      <c r="BQ51" s="1273"/>
    </row>
    <row r="52" spans="1:69" ht="14.25" x14ac:dyDescent="0.15">
      <c r="A52" s="1306" t="s">
        <v>655</v>
      </c>
      <c r="B52" s="1307" t="s">
        <v>13</v>
      </c>
      <c r="C52" s="1307" t="s">
        <v>656</v>
      </c>
      <c r="D52" s="1308">
        <v>110</v>
      </c>
      <c r="E52" s="1307" t="s">
        <v>634</v>
      </c>
      <c r="F52" s="1308">
        <v>500</v>
      </c>
      <c r="G52" s="1264" t="s">
        <v>655</v>
      </c>
      <c r="H52" s="1265" t="s">
        <v>13</v>
      </c>
      <c r="I52" s="1307" t="s">
        <v>656</v>
      </c>
      <c r="J52" s="1308">
        <v>160</v>
      </c>
      <c r="K52" s="1308" t="s">
        <v>561</v>
      </c>
      <c r="L52" s="1308">
        <v>600</v>
      </c>
      <c r="M52" s="1264" t="s">
        <v>655</v>
      </c>
      <c r="N52" s="1265" t="s">
        <v>13</v>
      </c>
      <c r="O52" s="1265" t="s">
        <v>656</v>
      </c>
      <c r="P52" s="1266">
        <v>175</v>
      </c>
      <c r="Q52" s="1265" t="s">
        <v>634</v>
      </c>
      <c r="R52" s="1266">
        <v>550</v>
      </c>
      <c r="S52" s="1263"/>
      <c r="T52" s="1306" t="s">
        <v>655</v>
      </c>
      <c r="U52" s="1307" t="s">
        <v>13</v>
      </c>
      <c r="V52" s="1307" t="s">
        <v>656</v>
      </c>
      <c r="W52" s="1308">
        <v>110</v>
      </c>
      <c r="X52" s="1307" t="s">
        <v>634</v>
      </c>
      <c r="Y52" s="1308">
        <v>500</v>
      </c>
      <c r="Z52" s="1264" t="s">
        <v>655</v>
      </c>
      <c r="AA52" s="1265" t="s">
        <v>13</v>
      </c>
      <c r="AB52" s="1265" t="s">
        <v>656</v>
      </c>
      <c r="AC52" s="1266">
        <v>175</v>
      </c>
      <c r="AD52" s="1265" t="s">
        <v>634</v>
      </c>
      <c r="AE52" s="1266">
        <v>550</v>
      </c>
      <c r="AF52" s="1306" t="s">
        <v>655</v>
      </c>
      <c r="AG52" s="1307" t="s">
        <v>13</v>
      </c>
      <c r="AH52" s="1307" t="s">
        <v>656</v>
      </c>
      <c r="AI52" s="1308">
        <v>110</v>
      </c>
      <c r="AJ52" s="1307" t="s">
        <v>634</v>
      </c>
      <c r="AK52" s="1308">
        <v>500</v>
      </c>
      <c r="AL52" s="1264" t="s">
        <v>655</v>
      </c>
      <c r="AM52" s="1265" t="s">
        <v>13</v>
      </c>
      <c r="AN52" s="1265" t="s">
        <v>656</v>
      </c>
      <c r="AO52" s="1266">
        <v>175</v>
      </c>
      <c r="AP52" s="1265" t="s">
        <v>634</v>
      </c>
      <c r="AQ52" s="1266">
        <v>550</v>
      </c>
      <c r="AS52" s="1306" t="s">
        <v>655</v>
      </c>
      <c r="AT52" s="1307" t="s">
        <v>13</v>
      </c>
      <c r="AU52" s="1307" t="s">
        <v>656</v>
      </c>
      <c r="AV52" s="1308">
        <v>110</v>
      </c>
      <c r="AW52" s="1307" t="s">
        <v>634</v>
      </c>
      <c r="AX52" s="1308">
        <v>500</v>
      </c>
      <c r="AY52" s="1264" t="s">
        <v>655</v>
      </c>
      <c r="AZ52" s="1265" t="s">
        <v>13</v>
      </c>
      <c r="BA52" s="1265" t="s">
        <v>656</v>
      </c>
      <c r="BB52" s="1266">
        <v>175</v>
      </c>
      <c r="BC52" s="1265" t="s">
        <v>634</v>
      </c>
      <c r="BD52" s="1266">
        <v>550</v>
      </c>
      <c r="BF52" s="1306" t="s">
        <v>655</v>
      </c>
      <c r="BG52" s="1307" t="s">
        <v>13</v>
      </c>
      <c r="BH52" s="1307" t="s">
        <v>656</v>
      </c>
      <c r="BI52" s="1308">
        <v>110</v>
      </c>
      <c r="BJ52" s="1307" t="s">
        <v>634</v>
      </c>
      <c r="BK52" s="1308">
        <v>500</v>
      </c>
      <c r="BL52" s="1264" t="s">
        <v>655</v>
      </c>
      <c r="BM52" s="1265" t="s">
        <v>13</v>
      </c>
      <c r="BN52" s="1265" t="s">
        <v>656</v>
      </c>
      <c r="BO52" s="1266">
        <v>175</v>
      </c>
      <c r="BP52" s="1265" t="s">
        <v>634</v>
      </c>
      <c r="BQ52" s="1266">
        <v>550</v>
      </c>
    </row>
    <row r="53" spans="1:69" ht="14.25" x14ac:dyDescent="0.15">
      <c r="A53" s="1306"/>
      <c r="B53" s="1307"/>
      <c r="C53" s="1328" t="s">
        <v>657</v>
      </c>
      <c r="D53" s="1308">
        <v>215</v>
      </c>
      <c r="E53" s="1307"/>
      <c r="F53" s="1324"/>
      <c r="G53" s="1264"/>
      <c r="H53" s="1265"/>
      <c r="I53" s="1328" t="s">
        <v>657</v>
      </c>
      <c r="J53" s="1324">
        <v>240</v>
      </c>
      <c r="K53" s="1324"/>
      <c r="L53" s="1324"/>
      <c r="M53" s="1264"/>
      <c r="N53" s="1265"/>
      <c r="O53" s="1269" t="s">
        <v>657</v>
      </c>
      <c r="P53" s="1266">
        <v>275</v>
      </c>
      <c r="Q53" s="1265"/>
      <c r="R53" s="1267"/>
      <c r="S53" s="1263"/>
      <c r="T53" s="1306"/>
      <c r="U53" s="1307"/>
      <c r="V53" s="1328" t="s">
        <v>657</v>
      </c>
      <c r="W53" s="1308">
        <v>215</v>
      </c>
      <c r="X53" s="1307"/>
      <c r="Y53" s="1324"/>
      <c r="Z53" s="1264"/>
      <c r="AA53" s="1265"/>
      <c r="AB53" s="1269" t="s">
        <v>657</v>
      </c>
      <c r="AC53" s="1266">
        <v>275</v>
      </c>
      <c r="AD53" s="1265"/>
      <c r="AE53" s="1267"/>
      <c r="AF53" s="1306"/>
      <c r="AG53" s="1307"/>
      <c r="AH53" s="1328" t="s">
        <v>657</v>
      </c>
      <c r="AI53" s="1308">
        <v>215</v>
      </c>
      <c r="AJ53" s="1307"/>
      <c r="AK53" s="1324"/>
      <c r="AL53" s="1264"/>
      <c r="AM53" s="1265"/>
      <c r="AN53" s="1269" t="s">
        <v>657</v>
      </c>
      <c r="AO53" s="1266">
        <v>275</v>
      </c>
      <c r="AP53" s="1265"/>
      <c r="AQ53" s="1267"/>
      <c r="AS53" s="1306"/>
      <c r="AT53" s="1307"/>
      <c r="AU53" s="1328" t="s">
        <v>657</v>
      </c>
      <c r="AV53" s="1308">
        <v>215</v>
      </c>
      <c r="AW53" s="1307"/>
      <c r="AX53" s="1324"/>
      <c r="AY53" s="1264"/>
      <c r="AZ53" s="1265"/>
      <c r="BA53" s="1269" t="s">
        <v>657</v>
      </c>
      <c r="BB53" s="1266">
        <v>275</v>
      </c>
      <c r="BC53" s="1265"/>
      <c r="BD53" s="1267"/>
      <c r="BF53" s="1306"/>
      <c r="BG53" s="1307"/>
      <c r="BH53" s="1328" t="s">
        <v>657</v>
      </c>
      <c r="BI53" s="1308">
        <v>215</v>
      </c>
      <c r="BJ53" s="1307"/>
      <c r="BK53" s="1324"/>
      <c r="BL53" s="1264"/>
      <c r="BM53" s="1265"/>
      <c r="BN53" s="1269" t="s">
        <v>657</v>
      </c>
      <c r="BO53" s="1266">
        <v>275</v>
      </c>
      <c r="BP53" s="1265"/>
      <c r="BQ53" s="1267"/>
    </row>
    <row r="54" spans="1:69" ht="18.75" customHeight="1" x14ac:dyDescent="0.15">
      <c r="A54" s="1309"/>
      <c r="B54" s="1310"/>
      <c r="C54" s="1310"/>
      <c r="D54" s="1311"/>
      <c r="E54" s="1310"/>
      <c r="F54" s="1312"/>
      <c r="G54" s="1271"/>
      <c r="H54" s="1262"/>
      <c r="I54" s="1312"/>
      <c r="J54" s="1312"/>
      <c r="K54" s="1312"/>
      <c r="L54" s="1312"/>
      <c r="M54" s="1271"/>
      <c r="N54" s="1262"/>
      <c r="O54" s="1262"/>
      <c r="P54" s="1272"/>
      <c r="Q54" s="1262"/>
      <c r="R54" s="1273"/>
      <c r="S54" s="1263"/>
      <c r="T54" s="1309"/>
      <c r="U54" s="1310"/>
      <c r="V54" s="1310"/>
      <c r="W54" s="1311"/>
      <c r="X54" s="1310"/>
      <c r="Y54" s="1312"/>
      <c r="Z54" s="1271"/>
      <c r="AA54" s="1262"/>
      <c r="AB54" s="1262"/>
      <c r="AC54" s="1272"/>
      <c r="AD54" s="1262"/>
      <c r="AE54" s="1273"/>
      <c r="AF54" s="1309"/>
      <c r="AG54" s="1310"/>
      <c r="AH54" s="1310"/>
      <c r="AI54" s="1311"/>
      <c r="AJ54" s="1310"/>
      <c r="AK54" s="1312"/>
      <c r="AL54" s="1271"/>
      <c r="AM54" s="1262"/>
      <c r="AN54" s="1262"/>
      <c r="AO54" s="1272"/>
      <c r="AP54" s="1262"/>
      <c r="AQ54" s="1273"/>
      <c r="AS54" s="1309"/>
      <c r="AT54" s="1310"/>
      <c r="AU54" s="1310"/>
      <c r="AV54" s="1311"/>
      <c r="AW54" s="1310"/>
      <c r="AX54" s="1312"/>
      <c r="AY54" s="1271"/>
      <c r="AZ54" s="1262"/>
      <c r="BA54" s="1262"/>
      <c r="BB54" s="1272"/>
      <c r="BC54" s="1262"/>
      <c r="BD54" s="1273"/>
      <c r="BF54" s="1309"/>
      <c r="BG54" s="1310"/>
      <c r="BH54" s="1310"/>
      <c r="BI54" s="1311"/>
      <c r="BJ54" s="1310"/>
      <c r="BK54" s="1312"/>
      <c r="BL54" s="1271"/>
      <c r="BM54" s="1262"/>
      <c r="BN54" s="1262"/>
      <c r="BO54" s="1272"/>
      <c r="BP54" s="1262"/>
      <c r="BQ54" s="1273"/>
    </row>
    <row r="55" spans="1:69" ht="14.25" x14ac:dyDescent="0.15">
      <c r="A55" s="1306" t="s">
        <v>658</v>
      </c>
      <c r="B55" s="1307" t="s">
        <v>106</v>
      </c>
      <c r="C55" s="1307" t="s">
        <v>646</v>
      </c>
      <c r="D55" s="1308">
        <v>125</v>
      </c>
      <c r="E55" s="1307" t="s">
        <v>634</v>
      </c>
      <c r="F55" s="1308">
        <v>670</v>
      </c>
      <c r="G55" s="1264" t="s">
        <v>658</v>
      </c>
      <c r="H55" s="1265" t="s">
        <v>106</v>
      </c>
      <c r="I55" s="1307" t="s">
        <v>646</v>
      </c>
      <c r="J55" s="1308">
        <v>180</v>
      </c>
      <c r="K55" s="1318" t="s">
        <v>634</v>
      </c>
      <c r="L55" s="1308">
        <v>700</v>
      </c>
      <c r="M55" s="1264" t="s">
        <v>658</v>
      </c>
      <c r="N55" s="1265" t="s">
        <v>106</v>
      </c>
      <c r="O55" s="1265" t="s">
        <v>646</v>
      </c>
      <c r="P55" s="1266">
        <v>175</v>
      </c>
      <c r="Q55" s="1265" t="s">
        <v>634</v>
      </c>
      <c r="R55" s="1266">
        <v>700</v>
      </c>
      <c r="S55" s="1263"/>
      <c r="T55" s="1306" t="s">
        <v>658</v>
      </c>
      <c r="U55" s="1307" t="s">
        <v>106</v>
      </c>
      <c r="V55" s="1307" t="s">
        <v>646</v>
      </c>
      <c r="W55" s="1308">
        <v>125</v>
      </c>
      <c r="X55" s="1307" t="s">
        <v>634</v>
      </c>
      <c r="Y55" s="1308">
        <v>665</v>
      </c>
      <c r="Z55" s="1264" t="s">
        <v>658</v>
      </c>
      <c r="AA55" s="1265" t="s">
        <v>106</v>
      </c>
      <c r="AB55" s="1265" t="s">
        <v>646</v>
      </c>
      <c r="AC55" s="1266">
        <v>175</v>
      </c>
      <c r="AD55" s="1265" t="s">
        <v>634</v>
      </c>
      <c r="AE55" s="1266">
        <v>700</v>
      </c>
      <c r="AF55" s="1306" t="s">
        <v>658</v>
      </c>
      <c r="AG55" s="1307" t="s">
        <v>106</v>
      </c>
      <c r="AH55" s="1307" t="s">
        <v>646</v>
      </c>
      <c r="AI55" s="1308">
        <v>125</v>
      </c>
      <c r="AJ55" s="1307" t="s">
        <v>634</v>
      </c>
      <c r="AK55" s="1308">
        <v>665</v>
      </c>
      <c r="AL55" s="1264" t="s">
        <v>658</v>
      </c>
      <c r="AM55" s="1265" t="s">
        <v>106</v>
      </c>
      <c r="AN55" s="1265" t="s">
        <v>646</v>
      </c>
      <c r="AO55" s="1266">
        <v>175</v>
      </c>
      <c r="AP55" s="1265" t="s">
        <v>634</v>
      </c>
      <c r="AQ55" s="1266">
        <v>700</v>
      </c>
      <c r="AS55" s="1306" t="s">
        <v>658</v>
      </c>
      <c r="AT55" s="1307" t="s">
        <v>106</v>
      </c>
      <c r="AU55" s="1307" t="s">
        <v>646</v>
      </c>
      <c r="AV55" s="1308">
        <v>125</v>
      </c>
      <c r="AW55" s="1307" t="s">
        <v>634</v>
      </c>
      <c r="AX55" s="1308">
        <v>665</v>
      </c>
      <c r="AY55" s="1264" t="s">
        <v>658</v>
      </c>
      <c r="AZ55" s="1265" t="s">
        <v>106</v>
      </c>
      <c r="BA55" s="1265" t="s">
        <v>646</v>
      </c>
      <c r="BB55" s="1266">
        <v>175</v>
      </c>
      <c r="BC55" s="1265" t="s">
        <v>634</v>
      </c>
      <c r="BD55" s="1266">
        <v>700</v>
      </c>
      <c r="BF55" s="1306" t="s">
        <v>658</v>
      </c>
      <c r="BG55" s="1307" t="s">
        <v>106</v>
      </c>
      <c r="BH55" s="1307" t="s">
        <v>646</v>
      </c>
      <c r="BI55" s="1308">
        <v>125</v>
      </c>
      <c r="BJ55" s="1307" t="s">
        <v>634</v>
      </c>
      <c r="BK55" s="1308">
        <v>665</v>
      </c>
      <c r="BL55" s="1264" t="s">
        <v>658</v>
      </c>
      <c r="BM55" s="1265" t="s">
        <v>106</v>
      </c>
      <c r="BN55" s="1265" t="s">
        <v>646</v>
      </c>
      <c r="BO55" s="1266">
        <v>175</v>
      </c>
      <c r="BP55" s="1265" t="s">
        <v>634</v>
      </c>
      <c r="BQ55" s="1266">
        <v>700</v>
      </c>
    </row>
    <row r="56" spans="1:69" ht="14.25" x14ac:dyDescent="0.15">
      <c r="A56" s="1309"/>
      <c r="B56" s="1310"/>
      <c r="C56" s="1310"/>
      <c r="D56" s="1311"/>
      <c r="E56" s="1310"/>
      <c r="F56" s="1312"/>
      <c r="G56" s="1271"/>
      <c r="H56" s="1262"/>
      <c r="I56" s="1312"/>
      <c r="J56" s="1312"/>
      <c r="K56" s="1312"/>
      <c r="L56" s="1312"/>
      <c r="M56" s="1271"/>
      <c r="N56" s="1262"/>
      <c r="O56" s="1262"/>
      <c r="P56" s="1272"/>
      <c r="Q56" s="1262"/>
      <c r="R56" s="1273"/>
      <c r="S56" s="1263"/>
      <c r="T56" s="1309"/>
      <c r="U56" s="1310"/>
      <c r="V56" s="1310"/>
      <c r="W56" s="1311"/>
      <c r="X56" s="1310"/>
      <c r="Y56" s="1312"/>
      <c r="Z56" s="1271"/>
      <c r="AA56" s="1262"/>
      <c r="AB56" s="1262"/>
      <c r="AC56" s="1272"/>
      <c r="AD56" s="1262"/>
      <c r="AE56" s="1273"/>
      <c r="AF56" s="1309"/>
      <c r="AG56" s="1310"/>
      <c r="AH56" s="1310"/>
      <c r="AI56" s="1311"/>
      <c r="AJ56" s="1310"/>
      <c r="AK56" s="1312"/>
      <c r="AL56" s="1271"/>
      <c r="AM56" s="1262"/>
      <c r="AN56" s="1262"/>
      <c r="AO56" s="1272"/>
      <c r="AP56" s="1262"/>
      <c r="AQ56" s="1273"/>
      <c r="AS56" s="1309"/>
      <c r="AT56" s="1310"/>
      <c r="AU56" s="1310"/>
      <c r="AV56" s="1311"/>
      <c r="AW56" s="1310"/>
      <c r="AX56" s="1312"/>
      <c r="AY56" s="1271"/>
      <c r="AZ56" s="1262"/>
      <c r="BA56" s="1262"/>
      <c r="BB56" s="1272"/>
      <c r="BC56" s="1262"/>
      <c r="BD56" s="1273"/>
      <c r="BF56" s="1309"/>
      <c r="BG56" s="1310"/>
      <c r="BH56" s="1310"/>
      <c r="BI56" s="1311"/>
      <c r="BJ56" s="1310"/>
      <c r="BK56" s="1312"/>
      <c r="BL56" s="1271"/>
      <c r="BM56" s="1262"/>
      <c r="BN56" s="1262"/>
      <c r="BO56" s="1272"/>
      <c r="BP56" s="1262"/>
      <c r="BQ56" s="1273"/>
    </row>
    <row r="57" spans="1:69" ht="14.25" x14ac:dyDescent="0.15">
      <c r="A57" s="1306" t="s">
        <v>659</v>
      </c>
      <c r="B57" s="1307" t="s">
        <v>660</v>
      </c>
      <c r="C57" s="1307" t="s">
        <v>661</v>
      </c>
      <c r="D57" s="1308">
        <v>70</v>
      </c>
      <c r="E57" s="1307" t="s">
        <v>634</v>
      </c>
      <c r="F57" s="1308">
        <v>500</v>
      </c>
      <c r="G57" s="1264" t="s">
        <v>659</v>
      </c>
      <c r="H57" s="1265" t="s">
        <v>660</v>
      </c>
      <c r="I57" s="1307" t="s">
        <v>661</v>
      </c>
      <c r="J57" s="1308">
        <v>70</v>
      </c>
      <c r="K57" s="1318" t="s">
        <v>634</v>
      </c>
      <c r="L57" s="1308">
        <v>500</v>
      </c>
      <c r="M57" s="1264" t="s">
        <v>659</v>
      </c>
      <c r="N57" s="1265" t="s">
        <v>660</v>
      </c>
      <c r="O57" s="1265" t="s">
        <v>661</v>
      </c>
      <c r="P57" s="1266">
        <v>70</v>
      </c>
      <c r="Q57" s="1265" t="s">
        <v>634</v>
      </c>
      <c r="R57" s="1266">
        <v>450</v>
      </c>
      <c r="S57" s="1263"/>
      <c r="T57" s="1306" t="s">
        <v>659</v>
      </c>
      <c r="U57" s="1307" t="s">
        <v>660</v>
      </c>
      <c r="V57" s="1307" t="s">
        <v>661</v>
      </c>
      <c r="W57" s="1308">
        <v>70</v>
      </c>
      <c r="X57" s="1307" t="s">
        <v>634</v>
      </c>
      <c r="Y57" s="1308">
        <v>500</v>
      </c>
      <c r="Z57" s="1264" t="s">
        <v>659</v>
      </c>
      <c r="AA57" s="1265" t="s">
        <v>660</v>
      </c>
      <c r="AB57" s="1265" t="s">
        <v>661</v>
      </c>
      <c r="AC57" s="1266">
        <v>70</v>
      </c>
      <c r="AD57" s="1265" t="s">
        <v>634</v>
      </c>
      <c r="AE57" s="1266">
        <v>450</v>
      </c>
      <c r="AF57" s="1306" t="s">
        <v>659</v>
      </c>
      <c r="AG57" s="1307" t="s">
        <v>660</v>
      </c>
      <c r="AH57" s="1307" t="s">
        <v>661</v>
      </c>
      <c r="AI57" s="1308">
        <v>70</v>
      </c>
      <c r="AJ57" s="1307" t="s">
        <v>634</v>
      </c>
      <c r="AK57" s="1308">
        <v>500</v>
      </c>
      <c r="AL57" s="1264" t="s">
        <v>659</v>
      </c>
      <c r="AM57" s="1265" t="s">
        <v>660</v>
      </c>
      <c r="AN57" s="1265" t="s">
        <v>661</v>
      </c>
      <c r="AO57" s="1266">
        <v>70</v>
      </c>
      <c r="AP57" s="1265" t="s">
        <v>634</v>
      </c>
      <c r="AQ57" s="1266">
        <v>450</v>
      </c>
      <c r="AS57" s="1306" t="s">
        <v>659</v>
      </c>
      <c r="AT57" s="1307" t="s">
        <v>660</v>
      </c>
      <c r="AU57" s="1307" t="s">
        <v>661</v>
      </c>
      <c r="AV57" s="1308">
        <v>70</v>
      </c>
      <c r="AW57" s="1307" t="s">
        <v>634</v>
      </c>
      <c r="AX57" s="1308">
        <v>500</v>
      </c>
      <c r="AY57" s="1264" t="s">
        <v>659</v>
      </c>
      <c r="AZ57" s="1265" t="s">
        <v>660</v>
      </c>
      <c r="BA57" s="1265" t="s">
        <v>661</v>
      </c>
      <c r="BB57" s="1266">
        <v>70</v>
      </c>
      <c r="BC57" s="1265" t="s">
        <v>634</v>
      </c>
      <c r="BD57" s="1266">
        <v>450</v>
      </c>
      <c r="BF57" s="1306" t="s">
        <v>659</v>
      </c>
      <c r="BG57" s="1307" t="s">
        <v>660</v>
      </c>
      <c r="BH57" s="1307" t="s">
        <v>661</v>
      </c>
      <c r="BI57" s="1308">
        <v>70</v>
      </c>
      <c r="BJ57" s="1307" t="s">
        <v>634</v>
      </c>
      <c r="BK57" s="1308">
        <v>500</v>
      </c>
      <c r="BL57" s="1264" t="s">
        <v>659</v>
      </c>
      <c r="BM57" s="1265" t="s">
        <v>660</v>
      </c>
      <c r="BN57" s="1265" t="s">
        <v>661</v>
      </c>
      <c r="BO57" s="1266">
        <v>70</v>
      </c>
      <c r="BP57" s="1265" t="s">
        <v>634</v>
      </c>
      <c r="BQ57" s="1266">
        <v>450</v>
      </c>
    </row>
    <row r="58" spans="1:69" ht="14.25" x14ac:dyDescent="0.15">
      <c r="A58" s="1306"/>
      <c r="B58" s="1307"/>
      <c r="C58" s="1328" t="s">
        <v>662</v>
      </c>
      <c r="D58" s="1308">
        <v>170</v>
      </c>
      <c r="E58" s="1307"/>
      <c r="F58" s="1324"/>
      <c r="G58" s="1264"/>
      <c r="H58" s="1265"/>
      <c r="I58" s="1328" t="s">
        <v>662</v>
      </c>
      <c r="J58" s="1308">
        <v>170</v>
      </c>
      <c r="K58" s="1307"/>
      <c r="L58" s="1324"/>
      <c r="M58" s="1264"/>
      <c r="N58" s="1265"/>
      <c r="O58" s="1269" t="s">
        <v>662</v>
      </c>
      <c r="P58" s="1266">
        <v>170</v>
      </c>
      <c r="Q58" s="1265"/>
      <c r="R58" s="1267"/>
      <c r="S58" s="1263"/>
      <c r="T58" s="1306"/>
      <c r="U58" s="1307"/>
      <c r="V58" s="1328" t="s">
        <v>662</v>
      </c>
      <c r="W58" s="1308">
        <v>170</v>
      </c>
      <c r="X58" s="1307"/>
      <c r="Y58" s="1324"/>
      <c r="Z58" s="1264"/>
      <c r="AA58" s="1265"/>
      <c r="AB58" s="1269" t="s">
        <v>662</v>
      </c>
      <c r="AC58" s="1266">
        <v>170</v>
      </c>
      <c r="AD58" s="1265"/>
      <c r="AE58" s="1267"/>
      <c r="AF58" s="1306"/>
      <c r="AG58" s="1307"/>
      <c r="AH58" s="1328" t="s">
        <v>662</v>
      </c>
      <c r="AI58" s="1308">
        <v>170</v>
      </c>
      <c r="AJ58" s="1307"/>
      <c r="AK58" s="1324"/>
      <c r="AL58" s="1264"/>
      <c r="AM58" s="1265"/>
      <c r="AN58" s="1269" t="s">
        <v>662</v>
      </c>
      <c r="AO58" s="1266">
        <v>170</v>
      </c>
      <c r="AP58" s="1265"/>
      <c r="AQ58" s="1267"/>
      <c r="AS58" s="1306"/>
      <c r="AT58" s="1307"/>
      <c r="AU58" s="1328" t="s">
        <v>662</v>
      </c>
      <c r="AV58" s="1308">
        <v>170</v>
      </c>
      <c r="AW58" s="1307"/>
      <c r="AX58" s="1324"/>
      <c r="AY58" s="1264"/>
      <c r="AZ58" s="1265"/>
      <c r="BA58" s="1269" t="s">
        <v>662</v>
      </c>
      <c r="BB58" s="1266">
        <v>170</v>
      </c>
      <c r="BC58" s="1265"/>
      <c r="BD58" s="1267"/>
      <c r="BF58" s="1306"/>
      <c r="BG58" s="1307"/>
      <c r="BH58" s="1328" t="s">
        <v>662</v>
      </c>
      <c r="BI58" s="1308">
        <v>170</v>
      </c>
      <c r="BJ58" s="1307"/>
      <c r="BK58" s="1324"/>
      <c r="BL58" s="1264"/>
      <c r="BM58" s="1265"/>
      <c r="BN58" s="1269" t="s">
        <v>662</v>
      </c>
      <c r="BO58" s="1266">
        <v>170</v>
      </c>
      <c r="BP58" s="1265"/>
      <c r="BQ58" s="1267"/>
    </row>
    <row r="59" spans="1:69" ht="14.25" x14ac:dyDescent="0.15">
      <c r="A59" s="1306"/>
      <c r="B59" s="1307"/>
      <c r="C59" s="1328" t="s">
        <v>663</v>
      </c>
      <c r="D59" s="1308">
        <v>200</v>
      </c>
      <c r="E59" s="1307"/>
      <c r="F59" s="1324"/>
      <c r="G59" s="1264"/>
      <c r="H59" s="1265"/>
      <c r="I59" s="1328" t="s">
        <v>663</v>
      </c>
      <c r="J59" s="1308">
        <v>200</v>
      </c>
      <c r="K59" s="1307"/>
      <c r="L59" s="1324"/>
      <c r="M59" s="1264"/>
      <c r="N59" s="1265"/>
      <c r="O59" s="1269" t="s">
        <v>663</v>
      </c>
      <c r="P59" s="1266">
        <v>200</v>
      </c>
      <c r="Q59" s="1265"/>
      <c r="R59" s="1267"/>
      <c r="S59" s="1263"/>
      <c r="T59" s="1306"/>
      <c r="U59" s="1307"/>
      <c r="V59" s="1328" t="s">
        <v>663</v>
      </c>
      <c r="W59" s="1308">
        <v>200</v>
      </c>
      <c r="X59" s="1307"/>
      <c r="Y59" s="1324"/>
      <c r="Z59" s="1264"/>
      <c r="AA59" s="1265"/>
      <c r="AB59" s="1269" t="s">
        <v>663</v>
      </c>
      <c r="AC59" s="1266">
        <v>200</v>
      </c>
      <c r="AD59" s="1265"/>
      <c r="AE59" s="1267"/>
      <c r="AF59" s="1306"/>
      <c r="AG59" s="1307"/>
      <c r="AH59" s="1328" t="s">
        <v>663</v>
      </c>
      <c r="AI59" s="1308">
        <v>200</v>
      </c>
      <c r="AJ59" s="1307"/>
      <c r="AK59" s="1324"/>
      <c r="AL59" s="1264"/>
      <c r="AM59" s="1265"/>
      <c r="AN59" s="1269" t="s">
        <v>663</v>
      </c>
      <c r="AO59" s="1266">
        <v>200</v>
      </c>
      <c r="AP59" s="1265"/>
      <c r="AQ59" s="1267"/>
      <c r="AS59" s="1306"/>
      <c r="AT59" s="1307"/>
      <c r="AU59" s="1328" t="s">
        <v>663</v>
      </c>
      <c r="AV59" s="1308">
        <v>200</v>
      </c>
      <c r="AW59" s="1307"/>
      <c r="AX59" s="1324"/>
      <c r="AY59" s="1264"/>
      <c r="AZ59" s="1265"/>
      <c r="BA59" s="1269" t="s">
        <v>663</v>
      </c>
      <c r="BB59" s="1266">
        <v>200</v>
      </c>
      <c r="BC59" s="1265"/>
      <c r="BD59" s="1267"/>
      <c r="BF59" s="1306"/>
      <c r="BG59" s="1307"/>
      <c r="BH59" s="1328" t="s">
        <v>663</v>
      </c>
      <c r="BI59" s="1308">
        <v>200</v>
      </c>
      <c r="BJ59" s="1307"/>
      <c r="BK59" s="1324"/>
      <c r="BL59" s="1264"/>
      <c r="BM59" s="1265"/>
      <c r="BN59" s="1269" t="s">
        <v>663</v>
      </c>
      <c r="BO59" s="1266">
        <v>200</v>
      </c>
      <c r="BP59" s="1265"/>
      <c r="BQ59" s="1267"/>
    </row>
    <row r="60" spans="1:69" ht="18.75" customHeight="1" thickBot="1" x14ac:dyDescent="0.2">
      <c r="A60" s="1309"/>
      <c r="B60" s="1310"/>
      <c r="C60" s="1310"/>
      <c r="D60" s="1311"/>
      <c r="E60" s="1310"/>
      <c r="F60" s="1312"/>
      <c r="G60" s="1271"/>
      <c r="H60" s="1262"/>
      <c r="I60" s="1312"/>
      <c r="J60" s="1312"/>
      <c r="K60" s="1312"/>
      <c r="L60" s="1312"/>
      <c r="M60" s="1271"/>
      <c r="N60" s="1262"/>
      <c r="O60" s="1262"/>
      <c r="P60" s="1272"/>
      <c r="Q60" s="1262"/>
      <c r="R60" s="1273"/>
      <c r="S60" s="1263"/>
      <c r="T60" s="1309"/>
      <c r="U60" s="1310"/>
      <c r="V60" s="1310"/>
      <c r="W60" s="1311"/>
      <c r="X60" s="1310"/>
      <c r="Y60" s="1312"/>
      <c r="Z60" s="1271"/>
      <c r="AA60" s="1262"/>
      <c r="AB60" s="1262"/>
      <c r="AC60" s="1272"/>
      <c r="AD60" s="1262"/>
      <c r="AE60" s="1273"/>
      <c r="AF60" s="1309"/>
      <c r="AG60" s="1310"/>
      <c r="AH60" s="1310"/>
      <c r="AI60" s="1311"/>
      <c r="AJ60" s="1310"/>
      <c r="AK60" s="1312"/>
      <c r="AL60" s="1271"/>
      <c r="AM60" s="1262"/>
      <c r="AN60" s="1262"/>
      <c r="AO60" s="1272"/>
      <c r="AP60" s="1262"/>
      <c r="AQ60" s="1273"/>
      <c r="AS60" s="1309"/>
      <c r="AT60" s="1310"/>
      <c r="AU60" s="1310"/>
      <c r="AV60" s="1311"/>
      <c r="AW60" s="1310"/>
      <c r="AX60" s="1312"/>
      <c r="AY60" s="1271"/>
      <c r="AZ60" s="1262"/>
      <c r="BA60" s="1262"/>
      <c r="BB60" s="1272"/>
      <c r="BC60" s="1262"/>
      <c r="BD60" s="1273"/>
      <c r="BF60" s="1309"/>
      <c r="BG60" s="1310"/>
      <c r="BH60" s="1310"/>
      <c r="BI60" s="1311"/>
      <c r="BJ60" s="1310"/>
      <c r="BK60" s="1312"/>
      <c r="BL60" s="1271"/>
      <c r="BM60" s="1262"/>
      <c r="BN60" s="1262"/>
      <c r="BO60" s="1272"/>
      <c r="BP60" s="1262"/>
      <c r="BQ60" s="1273"/>
    </row>
    <row r="61" spans="1:69" ht="14.25" x14ac:dyDescent="0.15">
      <c r="A61" s="1313" t="s">
        <v>371</v>
      </c>
      <c r="B61" s="1314" t="s">
        <v>689</v>
      </c>
      <c r="C61" s="1314" t="s">
        <v>688</v>
      </c>
      <c r="D61" s="1315">
        <v>275</v>
      </c>
      <c r="E61" s="1314" t="s">
        <v>634</v>
      </c>
      <c r="F61" s="1315">
        <v>1120</v>
      </c>
      <c r="G61" s="1276" t="s">
        <v>15</v>
      </c>
      <c r="H61" s="1274" t="s">
        <v>689</v>
      </c>
      <c r="I61" s="1314" t="s">
        <v>688</v>
      </c>
      <c r="J61" s="1315">
        <v>360</v>
      </c>
      <c r="K61" s="1315" t="s">
        <v>561</v>
      </c>
      <c r="L61" s="1315">
        <v>1300</v>
      </c>
      <c r="M61" s="1276" t="s">
        <v>15</v>
      </c>
      <c r="N61" s="1274" t="s">
        <v>689</v>
      </c>
      <c r="O61" s="1274" t="s">
        <v>711</v>
      </c>
      <c r="P61" s="1275">
        <v>200</v>
      </c>
      <c r="Q61" s="1274" t="s">
        <v>634</v>
      </c>
      <c r="R61" s="1277">
        <v>1150</v>
      </c>
      <c r="S61" s="1263"/>
      <c r="T61" s="1313" t="s">
        <v>371</v>
      </c>
      <c r="U61" s="1314" t="s">
        <v>689</v>
      </c>
      <c r="V61" s="1314" t="s">
        <v>688</v>
      </c>
      <c r="W61" s="1315">
        <v>275</v>
      </c>
      <c r="X61" s="1314" t="s">
        <v>634</v>
      </c>
      <c r="Y61" s="1315">
        <v>1120</v>
      </c>
      <c r="Z61" s="1276" t="s">
        <v>15</v>
      </c>
      <c r="AA61" s="1274" t="s">
        <v>689</v>
      </c>
      <c r="AB61" s="1274" t="s">
        <v>711</v>
      </c>
      <c r="AC61" s="1275">
        <v>200</v>
      </c>
      <c r="AD61" s="1274" t="s">
        <v>634</v>
      </c>
      <c r="AE61" s="1277">
        <v>1150</v>
      </c>
      <c r="AF61" s="1313" t="s">
        <v>371</v>
      </c>
      <c r="AG61" s="1314" t="s">
        <v>689</v>
      </c>
      <c r="AH61" s="1314" t="s">
        <v>688</v>
      </c>
      <c r="AI61" s="1315">
        <v>275</v>
      </c>
      <c r="AJ61" s="1314" t="s">
        <v>634</v>
      </c>
      <c r="AK61" s="1315">
        <v>1120</v>
      </c>
      <c r="AL61" s="1276" t="s">
        <v>15</v>
      </c>
      <c r="AM61" s="1274" t="s">
        <v>689</v>
      </c>
      <c r="AN61" s="1274" t="s">
        <v>711</v>
      </c>
      <c r="AO61" s="1275">
        <v>200</v>
      </c>
      <c r="AP61" s="1274" t="s">
        <v>634</v>
      </c>
      <c r="AQ61" s="1277">
        <v>1150</v>
      </c>
      <c r="AS61" s="1313" t="s">
        <v>371</v>
      </c>
      <c r="AT61" s="1314" t="s">
        <v>689</v>
      </c>
      <c r="AU61" s="1314" t="s">
        <v>688</v>
      </c>
      <c r="AV61" s="1315">
        <v>275</v>
      </c>
      <c r="AW61" s="1314" t="s">
        <v>634</v>
      </c>
      <c r="AX61" s="1315">
        <v>1120</v>
      </c>
      <c r="AY61" s="1276" t="s">
        <v>15</v>
      </c>
      <c r="AZ61" s="1274" t="s">
        <v>689</v>
      </c>
      <c r="BA61" s="1274" t="s">
        <v>711</v>
      </c>
      <c r="BB61" s="1275">
        <v>200</v>
      </c>
      <c r="BC61" s="1274" t="s">
        <v>634</v>
      </c>
      <c r="BD61" s="1277">
        <v>1150</v>
      </c>
      <c r="BF61" s="1313" t="s">
        <v>371</v>
      </c>
      <c r="BG61" s="1314" t="s">
        <v>689</v>
      </c>
      <c r="BH61" s="1314" t="s">
        <v>688</v>
      </c>
      <c r="BI61" s="1315">
        <v>275</v>
      </c>
      <c r="BJ61" s="1314" t="s">
        <v>634</v>
      </c>
      <c r="BK61" s="1315">
        <v>1120</v>
      </c>
      <c r="BL61" s="1276" t="s">
        <v>15</v>
      </c>
      <c r="BM61" s="1274" t="s">
        <v>689</v>
      </c>
      <c r="BN61" s="1274" t="s">
        <v>711</v>
      </c>
      <c r="BO61" s="1275">
        <v>200</v>
      </c>
      <c r="BP61" s="1274" t="s">
        <v>634</v>
      </c>
      <c r="BQ61" s="1277">
        <v>1150</v>
      </c>
    </row>
    <row r="62" spans="1:69" ht="14.25" x14ac:dyDescent="0.15">
      <c r="A62" s="1319"/>
      <c r="B62" s="1310"/>
      <c r="C62" s="1310"/>
      <c r="D62" s="1311"/>
      <c r="E62" s="1310"/>
      <c r="F62" s="1312"/>
      <c r="G62" s="1312"/>
      <c r="H62" s="1312"/>
      <c r="I62" s="1312"/>
      <c r="J62" s="1312"/>
      <c r="K62" s="1312"/>
      <c r="L62" s="1312"/>
      <c r="M62" s="1271"/>
      <c r="N62" s="1262"/>
      <c r="O62" s="1262"/>
      <c r="P62" s="1272"/>
      <c r="Q62" s="1262"/>
      <c r="R62" s="1280"/>
      <c r="S62" s="1263"/>
      <c r="T62" s="1319"/>
      <c r="U62" s="1310"/>
      <c r="V62" s="1310"/>
      <c r="W62" s="1311"/>
      <c r="X62" s="1310"/>
      <c r="Y62" s="1312"/>
      <c r="Z62" s="1271"/>
      <c r="AA62" s="1262"/>
      <c r="AB62" s="1262"/>
      <c r="AC62" s="1272"/>
      <c r="AD62" s="1262"/>
      <c r="AE62" s="1280"/>
      <c r="AF62" s="1319"/>
      <c r="AG62" s="1310"/>
      <c r="AH62" s="1310"/>
      <c r="AI62" s="1311"/>
      <c r="AJ62" s="1310"/>
      <c r="AK62" s="1312"/>
      <c r="AL62" s="1271"/>
      <c r="AM62" s="1262"/>
      <c r="AN62" s="1262"/>
      <c r="AO62" s="1272"/>
      <c r="AP62" s="1262"/>
      <c r="AQ62" s="1280"/>
      <c r="AS62" s="1319"/>
      <c r="AT62" s="1310"/>
      <c r="AU62" s="1310"/>
      <c r="AV62" s="1311"/>
      <c r="AW62" s="1310"/>
      <c r="AX62" s="1312"/>
      <c r="AY62" s="1271"/>
      <c r="AZ62" s="1262"/>
      <c r="BA62" s="1262"/>
      <c r="BB62" s="1272"/>
      <c r="BC62" s="1262"/>
      <c r="BD62" s="1280"/>
      <c r="BF62" s="1319"/>
      <c r="BG62" s="1310"/>
      <c r="BH62" s="1310"/>
      <c r="BI62" s="1311"/>
      <c r="BJ62" s="1310"/>
      <c r="BK62" s="1312"/>
      <c r="BL62" s="1271"/>
      <c r="BM62" s="1262"/>
      <c r="BN62" s="1262"/>
      <c r="BO62" s="1272"/>
      <c r="BP62" s="1262"/>
      <c r="BQ62" s="1280"/>
    </row>
    <row r="63" spans="1:69" ht="15" thickBot="1" x14ac:dyDescent="0.2">
      <c r="A63" s="1321" t="s">
        <v>370</v>
      </c>
      <c r="B63" s="1329" t="s">
        <v>690</v>
      </c>
      <c r="C63" s="1322" t="s">
        <v>646</v>
      </c>
      <c r="D63" s="1323">
        <v>150</v>
      </c>
      <c r="E63" s="1322" t="s">
        <v>634</v>
      </c>
      <c r="F63" s="1323">
        <v>1120</v>
      </c>
      <c r="G63" s="1366" t="s">
        <v>370</v>
      </c>
      <c r="H63" s="1366"/>
      <c r="I63" s="1689" t="s">
        <v>712</v>
      </c>
      <c r="J63" s="1690"/>
      <c r="K63" s="1690"/>
      <c r="L63" s="1691"/>
      <c r="M63" s="1283"/>
      <c r="N63" s="1299" t="s">
        <v>712</v>
      </c>
      <c r="O63" s="1281"/>
      <c r="P63" s="1282"/>
      <c r="Q63" s="1281"/>
      <c r="R63" s="1284"/>
      <c r="S63" s="1263"/>
      <c r="T63" s="1321" t="s">
        <v>370</v>
      </c>
      <c r="U63" s="1329" t="s">
        <v>690</v>
      </c>
      <c r="V63" s="1322" t="s">
        <v>646</v>
      </c>
      <c r="W63" s="1323">
        <v>150</v>
      </c>
      <c r="X63" s="1322" t="s">
        <v>634</v>
      </c>
      <c r="Y63" s="1323">
        <v>1120</v>
      </c>
      <c r="Z63" s="1283"/>
      <c r="AA63" s="1299" t="s">
        <v>712</v>
      </c>
      <c r="AB63" s="1281"/>
      <c r="AC63" s="1282"/>
      <c r="AD63" s="1281"/>
      <c r="AE63" s="1284"/>
      <c r="AF63" s="1321" t="s">
        <v>370</v>
      </c>
      <c r="AG63" s="1329" t="s">
        <v>690</v>
      </c>
      <c r="AH63" s="1322" t="s">
        <v>646</v>
      </c>
      <c r="AI63" s="1323">
        <v>150</v>
      </c>
      <c r="AJ63" s="1322" t="s">
        <v>634</v>
      </c>
      <c r="AK63" s="1323">
        <v>1120</v>
      </c>
      <c r="AL63" s="1283"/>
      <c r="AM63" s="1299" t="s">
        <v>712</v>
      </c>
      <c r="AN63" s="1281"/>
      <c r="AO63" s="1282"/>
      <c r="AP63" s="1281"/>
      <c r="AQ63" s="1284"/>
      <c r="AS63" s="1321" t="s">
        <v>370</v>
      </c>
      <c r="AT63" s="1329" t="s">
        <v>690</v>
      </c>
      <c r="AU63" s="1322" t="s">
        <v>646</v>
      </c>
      <c r="AV63" s="1323">
        <v>150</v>
      </c>
      <c r="AW63" s="1322" t="s">
        <v>634</v>
      </c>
      <c r="AX63" s="1323">
        <v>1120</v>
      </c>
      <c r="AY63" s="1283"/>
      <c r="AZ63" s="1299" t="s">
        <v>712</v>
      </c>
      <c r="BA63" s="1281"/>
      <c r="BB63" s="1282"/>
      <c r="BC63" s="1281"/>
      <c r="BD63" s="1284"/>
      <c r="BF63" s="1321" t="s">
        <v>370</v>
      </c>
      <c r="BG63" s="1329" t="s">
        <v>690</v>
      </c>
      <c r="BH63" s="1322" t="s">
        <v>646</v>
      </c>
      <c r="BI63" s="1323">
        <v>150</v>
      </c>
      <c r="BJ63" s="1322" t="s">
        <v>634</v>
      </c>
      <c r="BK63" s="1323">
        <v>1120</v>
      </c>
      <c r="BL63" s="1283"/>
      <c r="BM63" s="1299" t="s">
        <v>712</v>
      </c>
      <c r="BN63" s="1281"/>
      <c r="BO63" s="1282"/>
      <c r="BP63" s="1281"/>
      <c r="BQ63" s="1284"/>
    </row>
    <row r="64" spans="1:69" ht="18.75" customHeight="1" x14ac:dyDescent="0.15">
      <c r="A64" s="1309"/>
      <c r="B64" s="1310"/>
      <c r="C64" s="1310"/>
      <c r="D64" s="1311"/>
      <c r="E64" s="1310"/>
      <c r="F64" s="1312"/>
      <c r="G64" s="1312"/>
      <c r="H64" s="1312"/>
      <c r="I64" s="1312"/>
      <c r="J64" s="1312"/>
      <c r="K64" s="1312"/>
      <c r="L64" s="1312"/>
      <c r="M64" s="1271"/>
      <c r="N64" s="1262"/>
      <c r="O64" s="1262"/>
      <c r="P64" s="1272"/>
      <c r="Q64" s="1262"/>
      <c r="R64" s="1273"/>
      <c r="S64" s="1263"/>
      <c r="T64" s="1309"/>
      <c r="U64" s="1310"/>
      <c r="V64" s="1310"/>
      <c r="W64" s="1311"/>
      <c r="X64" s="1310"/>
      <c r="Y64" s="1312"/>
      <c r="Z64" s="1271"/>
      <c r="AA64" s="1262"/>
      <c r="AB64" s="1262"/>
      <c r="AC64" s="1272"/>
      <c r="AD64" s="1262"/>
      <c r="AE64" s="1273"/>
      <c r="AF64" s="1309"/>
      <c r="AG64" s="1310"/>
      <c r="AH64" s="1310"/>
      <c r="AI64" s="1311"/>
      <c r="AJ64" s="1310"/>
      <c r="AK64" s="1312"/>
      <c r="AL64" s="1271"/>
      <c r="AM64" s="1262"/>
      <c r="AN64" s="1262"/>
      <c r="AO64" s="1272"/>
      <c r="AP64" s="1262"/>
      <c r="AQ64" s="1273"/>
      <c r="AS64" s="1309"/>
      <c r="AT64" s="1310"/>
      <c r="AU64" s="1310"/>
      <c r="AV64" s="1311"/>
      <c r="AW64" s="1310"/>
      <c r="AX64" s="1312"/>
      <c r="AY64" s="1271"/>
      <c r="AZ64" s="1262"/>
      <c r="BA64" s="1262"/>
      <c r="BB64" s="1272"/>
      <c r="BC64" s="1262"/>
      <c r="BD64" s="1273"/>
      <c r="BF64" s="1309"/>
      <c r="BG64" s="1310"/>
      <c r="BH64" s="1310"/>
      <c r="BI64" s="1311"/>
      <c r="BJ64" s="1310"/>
      <c r="BK64" s="1312"/>
      <c r="BL64" s="1271"/>
      <c r="BM64" s="1262"/>
      <c r="BN64" s="1262"/>
      <c r="BO64" s="1272"/>
      <c r="BP64" s="1262"/>
      <c r="BQ64" s="1273"/>
    </row>
    <row r="65" spans="1:69" ht="14.25" x14ac:dyDescent="0.15">
      <c r="A65" s="1306" t="s">
        <v>16</v>
      </c>
      <c r="B65" s="1307" t="s">
        <v>664</v>
      </c>
      <c r="C65" s="1307" t="s">
        <v>116</v>
      </c>
      <c r="D65" s="1308">
        <v>250</v>
      </c>
      <c r="E65" s="1307" t="s">
        <v>634</v>
      </c>
      <c r="F65" s="1308">
        <v>560</v>
      </c>
      <c r="G65" s="1264" t="s">
        <v>16</v>
      </c>
      <c r="H65" s="1265" t="s">
        <v>664</v>
      </c>
      <c r="I65" s="1308" t="s">
        <v>116</v>
      </c>
      <c r="J65" s="1308">
        <v>500</v>
      </c>
      <c r="K65" s="1308" t="s">
        <v>561</v>
      </c>
      <c r="L65" s="1308">
        <v>600</v>
      </c>
      <c r="M65" s="1264" t="s">
        <v>16</v>
      </c>
      <c r="N65" s="1265" t="s">
        <v>664</v>
      </c>
      <c r="O65" s="1265" t="s">
        <v>116</v>
      </c>
      <c r="P65" s="1266">
        <v>350</v>
      </c>
      <c r="Q65" s="1265" t="s">
        <v>634</v>
      </c>
      <c r="R65" s="1266">
        <v>600</v>
      </c>
      <c r="S65" s="1263"/>
      <c r="T65" s="1306" t="s">
        <v>16</v>
      </c>
      <c r="U65" s="1307" t="s">
        <v>664</v>
      </c>
      <c r="V65" s="1307" t="s">
        <v>116</v>
      </c>
      <c r="W65" s="1308">
        <v>250</v>
      </c>
      <c r="X65" s="1307" t="s">
        <v>634</v>
      </c>
      <c r="Y65" s="1308">
        <v>560</v>
      </c>
      <c r="Z65" s="1264" t="s">
        <v>16</v>
      </c>
      <c r="AA65" s="1265" t="s">
        <v>664</v>
      </c>
      <c r="AB65" s="1265" t="s">
        <v>116</v>
      </c>
      <c r="AC65" s="1266">
        <v>350</v>
      </c>
      <c r="AD65" s="1265" t="s">
        <v>634</v>
      </c>
      <c r="AE65" s="1266">
        <v>600</v>
      </c>
      <c r="AF65" s="1306" t="s">
        <v>16</v>
      </c>
      <c r="AG65" s="1307" t="s">
        <v>664</v>
      </c>
      <c r="AH65" s="1307" t="s">
        <v>116</v>
      </c>
      <c r="AI65" s="1308">
        <v>250</v>
      </c>
      <c r="AJ65" s="1307" t="s">
        <v>634</v>
      </c>
      <c r="AK65" s="1308">
        <v>560</v>
      </c>
      <c r="AL65" s="1264" t="s">
        <v>16</v>
      </c>
      <c r="AM65" s="1265" t="s">
        <v>664</v>
      </c>
      <c r="AN65" s="1265" t="s">
        <v>116</v>
      </c>
      <c r="AO65" s="1266">
        <v>350</v>
      </c>
      <c r="AP65" s="1265" t="s">
        <v>634</v>
      </c>
      <c r="AQ65" s="1266">
        <v>600</v>
      </c>
      <c r="AS65" s="1306" t="s">
        <v>16</v>
      </c>
      <c r="AT65" s="1307" t="s">
        <v>664</v>
      </c>
      <c r="AU65" s="1307" t="s">
        <v>116</v>
      </c>
      <c r="AV65" s="1308">
        <v>250</v>
      </c>
      <c r="AW65" s="1307" t="s">
        <v>634</v>
      </c>
      <c r="AX65" s="1308">
        <v>560</v>
      </c>
      <c r="AY65" s="1264" t="s">
        <v>16</v>
      </c>
      <c r="AZ65" s="1265" t="s">
        <v>664</v>
      </c>
      <c r="BA65" s="1265" t="s">
        <v>116</v>
      </c>
      <c r="BB65" s="1266">
        <v>350</v>
      </c>
      <c r="BC65" s="1265" t="s">
        <v>634</v>
      </c>
      <c r="BD65" s="1266">
        <v>600</v>
      </c>
      <c r="BF65" s="1306" t="s">
        <v>16</v>
      </c>
      <c r="BG65" s="1307" t="s">
        <v>664</v>
      </c>
      <c r="BH65" s="1307" t="s">
        <v>116</v>
      </c>
      <c r="BI65" s="1308">
        <v>250</v>
      </c>
      <c r="BJ65" s="1307" t="s">
        <v>634</v>
      </c>
      <c r="BK65" s="1308">
        <v>560</v>
      </c>
      <c r="BL65" s="1264" t="s">
        <v>16</v>
      </c>
      <c r="BM65" s="1265" t="s">
        <v>664</v>
      </c>
      <c r="BN65" s="1265" t="s">
        <v>116</v>
      </c>
      <c r="BO65" s="1266">
        <v>350</v>
      </c>
      <c r="BP65" s="1265" t="s">
        <v>634</v>
      </c>
      <c r="BQ65" s="1266">
        <v>600</v>
      </c>
    </row>
    <row r="66" spans="1:69" ht="18.75" customHeight="1" thickBot="1" x14ac:dyDescent="0.2">
      <c r="A66" s="1309"/>
      <c r="B66" s="1310"/>
      <c r="C66" s="1310"/>
      <c r="D66" s="1311"/>
      <c r="E66" s="1310"/>
      <c r="F66" s="1312"/>
      <c r="G66" s="1271"/>
      <c r="H66" s="1262"/>
      <c r="I66" s="1312"/>
      <c r="J66" s="1312"/>
      <c r="K66" s="1312"/>
      <c r="L66" s="1312"/>
      <c r="M66" s="1271"/>
      <c r="N66" s="1262"/>
      <c r="O66" s="1262"/>
      <c r="P66" s="1272"/>
      <c r="Q66" s="1262"/>
      <c r="R66" s="1273"/>
      <c r="S66" s="1263"/>
      <c r="T66" s="1309"/>
      <c r="U66" s="1310"/>
      <c r="V66" s="1310"/>
      <c r="W66" s="1311"/>
      <c r="X66" s="1310"/>
      <c r="Y66" s="1312"/>
      <c r="Z66" s="1271"/>
      <c r="AA66" s="1262"/>
      <c r="AB66" s="1262"/>
      <c r="AC66" s="1272"/>
      <c r="AD66" s="1262"/>
      <c r="AE66" s="1273"/>
      <c r="AF66" s="1309"/>
      <c r="AG66" s="1310"/>
      <c r="AH66" s="1310"/>
      <c r="AI66" s="1311"/>
      <c r="AJ66" s="1310"/>
      <c r="AK66" s="1312"/>
      <c r="AL66" s="1271"/>
      <c r="AM66" s="1262"/>
      <c r="AN66" s="1262"/>
      <c r="AO66" s="1272"/>
      <c r="AP66" s="1262"/>
      <c r="AQ66" s="1273"/>
      <c r="AS66" s="1309"/>
      <c r="AT66" s="1310"/>
      <c r="AU66" s="1310"/>
      <c r="AV66" s="1311"/>
      <c r="AW66" s="1310"/>
      <c r="AX66" s="1312"/>
      <c r="AY66" s="1271"/>
      <c r="AZ66" s="1262"/>
      <c r="BA66" s="1262"/>
      <c r="BB66" s="1272"/>
      <c r="BC66" s="1262"/>
      <c r="BD66" s="1273"/>
      <c r="BF66" s="1309"/>
      <c r="BG66" s="1310"/>
      <c r="BH66" s="1310"/>
      <c r="BI66" s="1311"/>
      <c r="BJ66" s="1310"/>
      <c r="BK66" s="1312"/>
      <c r="BL66" s="1271"/>
      <c r="BM66" s="1262"/>
      <c r="BN66" s="1262"/>
      <c r="BO66" s="1272"/>
      <c r="BP66" s="1262"/>
      <c r="BQ66" s="1273"/>
    </row>
    <row r="67" spans="1:69" ht="14.25" x14ac:dyDescent="0.15">
      <c r="A67" s="1313" t="s">
        <v>120</v>
      </c>
      <c r="B67" s="1314" t="s">
        <v>682</v>
      </c>
      <c r="C67" s="1314" t="s">
        <v>116</v>
      </c>
      <c r="D67" s="1315">
        <v>275</v>
      </c>
      <c r="E67" s="1314" t="s">
        <v>691</v>
      </c>
      <c r="F67" s="1315">
        <v>750</v>
      </c>
      <c r="G67" s="1276" t="s">
        <v>665</v>
      </c>
      <c r="H67" s="1274" t="s">
        <v>682</v>
      </c>
      <c r="I67" s="1315" t="s">
        <v>116</v>
      </c>
      <c r="J67" s="1315">
        <v>510</v>
      </c>
      <c r="K67" s="1316" t="s">
        <v>634</v>
      </c>
      <c r="L67" s="1315">
        <v>660</v>
      </c>
      <c r="M67" s="1276" t="s">
        <v>665</v>
      </c>
      <c r="N67" s="1274" t="s">
        <v>682</v>
      </c>
      <c r="O67" s="1274" t="s">
        <v>116</v>
      </c>
      <c r="P67" s="1275">
        <v>350</v>
      </c>
      <c r="Q67" s="1274" t="s">
        <v>634</v>
      </c>
      <c r="R67" s="1277">
        <v>740</v>
      </c>
      <c r="S67" s="1263"/>
      <c r="T67" s="1337"/>
      <c r="U67" s="1338"/>
      <c r="V67" s="1338"/>
      <c r="W67" s="1338"/>
      <c r="X67" s="1338"/>
      <c r="Y67" s="1338"/>
      <c r="Z67" s="1301"/>
      <c r="AA67" s="1301"/>
      <c r="AB67" s="1301"/>
      <c r="AC67" s="1301"/>
      <c r="AD67" s="1301"/>
      <c r="AE67" s="1302"/>
      <c r="AF67" s="1337"/>
      <c r="AG67" s="1338"/>
      <c r="AH67" s="1338"/>
      <c r="AI67" s="1338"/>
      <c r="AJ67" s="1338"/>
      <c r="AK67" s="1338"/>
      <c r="AL67" s="1301"/>
      <c r="AM67" s="1301"/>
      <c r="AN67" s="1301"/>
      <c r="AO67" s="1301"/>
      <c r="AP67" s="1301"/>
      <c r="AQ67" s="1302"/>
      <c r="AS67" s="1337"/>
      <c r="AT67" s="1338"/>
      <c r="AU67" s="1338"/>
      <c r="AV67" s="1338"/>
      <c r="AW67" s="1338"/>
      <c r="AX67" s="1338"/>
      <c r="AY67" s="1301"/>
      <c r="AZ67" s="1301"/>
      <c r="BA67" s="1301"/>
      <c r="BB67" s="1301"/>
      <c r="BC67" s="1301"/>
      <c r="BD67" s="1302"/>
      <c r="BF67" s="1337"/>
      <c r="BG67" s="1338"/>
      <c r="BH67" s="1338"/>
      <c r="BI67" s="1338"/>
      <c r="BJ67" s="1338"/>
      <c r="BK67" s="1338"/>
      <c r="BL67" s="1301"/>
      <c r="BM67" s="1301"/>
      <c r="BN67" s="1301"/>
      <c r="BO67" s="1301"/>
      <c r="BP67" s="1301"/>
      <c r="BQ67" s="1302"/>
    </row>
    <row r="68" spans="1:69" ht="14.25" x14ac:dyDescent="0.15">
      <c r="A68" s="1317"/>
      <c r="B68" s="1307" t="s">
        <v>674</v>
      </c>
      <c r="C68" s="1307"/>
      <c r="D68" s="1308"/>
      <c r="E68" s="1307" t="s">
        <v>692</v>
      </c>
      <c r="F68" s="1308">
        <v>780</v>
      </c>
      <c r="G68" s="1311"/>
      <c r="H68" s="1311"/>
      <c r="I68" s="1311"/>
      <c r="J68" s="1311"/>
      <c r="K68" s="1362"/>
      <c r="L68" s="1311"/>
      <c r="M68" s="1271"/>
      <c r="N68" s="1262"/>
      <c r="O68" s="1262"/>
      <c r="P68" s="1272"/>
      <c r="Q68" s="1262"/>
      <c r="R68" s="1280"/>
      <c r="S68" s="1263"/>
      <c r="T68" s="1319"/>
      <c r="U68" s="1309"/>
      <c r="V68" s="1309"/>
      <c r="W68" s="1309"/>
      <c r="X68" s="1309"/>
      <c r="Y68" s="1309"/>
      <c r="Z68" s="1271"/>
      <c r="AA68" s="1262"/>
      <c r="AB68" s="1262"/>
      <c r="AC68" s="1272"/>
      <c r="AD68" s="1262"/>
      <c r="AE68" s="1280"/>
      <c r="AF68" s="1319"/>
      <c r="AG68" s="1309"/>
      <c r="AH68" s="1309"/>
      <c r="AI68" s="1309"/>
      <c r="AJ68" s="1309"/>
      <c r="AK68" s="1309"/>
      <c r="AL68" s="1271"/>
      <c r="AM68" s="1262"/>
      <c r="AN68" s="1262"/>
      <c r="AO68" s="1272"/>
      <c r="AP68" s="1262"/>
      <c r="AQ68" s="1280"/>
      <c r="AS68" s="1319"/>
      <c r="AT68" s="1309"/>
      <c r="AU68" s="1309"/>
      <c r="AV68" s="1309"/>
      <c r="AW68" s="1309"/>
      <c r="AX68" s="1309"/>
      <c r="AY68" s="1271"/>
      <c r="AZ68" s="1262"/>
      <c r="BA68" s="1262"/>
      <c r="BB68" s="1272"/>
      <c r="BC68" s="1262"/>
      <c r="BD68" s="1280"/>
      <c r="BF68" s="1319"/>
      <c r="BG68" s="1309"/>
      <c r="BH68" s="1309"/>
      <c r="BI68" s="1309"/>
      <c r="BJ68" s="1309"/>
      <c r="BK68" s="1309"/>
      <c r="BL68" s="1271"/>
      <c r="BM68" s="1262"/>
      <c r="BN68" s="1262"/>
      <c r="BO68" s="1272"/>
      <c r="BP68" s="1262"/>
      <c r="BQ68" s="1280"/>
    </row>
    <row r="69" spans="1:69" ht="14.25" x14ac:dyDescent="0.15">
      <c r="A69" s="1319"/>
      <c r="B69" s="1310"/>
      <c r="C69" s="1310"/>
      <c r="D69" s="1311"/>
      <c r="E69" s="1310"/>
      <c r="F69" s="1312"/>
      <c r="G69" s="1312"/>
      <c r="H69" s="1312"/>
      <c r="I69" s="1312"/>
      <c r="J69" s="1312"/>
      <c r="K69" s="1312"/>
      <c r="L69" s="1312"/>
      <c r="M69" s="1271"/>
      <c r="N69" s="1262"/>
      <c r="O69" s="1262"/>
      <c r="P69" s="1272"/>
      <c r="Q69" s="1262"/>
      <c r="R69" s="1280"/>
      <c r="S69" s="1263"/>
      <c r="T69" s="1319"/>
      <c r="U69" s="1310"/>
      <c r="V69" s="1310"/>
      <c r="W69" s="1311"/>
      <c r="X69" s="1310"/>
      <c r="Y69" s="1312"/>
      <c r="Z69" s="1271"/>
      <c r="AA69" s="1262"/>
      <c r="AB69" s="1262"/>
      <c r="AC69" s="1272"/>
      <c r="AD69" s="1262"/>
      <c r="AE69" s="1280"/>
      <c r="AF69" s="1319"/>
      <c r="AG69" s="1310"/>
      <c r="AH69" s="1310"/>
      <c r="AI69" s="1311"/>
      <c r="AJ69" s="1310"/>
      <c r="AK69" s="1312"/>
      <c r="AL69" s="1271"/>
      <c r="AM69" s="1262"/>
      <c r="AN69" s="1262"/>
      <c r="AO69" s="1272"/>
      <c r="AP69" s="1262"/>
      <c r="AQ69" s="1280"/>
      <c r="AS69" s="1319"/>
      <c r="AT69" s="1310"/>
      <c r="AU69" s="1310"/>
      <c r="AV69" s="1311"/>
      <c r="AW69" s="1310"/>
      <c r="AX69" s="1312"/>
      <c r="AY69" s="1271"/>
      <c r="AZ69" s="1262"/>
      <c r="BA69" s="1262"/>
      <c r="BB69" s="1272"/>
      <c r="BC69" s="1262"/>
      <c r="BD69" s="1280"/>
      <c r="BF69" s="1319"/>
      <c r="BG69" s="1310"/>
      <c r="BH69" s="1310"/>
      <c r="BI69" s="1311"/>
      <c r="BJ69" s="1310"/>
      <c r="BK69" s="1312"/>
      <c r="BL69" s="1271"/>
      <c r="BM69" s="1262"/>
      <c r="BN69" s="1262"/>
      <c r="BO69" s="1272"/>
      <c r="BP69" s="1262"/>
      <c r="BQ69" s="1280"/>
    </row>
    <row r="70" spans="1:69" ht="18.75" customHeight="1" x14ac:dyDescent="0.15">
      <c r="A70" s="1317" t="s">
        <v>124</v>
      </c>
      <c r="B70" s="1307" t="s">
        <v>693</v>
      </c>
      <c r="C70" s="1307" t="s">
        <v>116</v>
      </c>
      <c r="D70" s="1308">
        <v>265</v>
      </c>
      <c r="E70" s="1307" t="s">
        <v>691</v>
      </c>
      <c r="F70" s="1308">
        <v>740</v>
      </c>
      <c r="G70" s="1311"/>
      <c r="H70" s="1311"/>
      <c r="I70" s="1311"/>
      <c r="J70" s="1311"/>
      <c r="K70" s="1311"/>
      <c r="L70" s="1311"/>
      <c r="M70" s="1271"/>
      <c r="N70" s="1262"/>
      <c r="O70" s="1262"/>
      <c r="P70" s="1272"/>
      <c r="Q70" s="1262"/>
      <c r="R70" s="1280"/>
      <c r="S70" s="1263"/>
      <c r="T70" s="1317" t="s">
        <v>665</v>
      </c>
      <c r="U70" s="1307" t="s">
        <v>693</v>
      </c>
      <c r="V70" s="1307" t="s">
        <v>116</v>
      </c>
      <c r="W70" s="1308">
        <v>265</v>
      </c>
      <c r="X70" s="1339" t="s">
        <v>691</v>
      </c>
      <c r="Y70" s="1308">
        <v>735</v>
      </c>
      <c r="Z70" s="1264" t="s">
        <v>665</v>
      </c>
      <c r="AA70" s="1265" t="s">
        <v>682</v>
      </c>
      <c r="AB70" s="1265" t="s">
        <v>116</v>
      </c>
      <c r="AC70" s="1266">
        <v>350</v>
      </c>
      <c r="AD70" s="1265" t="s">
        <v>634</v>
      </c>
      <c r="AE70" s="1278">
        <v>740</v>
      </c>
      <c r="AF70" s="1317" t="s">
        <v>665</v>
      </c>
      <c r="AG70" s="1307" t="s">
        <v>693</v>
      </c>
      <c r="AH70" s="1307" t="s">
        <v>116</v>
      </c>
      <c r="AI70" s="1308">
        <v>265</v>
      </c>
      <c r="AJ70" s="1339" t="s">
        <v>691</v>
      </c>
      <c r="AK70" s="1308">
        <v>735</v>
      </c>
      <c r="AL70" s="1264" t="s">
        <v>665</v>
      </c>
      <c r="AM70" s="1265" t="s">
        <v>682</v>
      </c>
      <c r="AN70" s="1265" t="s">
        <v>116</v>
      </c>
      <c r="AO70" s="1266">
        <v>350</v>
      </c>
      <c r="AP70" s="1265" t="s">
        <v>634</v>
      </c>
      <c r="AQ70" s="1278">
        <v>740</v>
      </c>
      <c r="AS70" s="1317" t="s">
        <v>665</v>
      </c>
      <c r="AT70" s="1307" t="s">
        <v>693</v>
      </c>
      <c r="AU70" s="1307" t="s">
        <v>116</v>
      </c>
      <c r="AV70" s="1308">
        <v>265</v>
      </c>
      <c r="AW70" s="1339" t="s">
        <v>691</v>
      </c>
      <c r="AX70" s="1308">
        <v>735</v>
      </c>
      <c r="AY70" s="1264" t="s">
        <v>665</v>
      </c>
      <c r="AZ70" s="1265" t="s">
        <v>682</v>
      </c>
      <c r="BA70" s="1265" t="s">
        <v>116</v>
      </c>
      <c r="BB70" s="1266">
        <v>350</v>
      </c>
      <c r="BC70" s="1265" t="s">
        <v>634</v>
      </c>
      <c r="BD70" s="1278">
        <v>740</v>
      </c>
      <c r="BF70" s="1317" t="s">
        <v>665</v>
      </c>
      <c r="BG70" s="1307" t="s">
        <v>693</v>
      </c>
      <c r="BH70" s="1307" t="s">
        <v>116</v>
      </c>
      <c r="BI70" s="1308">
        <v>265</v>
      </c>
      <c r="BJ70" s="1339" t="s">
        <v>691</v>
      </c>
      <c r="BK70" s="1308">
        <v>735</v>
      </c>
      <c r="BL70" s="1264" t="s">
        <v>665</v>
      </c>
      <c r="BM70" s="1265" t="s">
        <v>682</v>
      </c>
      <c r="BN70" s="1265" t="s">
        <v>116</v>
      </c>
      <c r="BO70" s="1266">
        <v>350</v>
      </c>
      <c r="BP70" s="1265" t="s">
        <v>634</v>
      </c>
      <c r="BQ70" s="1278">
        <v>740</v>
      </c>
    </row>
    <row r="71" spans="1:69" ht="18.75" customHeight="1" x14ac:dyDescent="0.15">
      <c r="A71" s="1317"/>
      <c r="B71" s="1307" t="s">
        <v>694</v>
      </c>
      <c r="C71" s="1307"/>
      <c r="D71" s="1308"/>
      <c r="E71" s="1307" t="s">
        <v>692</v>
      </c>
      <c r="F71" s="1308">
        <v>760</v>
      </c>
      <c r="G71" s="1311"/>
      <c r="H71" s="1311"/>
      <c r="I71" s="1311"/>
      <c r="J71" s="1311"/>
      <c r="K71" s="1311"/>
      <c r="L71" s="1311"/>
      <c r="M71" s="1271"/>
      <c r="N71" s="1262"/>
      <c r="O71" s="1262"/>
      <c r="P71" s="1272"/>
      <c r="Q71" s="1262"/>
      <c r="R71" s="1280"/>
      <c r="S71" s="1263"/>
      <c r="T71" s="1317"/>
      <c r="U71" s="1307" t="s">
        <v>694</v>
      </c>
      <c r="V71" s="1307"/>
      <c r="W71" s="1308"/>
      <c r="X71" s="1307" t="s">
        <v>692</v>
      </c>
      <c r="Y71" s="1340">
        <v>760</v>
      </c>
      <c r="Z71" s="1271"/>
      <c r="AA71" s="1262"/>
      <c r="AB71" s="1262"/>
      <c r="AC71" s="1272"/>
      <c r="AD71" s="1262"/>
      <c r="AE71" s="1280"/>
      <c r="AF71" s="1317"/>
      <c r="AG71" s="1307" t="s">
        <v>694</v>
      </c>
      <c r="AH71" s="1307"/>
      <c r="AI71" s="1308"/>
      <c r="AJ71" s="1307" t="s">
        <v>692</v>
      </c>
      <c r="AK71" s="1340">
        <v>760</v>
      </c>
      <c r="AL71" s="1271"/>
      <c r="AM71" s="1262"/>
      <c r="AN71" s="1262"/>
      <c r="AO71" s="1272"/>
      <c r="AP71" s="1262"/>
      <c r="AQ71" s="1280"/>
      <c r="AS71" s="1317"/>
      <c r="AT71" s="1307" t="s">
        <v>694</v>
      </c>
      <c r="AU71" s="1307"/>
      <c r="AV71" s="1308"/>
      <c r="AW71" s="1307" t="s">
        <v>692</v>
      </c>
      <c r="AX71" s="1340">
        <v>760</v>
      </c>
      <c r="AY71" s="1271"/>
      <c r="AZ71" s="1262"/>
      <c r="BA71" s="1262"/>
      <c r="BB71" s="1272"/>
      <c r="BC71" s="1262"/>
      <c r="BD71" s="1280"/>
      <c r="BF71" s="1317"/>
      <c r="BG71" s="1307" t="s">
        <v>694</v>
      </c>
      <c r="BH71" s="1307"/>
      <c r="BI71" s="1308"/>
      <c r="BJ71" s="1307" t="s">
        <v>692</v>
      </c>
      <c r="BK71" s="1340">
        <v>760</v>
      </c>
      <c r="BL71" s="1271"/>
      <c r="BM71" s="1262"/>
      <c r="BN71" s="1262"/>
      <c r="BO71" s="1272"/>
      <c r="BP71" s="1262"/>
      <c r="BQ71" s="1280"/>
    </row>
    <row r="72" spans="1:69" ht="18.75" customHeight="1" x14ac:dyDescent="0.15">
      <c r="A72" s="1319"/>
      <c r="B72" s="1310"/>
      <c r="C72" s="1310"/>
      <c r="D72" s="1311"/>
      <c r="E72" s="1310"/>
      <c r="F72" s="1311"/>
      <c r="G72" s="1311"/>
      <c r="H72" s="1311"/>
      <c r="I72" s="1311"/>
      <c r="J72" s="1311"/>
      <c r="K72" s="1311"/>
      <c r="L72" s="1311"/>
      <c r="M72" s="1271"/>
      <c r="N72" s="1262"/>
      <c r="O72" s="1262"/>
      <c r="P72" s="1272"/>
      <c r="Q72" s="1262"/>
      <c r="R72" s="1280"/>
      <c r="S72" s="1263"/>
      <c r="T72" s="1319"/>
      <c r="U72" s="1310"/>
      <c r="V72" s="1310"/>
      <c r="W72" s="1311"/>
      <c r="X72" s="1310"/>
      <c r="Y72" s="1311"/>
      <c r="Z72" s="1271"/>
      <c r="AA72" s="1262"/>
      <c r="AB72" s="1262"/>
      <c r="AC72" s="1272"/>
      <c r="AD72" s="1262"/>
      <c r="AE72" s="1280"/>
      <c r="AF72" s="1319"/>
      <c r="AG72" s="1310"/>
      <c r="AH72" s="1310"/>
      <c r="AI72" s="1311"/>
      <c r="AJ72" s="1310"/>
      <c r="AK72" s="1311"/>
      <c r="AL72" s="1271"/>
      <c r="AM72" s="1262"/>
      <c r="AN72" s="1262"/>
      <c r="AO72" s="1272"/>
      <c r="AP72" s="1262"/>
      <c r="AQ72" s="1280"/>
      <c r="AS72" s="1319"/>
      <c r="AT72" s="1310"/>
      <c r="AU72" s="1310"/>
      <c r="AV72" s="1311"/>
      <c r="AW72" s="1310"/>
      <c r="AX72" s="1311"/>
      <c r="AY72" s="1271"/>
      <c r="AZ72" s="1262"/>
      <c r="BA72" s="1262"/>
      <c r="BB72" s="1272"/>
      <c r="BC72" s="1262"/>
      <c r="BD72" s="1280"/>
      <c r="BF72" s="1319"/>
      <c r="BG72" s="1310"/>
      <c r="BH72" s="1310"/>
      <c r="BI72" s="1311"/>
      <c r="BJ72" s="1310"/>
      <c r="BK72" s="1311"/>
      <c r="BL72" s="1271"/>
      <c r="BM72" s="1262"/>
      <c r="BN72" s="1262"/>
      <c r="BO72" s="1272"/>
      <c r="BP72" s="1262"/>
      <c r="BQ72" s="1280"/>
    </row>
    <row r="73" spans="1:69" ht="18.75" customHeight="1" x14ac:dyDescent="0.15">
      <c r="A73" s="1317"/>
      <c r="B73" s="1330" t="s">
        <v>620</v>
      </c>
      <c r="C73" s="1307" t="s">
        <v>116</v>
      </c>
      <c r="D73" s="1308">
        <v>245</v>
      </c>
      <c r="E73" s="1307" t="s">
        <v>634</v>
      </c>
      <c r="F73" s="1308">
        <v>525</v>
      </c>
      <c r="G73" s="1308"/>
      <c r="H73" s="1160" t="s">
        <v>620</v>
      </c>
      <c r="I73" s="1307" t="s">
        <v>116</v>
      </c>
      <c r="J73" s="1308">
        <v>245</v>
      </c>
      <c r="K73" s="1318" t="s">
        <v>634</v>
      </c>
      <c r="L73" s="1308">
        <v>525</v>
      </c>
      <c r="M73" s="1264"/>
      <c r="N73" s="1160" t="s">
        <v>620</v>
      </c>
      <c r="O73" s="1265" t="s">
        <v>116</v>
      </c>
      <c r="P73" s="1266">
        <v>300</v>
      </c>
      <c r="Q73" s="1265" t="s">
        <v>634</v>
      </c>
      <c r="R73" s="1278">
        <v>525</v>
      </c>
      <c r="S73" s="1263"/>
      <c r="T73" s="1319"/>
      <c r="U73" s="1310"/>
      <c r="V73" s="1310"/>
      <c r="W73" s="1310"/>
      <c r="X73" s="1310"/>
      <c r="Y73" s="1310"/>
      <c r="Z73" s="1262"/>
      <c r="AA73" s="1262"/>
      <c r="AB73" s="1262"/>
      <c r="AC73" s="1262"/>
      <c r="AD73" s="1262"/>
      <c r="AE73" s="1303"/>
      <c r="AF73" s="1319"/>
      <c r="AG73" s="1310"/>
      <c r="AH73" s="1310"/>
      <c r="AI73" s="1310"/>
      <c r="AJ73" s="1310"/>
      <c r="AK73" s="1310"/>
      <c r="AL73" s="1262"/>
      <c r="AM73" s="1262"/>
      <c r="AN73" s="1262"/>
      <c r="AO73" s="1262"/>
      <c r="AP73" s="1262"/>
      <c r="AQ73" s="1303"/>
      <c r="AS73" s="1319"/>
      <c r="AT73" s="1310"/>
      <c r="AU73" s="1310"/>
      <c r="AV73" s="1310"/>
      <c r="AW73" s="1310"/>
      <c r="AX73" s="1310"/>
      <c r="AY73" s="1262"/>
      <c r="AZ73" s="1262"/>
      <c r="BA73" s="1262"/>
      <c r="BB73" s="1262"/>
      <c r="BC73" s="1262"/>
      <c r="BD73" s="1303"/>
      <c r="BF73" s="1319"/>
      <c r="BG73" s="1310"/>
      <c r="BH73" s="1310"/>
      <c r="BI73" s="1310"/>
      <c r="BJ73" s="1310"/>
      <c r="BK73" s="1310"/>
      <c r="BL73" s="1262"/>
      <c r="BM73" s="1262"/>
      <c r="BN73" s="1262"/>
      <c r="BO73" s="1262"/>
      <c r="BP73" s="1262"/>
      <c r="BQ73" s="1303"/>
    </row>
    <row r="74" spans="1:69" ht="18.75" customHeight="1" x14ac:dyDescent="0.15">
      <c r="A74" s="1317"/>
      <c r="B74" s="1330" t="s">
        <v>621</v>
      </c>
      <c r="C74" s="1307" t="s">
        <v>116</v>
      </c>
      <c r="D74" s="1308">
        <v>275</v>
      </c>
      <c r="E74" s="1307" t="s">
        <v>634</v>
      </c>
      <c r="F74" s="1308">
        <v>660</v>
      </c>
      <c r="G74" s="1308"/>
      <c r="H74" s="1160" t="s">
        <v>621</v>
      </c>
      <c r="I74" s="1307" t="s">
        <v>116</v>
      </c>
      <c r="J74" s="1308">
        <v>275</v>
      </c>
      <c r="K74" s="1318" t="s">
        <v>634</v>
      </c>
      <c r="L74" s="1308">
        <v>660</v>
      </c>
      <c r="M74" s="1264"/>
      <c r="N74" s="1160" t="s">
        <v>621</v>
      </c>
      <c r="O74" s="1265" t="s">
        <v>116</v>
      </c>
      <c r="P74" s="1266">
        <v>350</v>
      </c>
      <c r="Q74" s="1265" t="s">
        <v>634</v>
      </c>
      <c r="R74" s="1278">
        <v>700</v>
      </c>
      <c r="S74" s="1263"/>
      <c r="T74" s="1317"/>
      <c r="U74" s="1330" t="s">
        <v>621</v>
      </c>
      <c r="V74" s="1307" t="s">
        <v>116</v>
      </c>
      <c r="W74" s="1308">
        <v>275</v>
      </c>
      <c r="X74" s="1307" t="s">
        <v>634</v>
      </c>
      <c r="Y74" s="1308">
        <v>660</v>
      </c>
      <c r="Z74" s="1264"/>
      <c r="AA74" s="1160" t="s">
        <v>621</v>
      </c>
      <c r="AB74" s="1265" t="s">
        <v>116</v>
      </c>
      <c r="AC74" s="1266">
        <v>350</v>
      </c>
      <c r="AD74" s="1265" t="s">
        <v>634</v>
      </c>
      <c r="AE74" s="1278">
        <v>700</v>
      </c>
      <c r="AF74" s="1317"/>
      <c r="AG74" s="1330" t="s">
        <v>621</v>
      </c>
      <c r="AH74" s="1307" t="s">
        <v>116</v>
      </c>
      <c r="AI74" s="1308">
        <v>275</v>
      </c>
      <c r="AJ74" s="1307" t="s">
        <v>634</v>
      </c>
      <c r="AK74" s="1308">
        <v>660</v>
      </c>
      <c r="AL74" s="1264"/>
      <c r="AM74" s="1160" t="s">
        <v>621</v>
      </c>
      <c r="AN74" s="1265" t="s">
        <v>116</v>
      </c>
      <c r="AO74" s="1266">
        <v>350</v>
      </c>
      <c r="AP74" s="1265" t="s">
        <v>634</v>
      </c>
      <c r="AQ74" s="1278">
        <v>700</v>
      </c>
      <c r="AS74" s="1317"/>
      <c r="AT74" s="1330" t="s">
        <v>621</v>
      </c>
      <c r="AU74" s="1307" t="s">
        <v>116</v>
      </c>
      <c r="AV74" s="1308">
        <v>275</v>
      </c>
      <c r="AW74" s="1307" t="s">
        <v>634</v>
      </c>
      <c r="AX74" s="1308">
        <v>660</v>
      </c>
      <c r="AY74" s="1264"/>
      <c r="AZ74" s="1160" t="s">
        <v>621</v>
      </c>
      <c r="BA74" s="1265" t="s">
        <v>116</v>
      </c>
      <c r="BB74" s="1266">
        <v>350</v>
      </c>
      <c r="BC74" s="1265" t="s">
        <v>634</v>
      </c>
      <c r="BD74" s="1278">
        <v>700</v>
      </c>
      <c r="BF74" s="1317"/>
      <c r="BG74" s="1330" t="s">
        <v>621</v>
      </c>
      <c r="BH74" s="1307" t="s">
        <v>116</v>
      </c>
      <c r="BI74" s="1308">
        <v>275</v>
      </c>
      <c r="BJ74" s="1307" t="s">
        <v>634</v>
      </c>
      <c r="BK74" s="1308">
        <v>660</v>
      </c>
      <c r="BL74" s="1264"/>
      <c r="BM74" s="1160" t="s">
        <v>621</v>
      </c>
      <c r="BN74" s="1265" t="s">
        <v>116</v>
      </c>
      <c r="BO74" s="1266">
        <v>350</v>
      </c>
      <c r="BP74" s="1265" t="s">
        <v>634</v>
      </c>
      <c r="BQ74" s="1278">
        <v>700</v>
      </c>
    </row>
    <row r="75" spans="1:69" ht="18.75" customHeight="1" thickBot="1" x14ac:dyDescent="0.2">
      <c r="A75" s="1321"/>
      <c r="B75" s="1331" t="s">
        <v>622</v>
      </c>
      <c r="C75" s="1322" t="s">
        <v>116</v>
      </c>
      <c r="D75" s="1323">
        <v>275</v>
      </c>
      <c r="E75" s="1322" t="s">
        <v>634</v>
      </c>
      <c r="F75" s="1323">
        <v>700</v>
      </c>
      <c r="G75" s="1323"/>
      <c r="H75" s="1292" t="s">
        <v>622</v>
      </c>
      <c r="I75" s="1322" t="s">
        <v>116</v>
      </c>
      <c r="J75" s="1323">
        <v>275</v>
      </c>
      <c r="K75" s="1363" t="s">
        <v>634</v>
      </c>
      <c r="L75" s="1323">
        <v>700</v>
      </c>
      <c r="M75" s="1283"/>
      <c r="N75" s="1292" t="s">
        <v>622</v>
      </c>
      <c r="O75" s="1281" t="s">
        <v>116</v>
      </c>
      <c r="P75" s="1282">
        <v>350</v>
      </c>
      <c r="Q75" s="1281" t="s">
        <v>634</v>
      </c>
      <c r="R75" s="1285">
        <v>700</v>
      </c>
      <c r="S75" s="1263"/>
      <c r="T75" s="1321"/>
      <c r="U75" s="1331" t="s">
        <v>622</v>
      </c>
      <c r="V75" s="1322" t="s">
        <v>116</v>
      </c>
      <c r="W75" s="1323">
        <v>275</v>
      </c>
      <c r="X75" s="1322" t="s">
        <v>634</v>
      </c>
      <c r="Y75" s="1323">
        <v>700</v>
      </c>
      <c r="Z75" s="1283"/>
      <c r="AA75" s="1292" t="s">
        <v>622</v>
      </c>
      <c r="AB75" s="1281" t="s">
        <v>116</v>
      </c>
      <c r="AC75" s="1282">
        <v>350</v>
      </c>
      <c r="AD75" s="1281" t="s">
        <v>634</v>
      </c>
      <c r="AE75" s="1285">
        <v>700</v>
      </c>
      <c r="AF75" s="1321"/>
      <c r="AG75" s="1331" t="s">
        <v>622</v>
      </c>
      <c r="AH75" s="1322" t="s">
        <v>116</v>
      </c>
      <c r="AI75" s="1323">
        <v>275</v>
      </c>
      <c r="AJ75" s="1322" t="s">
        <v>634</v>
      </c>
      <c r="AK75" s="1323">
        <v>700</v>
      </c>
      <c r="AL75" s="1283"/>
      <c r="AM75" s="1292" t="s">
        <v>622</v>
      </c>
      <c r="AN75" s="1281" t="s">
        <v>116</v>
      </c>
      <c r="AO75" s="1282">
        <v>350</v>
      </c>
      <c r="AP75" s="1281" t="s">
        <v>634</v>
      </c>
      <c r="AQ75" s="1285">
        <v>700</v>
      </c>
      <c r="AS75" s="1321"/>
      <c r="AT75" s="1331" t="s">
        <v>622</v>
      </c>
      <c r="AU75" s="1322" t="s">
        <v>116</v>
      </c>
      <c r="AV75" s="1323">
        <v>275</v>
      </c>
      <c r="AW75" s="1322" t="s">
        <v>634</v>
      </c>
      <c r="AX75" s="1323">
        <v>700</v>
      </c>
      <c r="AY75" s="1283"/>
      <c r="AZ75" s="1292" t="s">
        <v>622</v>
      </c>
      <c r="BA75" s="1281" t="s">
        <v>116</v>
      </c>
      <c r="BB75" s="1282">
        <v>350</v>
      </c>
      <c r="BC75" s="1281" t="s">
        <v>634</v>
      </c>
      <c r="BD75" s="1285">
        <v>700</v>
      </c>
      <c r="BF75" s="1321"/>
      <c r="BG75" s="1331" t="s">
        <v>622</v>
      </c>
      <c r="BH75" s="1322" t="s">
        <v>116</v>
      </c>
      <c r="BI75" s="1323">
        <v>275</v>
      </c>
      <c r="BJ75" s="1322" t="s">
        <v>634</v>
      </c>
      <c r="BK75" s="1323">
        <v>700</v>
      </c>
      <c r="BL75" s="1283"/>
      <c r="BM75" s="1292" t="s">
        <v>622</v>
      </c>
      <c r="BN75" s="1281" t="s">
        <v>116</v>
      </c>
      <c r="BO75" s="1282">
        <v>350</v>
      </c>
      <c r="BP75" s="1281" t="s">
        <v>634</v>
      </c>
      <c r="BQ75" s="1285">
        <v>700</v>
      </c>
    </row>
    <row r="76" spans="1:69" ht="18.75" customHeight="1" thickBot="1" x14ac:dyDescent="0.2">
      <c r="A76" s="1309"/>
      <c r="B76" s="1310"/>
      <c r="C76" s="1310"/>
      <c r="D76" s="1311"/>
      <c r="E76" s="1310"/>
      <c r="F76" s="1312"/>
      <c r="G76" s="1312"/>
      <c r="H76" s="1312"/>
      <c r="I76" s="1312"/>
      <c r="J76" s="1312"/>
      <c r="K76" s="1312"/>
      <c r="L76" s="1312"/>
      <c r="M76" s="1271"/>
      <c r="N76" s="1262"/>
      <c r="O76" s="1262"/>
      <c r="P76" s="1272"/>
      <c r="Q76" s="1262"/>
      <c r="R76" s="1273"/>
      <c r="S76" s="1263"/>
      <c r="T76" s="1309"/>
      <c r="U76" s="1310"/>
      <c r="V76" s="1310"/>
      <c r="W76" s="1311"/>
      <c r="X76" s="1310"/>
      <c r="Y76" s="1312"/>
      <c r="Z76" s="1271"/>
      <c r="AA76" s="1262"/>
      <c r="AB76" s="1262"/>
      <c r="AC76" s="1272"/>
      <c r="AD76" s="1262"/>
      <c r="AE76" s="1273"/>
      <c r="AF76" s="1309"/>
      <c r="AG76" s="1310"/>
      <c r="AH76" s="1310"/>
      <c r="AI76" s="1311"/>
      <c r="AJ76" s="1310"/>
      <c r="AK76" s="1312"/>
      <c r="AL76" s="1271"/>
      <c r="AM76" s="1262"/>
      <c r="AN76" s="1262"/>
      <c r="AO76" s="1272"/>
      <c r="AP76" s="1262"/>
      <c r="AQ76" s="1273"/>
      <c r="AS76" s="1309"/>
      <c r="AT76" s="1310"/>
      <c r="AU76" s="1310"/>
      <c r="AV76" s="1311"/>
      <c r="AW76" s="1310"/>
      <c r="AX76" s="1312"/>
      <c r="AY76" s="1271"/>
      <c r="AZ76" s="1262"/>
      <c r="BA76" s="1262"/>
      <c r="BB76" s="1272"/>
      <c r="BC76" s="1262"/>
      <c r="BD76" s="1273"/>
      <c r="BF76" s="1309"/>
      <c r="BG76" s="1310"/>
      <c r="BH76" s="1310"/>
      <c r="BI76" s="1311"/>
      <c r="BJ76" s="1310"/>
      <c r="BK76" s="1312"/>
      <c r="BL76" s="1271"/>
      <c r="BM76" s="1262"/>
      <c r="BN76" s="1262"/>
      <c r="BO76" s="1272"/>
      <c r="BP76" s="1262"/>
      <c r="BQ76" s="1273"/>
    </row>
    <row r="77" spans="1:69" ht="14.25" x14ac:dyDescent="0.15">
      <c r="A77" s="1313" t="s">
        <v>130</v>
      </c>
      <c r="B77" s="1314" t="s">
        <v>648</v>
      </c>
      <c r="C77" s="1314" t="s">
        <v>116</v>
      </c>
      <c r="D77" s="1315">
        <v>300</v>
      </c>
      <c r="E77" s="1314" t="s">
        <v>696</v>
      </c>
      <c r="F77" s="1315">
        <v>930.00000000000011</v>
      </c>
      <c r="G77" s="1276" t="s">
        <v>666</v>
      </c>
      <c r="H77" s="1274" t="s">
        <v>648</v>
      </c>
      <c r="I77" s="1314" t="s">
        <v>116</v>
      </c>
      <c r="J77" s="1315">
        <v>510</v>
      </c>
      <c r="K77" s="1315" t="s">
        <v>561</v>
      </c>
      <c r="L77" s="1315">
        <v>710</v>
      </c>
      <c r="M77" s="1276" t="s">
        <v>666</v>
      </c>
      <c r="N77" s="1274" t="s">
        <v>648</v>
      </c>
      <c r="O77" s="1274" t="s">
        <v>116</v>
      </c>
      <c r="P77" s="1275">
        <v>375</v>
      </c>
      <c r="Q77" s="1274" t="s">
        <v>634</v>
      </c>
      <c r="R77" s="1277">
        <v>925</v>
      </c>
      <c r="S77" s="1263"/>
      <c r="T77" s="1337"/>
      <c r="U77" s="1341"/>
      <c r="V77" s="1341"/>
      <c r="W77" s="1342"/>
      <c r="X77" s="1341"/>
      <c r="Y77" s="1342"/>
      <c r="Z77" s="1301"/>
      <c r="AA77" s="1301"/>
      <c r="AB77" s="1301"/>
      <c r="AC77" s="1301"/>
      <c r="AD77" s="1301"/>
      <c r="AE77" s="1302"/>
      <c r="AF77" s="1337"/>
      <c r="AG77" s="1341"/>
      <c r="AH77" s="1341"/>
      <c r="AI77" s="1342"/>
      <c r="AJ77" s="1341"/>
      <c r="AK77" s="1342"/>
      <c r="AL77" s="1301"/>
      <c r="AM77" s="1301"/>
      <c r="AN77" s="1301"/>
      <c r="AO77" s="1301"/>
      <c r="AP77" s="1301"/>
      <c r="AQ77" s="1302"/>
      <c r="AS77" s="1337"/>
      <c r="AT77" s="1341"/>
      <c r="AU77" s="1341"/>
      <c r="AV77" s="1342"/>
      <c r="AW77" s="1341"/>
      <c r="AX77" s="1342"/>
      <c r="AY77" s="1301"/>
      <c r="AZ77" s="1301"/>
      <c r="BA77" s="1301"/>
      <c r="BB77" s="1301"/>
      <c r="BC77" s="1301"/>
      <c r="BD77" s="1302"/>
      <c r="BF77" s="1337"/>
      <c r="BG77" s="1341"/>
      <c r="BH77" s="1341"/>
      <c r="BI77" s="1342"/>
      <c r="BJ77" s="1341"/>
      <c r="BK77" s="1342"/>
      <c r="BL77" s="1301"/>
      <c r="BM77" s="1301"/>
      <c r="BN77" s="1301"/>
      <c r="BO77" s="1301"/>
      <c r="BP77" s="1301"/>
      <c r="BQ77" s="1302"/>
    </row>
    <row r="78" spans="1:69" ht="14.25" x14ac:dyDescent="0.15">
      <c r="A78" s="1317"/>
      <c r="B78" s="1307" t="s">
        <v>674</v>
      </c>
      <c r="C78" s="1307"/>
      <c r="D78" s="1308"/>
      <c r="E78" s="1307" t="s">
        <v>697</v>
      </c>
      <c r="F78" s="1308">
        <v>940</v>
      </c>
      <c r="G78" s="1311"/>
      <c r="H78" s="1311"/>
      <c r="I78" s="1311"/>
      <c r="J78" s="1311"/>
      <c r="K78" s="1311"/>
      <c r="L78" s="1311"/>
      <c r="M78" s="1271"/>
      <c r="N78" s="1262"/>
      <c r="O78" s="1262"/>
      <c r="P78" s="1272"/>
      <c r="Q78" s="1262"/>
      <c r="R78" s="1280"/>
      <c r="S78" s="1263"/>
      <c r="T78" s="1319"/>
      <c r="U78" s="1310"/>
      <c r="V78" s="1310"/>
      <c r="W78" s="1311"/>
      <c r="X78" s="1310"/>
      <c r="Y78" s="1311"/>
      <c r="Z78" s="1271"/>
      <c r="AA78" s="1262"/>
      <c r="AB78" s="1262"/>
      <c r="AC78" s="1272"/>
      <c r="AD78" s="1262"/>
      <c r="AE78" s="1280"/>
      <c r="AF78" s="1319"/>
      <c r="AG78" s="1310"/>
      <c r="AH78" s="1310"/>
      <c r="AI78" s="1311"/>
      <c r="AJ78" s="1310"/>
      <c r="AK78" s="1311"/>
      <c r="AL78" s="1271"/>
      <c r="AM78" s="1262"/>
      <c r="AN78" s="1262"/>
      <c r="AO78" s="1272"/>
      <c r="AP78" s="1262"/>
      <c r="AQ78" s="1280"/>
      <c r="AS78" s="1319"/>
      <c r="AT78" s="1310"/>
      <c r="AU78" s="1310"/>
      <c r="AV78" s="1311"/>
      <c r="AW78" s="1310"/>
      <c r="AX78" s="1311"/>
      <c r="AY78" s="1271"/>
      <c r="AZ78" s="1262"/>
      <c r="BA78" s="1262"/>
      <c r="BB78" s="1272"/>
      <c r="BC78" s="1262"/>
      <c r="BD78" s="1280"/>
      <c r="BF78" s="1319"/>
      <c r="BG78" s="1310"/>
      <c r="BH78" s="1310"/>
      <c r="BI78" s="1311"/>
      <c r="BJ78" s="1310"/>
      <c r="BK78" s="1311"/>
      <c r="BL78" s="1271"/>
      <c r="BM78" s="1262"/>
      <c r="BN78" s="1262"/>
      <c r="BO78" s="1272"/>
      <c r="BP78" s="1262"/>
      <c r="BQ78" s="1280"/>
    </row>
    <row r="79" spans="1:69" ht="14.25" x14ac:dyDescent="0.15">
      <c r="A79" s="1319"/>
      <c r="B79" s="1310"/>
      <c r="C79" s="1310"/>
      <c r="D79" s="1311"/>
      <c r="E79" s="1310"/>
      <c r="F79" s="1312"/>
      <c r="G79" s="1312"/>
      <c r="H79" s="1312"/>
      <c r="I79" s="1312"/>
      <c r="J79" s="1312"/>
      <c r="K79" s="1312"/>
      <c r="L79" s="1312"/>
      <c r="M79" s="1271"/>
      <c r="N79" s="1262"/>
      <c r="O79" s="1262"/>
      <c r="P79" s="1272"/>
      <c r="Q79" s="1262"/>
      <c r="R79" s="1280"/>
      <c r="S79" s="1263"/>
      <c r="T79" s="1319"/>
      <c r="U79" s="1310"/>
      <c r="V79" s="1310"/>
      <c r="W79" s="1311"/>
      <c r="X79" s="1310"/>
      <c r="Y79" s="1312"/>
      <c r="Z79" s="1271"/>
      <c r="AA79" s="1262"/>
      <c r="AB79" s="1262"/>
      <c r="AC79" s="1272"/>
      <c r="AD79" s="1262"/>
      <c r="AE79" s="1280"/>
      <c r="AF79" s="1319"/>
      <c r="AG79" s="1310"/>
      <c r="AH79" s="1310"/>
      <c r="AI79" s="1311"/>
      <c r="AJ79" s="1310"/>
      <c r="AK79" s="1312"/>
      <c r="AL79" s="1271"/>
      <c r="AM79" s="1262"/>
      <c r="AN79" s="1262"/>
      <c r="AO79" s="1272"/>
      <c r="AP79" s="1262"/>
      <c r="AQ79" s="1280"/>
      <c r="AS79" s="1319"/>
      <c r="AT79" s="1310"/>
      <c r="AU79" s="1310"/>
      <c r="AV79" s="1311"/>
      <c r="AW79" s="1310"/>
      <c r="AX79" s="1312"/>
      <c r="AY79" s="1271"/>
      <c r="AZ79" s="1262"/>
      <c r="BA79" s="1262"/>
      <c r="BB79" s="1272"/>
      <c r="BC79" s="1262"/>
      <c r="BD79" s="1280"/>
      <c r="BF79" s="1319"/>
      <c r="BG79" s="1310"/>
      <c r="BH79" s="1310"/>
      <c r="BI79" s="1311"/>
      <c r="BJ79" s="1310"/>
      <c r="BK79" s="1312"/>
      <c r="BL79" s="1271"/>
      <c r="BM79" s="1262"/>
      <c r="BN79" s="1262"/>
      <c r="BO79" s="1272"/>
      <c r="BP79" s="1262"/>
      <c r="BQ79" s="1280"/>
    </row>
    <row r="80" spans="1:69" ht="14.25" x14ac:dyDescent="0.15">
      <c r="A80" s="1317" t="s">
        <v>133</v>
      </c>
      <c r="B80" s="1307" t="s">
        <v>695</v>
      </c>
      <c r="C80" s="1307" t="s">
        <v>116</v>
      </c>
      <c r="D80" s="1308">
        <v>290</v>
      </c>
      <c r="E80" s="1307" t="s">
        <v>696</v>
      </c>
      <c r="F80" s="1308">
        <v>910</v>
      </c>
      <c r="G80" s="1311"/>
      <c r="H80" s="1311"/>
      <c r="I80" s="1311"/>
      <c r="J80" s="1311"/>
      <c r="K80" s="1311"/>
      <c r="L80" s="1311"/>
      <c r="M80" s="1271"/>
      <c r="N80" s="1262"/>
      <c r="O80" s="1262"/>
      <c r="P80" s="1272"/>
      <c r="Q80" s="1262"/>
      <c r="R80" s="1280"/>
      <c r="S80" s="1263"/>
      <c r="T80" s="1317" t="s">
        <v>133</v>
      </c>
      <c r="U80" s="1307" t="s">
        <v>695</v>
      </c>
      <c r="V80" s="1307" t="s">
        <v>116</v>
      </c>
      <c r="W80" s="1308">
        <v>290</v>
      </c>
      <c r="X80" s="1307" t="s">
        <v>696</v>
      </c>
      <c r="Y80" s="1308">
        <v>905.00000000000011</v>
      </c>
      <c r="Z80" s="1264" t="s">
        <v>666</v>
      </c>
      <c r="AA80" s="1265" t="s">
        <v>648</v>
      </c>
      <c r="AB80" s="1265" t="s">
        <v>116</v>
      </c>
      <c r="AC80" s="1266">
        <v>375</v>
      </c>
      <c r="AD80" s="1265" t="s">
        <v>634</v>
      </c>
      <c r="AE80" s="1278">
        <v>925</v>
      </c>
      <c r="AF80" s="1317" t="s">
        <v>133</v>
      </c>
      <c r="AG80" s="1307" t="s">
        <v>695</v>
      </c>
      <c r="AH80" s="1307" t="s">
        <v>116</v>
      </c>
      <c r="AI80" s="1308">
        <v>290</v>
      </c>
      <c r="AJ80" s="1307" t="s">
        <v>696</v>
      </c>
      <c r="AK80" s="1308">
        <v>905.00000000000011</v>
      </c>
      <c r="AL80" s="1264" t="s">
        <v>666</v>
      </c>
      <c r="AM80" s="1265" t="s">
        <v>648</v>
      </c>
      <c r="AN80" s="1265" t="s">
        <v>116</v>
      </c>
      <c r="AO80" s="1266">
        <v>375</v>
      </c>
      <c r="AP80" s="1265" t="s">
        <v>634</v>
      </c>
      <c r="AQ80" s="1278">
        <v>925</v>
      </c>
      <c r="AS80" s="1317" t="s">
        <v>133</v>
      </c>
      <c r="AT80" s="1307" t="s">
        <v>695</v>
      </c>
      <c r="AU80" s="1307" t="s">
        <v>116</v>
      </c>
      <c r="AV80" s="1308">
        <v>290</v>
      </c>
      <c r="AW80" s="1307" t="s">
        <v>696</v>
      </c>
      <c r="AX80" s="1308">
        <v>905.00000000000011</v>
      </c>
      <c r="AY80" s="1264" t="s">
        <v>666</v>
      </c>
      <c r="AZ80" s="1265" t="s">
        <v>648</v>
      </c>
      <c r="BA80" s="1265" t="s">
        <v>116</v>
      </c>
      <c r="BB80" s="1266">
        <v>375</v>
      </c>
      <c r="BC80" s="1265" t="s">
        <v>634</v>
      </c>
      <c r="BD80" s="1278">
        <v>925</v>
      </c>
      <c r="BF80" s="1317" t="s">
        <v>133</v>
      </c>
      <c r="BG80" s="1307" t="s">
        <v>695</v>
      </c>
      <c r="BH80" s="1307" t="s">
        <v>116</v>
      </c>
      <c r="BI80" s="1308">
        <v>290</v>
      </c>
      <c r="BJ80" s="1307" t="s">
        <v>696</v>
      </c>
      <c r="BK80" s="1308">
        <v>905.00000000000011</v>
      </c>
      <c r="BL80" s="1264" t="s">
        <v>666</v>
      </c>
      <c r="BM80" s="1265" t="s">
        <v>648</v>
      </c>
      <c r="BN80" s="1265" t="s">
        <v>116</v>
      </c>
      <c r="BO80" s="1266">
        <v>375</v>
      </c>
      <c r="BP80" s="1265" t="s">
        <v>634</v>
      </c>
      <c r="BQ80" s="1278">
        <v>925</v>
      </c>
    </row>
    <row r="81" spans="1:69" ht="15" thickBot="1" x14ac:dyDescent="0.2">
      <c r="A81" s="1321"/>
      <c r="B81" s="1322" t="s">
        <v>694</v>
      </c>
      <c r="C81" s="1322"/>
      <c r="D81" s="1323"/>
      <c r="E81" s="1322" t="s">
        <v>697</v>
      </c>
      <c r="F81" s="1323">
        <v>919.99999999999989</v>
      </c>
      <c r="G81" s="1357"/>
      <c r="H81" s="1357"/>
      <c r="I81" s="1357"/>
      <c r="J81" s="1357"/>
      <c r="K81" s="1357"/>
      <c r="L81" s="1357"/>
      <c r="M81" s="1294"/>
      <c r="N81" s="1296"/>
      <c r="O81" s="1296"/>
      <c r="P81" s="1297"/>
      <c r="Q81" s="1296"/>
      <c r="R81" s="1298"/>
      <c r="S81" s="1263"/>
      <c r="T81" s="1321"/>
      <c r="U81" s="1322" t="s">
        <v>694</v>
      </c>
      <c r="V81" s="1322"/>
      <c r="W81" s="1323"/>
      <c r="X81" s="1322" t="s">
        <v>697</v>
      </c>
      <c r="Y81" s="1323">
        <v>915</v>
      </c>
      <c r="Z81" s="1294"/>
      <c r="AA81" s="1296"/>
      <c r="AB81" s="1296"/>
      <c r="AC81" s="1297"/>
      <c r="AD81" s="1296"/>
      <c r="AE81" s="1298"/>
      <c r="AF81" s="1321"/>
      <c r="AG81" s="1322" t="s">
        <v>694</v>
      </c>
      <c r="AH81" s="1322"/>
      <c r="AI81" s="1323"/>
      <c r="AJ81" s="1322" t="s">
        <v>697</v>
      </c>
      <c r="AK81" s="1323">
        <v>915</v>
      </c>
      <c r="AL81" s="1294"/>
      <c r="AM81" s="1296"/>
      <c r="AN81" s="1296"/>
      <c r="AO81" s="1297"/>
      <c r="AP81" s="1296"/>
      <c r="AQ81" s="1298"/>
      <c r="AS81" s="1321"/>
      <c r="AT81" s="1322" t="s">
        <v>694</v>
      </c>
      <c r="AU81" s="1322"/>
      <c r="AV81" s="1323"/>
      <c r="AW81" s="1322" t="s">
        <v>697</v>
      </c>
      <c r="AX81" s="1323">
        <v>915</v>
      </c>
      <c r="AY81" s="1294"/>
      <c r="AZ81" s="1296"/>
      <c r="BA81" s="1296"/>
      <c r="BB81" s="1297"/>
      <c r="BC81" s="1296"/>
      <c r="BD81" s="1298"/>
      <c r="BF81" s="1321"/>
      <c r="BG81" s="1322" t="s">
        <v>694</v>
      </c>
      <c r="BH81" s="1322"/>
      <c r="BI81" s="1323"/>
      <c r="BJ81" s="1322" t="s">
        <v>697</v>
      </c>
      <c r="BK81" s="1323">
        <v>915</v>
      </c>
      <c r="BL81" s="1294"/>
      <c r="BM81" s="1296"/>
      <c r="BN81" s="1296"/>
      <c r="BO81" s="1297"/>
      <c r="BP81" s="1296"/>
      <c r="BQ81" s="1298"/>
    </row>
    <row r="82" spans="1:69" ht="18.75" customHeight="1" thickBot="1" x14ac:dyDescent="0.2">
      <c r="A82" s="1309"/>
      <c r="B82" s="1310"/>
      <c r="C82" s="1310"/>
      <c r="D82" s="1311"/>
      <c r="E82" s="1310"/>
      <c r="F82" s="1312"/>
      <c r="G82" s="1312"/>
      <c r="H82" s="1312"/>
      <c r="I82" s="1312"/>
      <c r="J82" s="1312"/>
      <c r="K82" s="1312"/>
      <c r="L82" s="1312"/>
      <c r="M82" s="1271"/>
      <c r="N82" s="1262"/>
      <c r="O82" s="1262"/>
      <c r="P82" s="1272"/>
      <c r="Q82" s="1262"/>
      <c r="R82" s="1273"/>
      <c r="S82" s="1263"/>
      <c r="T82" s="1309"/>
      <c r="U82" s="1310"/>
      <c r="V82" s="1310"/>
      <c r="W82" s="1311"/>
      <c r="X82" s="1310"/>
      <c r="Y82" s="1312"/>
      <c r="Z82" s="1271"/>
      <c r="AA82" s="1262"/>
      <c r="AB82" s="1262"/>
      <c r="AC82" s="1272"/>
      <c r="AD82" s="1262"/>
      <c r="AE82" s="1273"/>
      <c r="AF82" s="1309"/>
      <c r="AG82" s="1310"/>
      <c r="AH82" s="1310"/>
      <c r="AI82" s="1311"/>
      <c r="AJ82" s="1310"/>
      <c r="AK82" s="1312"/>
      <c r="AL82" s="1271"/>
      <c r="AM82" s="1262"/>
      <c r="AN82" s="1262"/>
      <c r="AO82" s="1272"/>
      <c r="AP82" s="1262"/>
      <c r="AQ82" s="1273"/>
      <c r="AS82" s="1309"/>
      <c r="AT82" s="1310"/>
      <c r="AU82" s="1310"/>
      <c r="AV82" s="1311"/>
      <c r="AW82" s="1310"/>
      <c r="AX82" s="1312"/>
      <c r="AY82" s="1271"/>
      <c r="AZ82" s="1262"/>
      <c r="BA82" s="1262"/>
      <c r="BB82" s="1272"/>
      <c r="BC82" s="1262"/>
      <c r="BD82" s="1273"/>
      <c r="BF82" s="1309"/>
      <c r="BG82" s="1310"/>
      <c r="BH82" s="1310"/>
      <c r="BI82" s="1311"/>
      <c r="BJ82" s="1310"/>
      <c r="BK82" s="1312"/>
      <c r="BL82" s="1271"/>
      <c r="BM82" s="1262"/>
      <c r="BN82" s="1262"/>
      <c r="BO82" s="1272"/>
      <c r="BP82" s="1262"/>
      <c r="BQ82" s="1273"/>
    </row>
    <row r="83" spans="1:69" ht="14.25" x14ac:dyDescent="0.15">
      <c r="A83" s="1313" t="s">
        <v>331</v>
      </c>
      <c r="B83" s="1314" t="s">
        <v>667</v>
      </c>
      <c r="C83" s="1314" t="s">
        <v>116</v>
      </c>
      <c r="D83" s="1315">
        <v>260</v>
      </c>
      <c r="E83" s="1314" t="s">
        <v>691</v>
      </c>
      <c r="F83" s="1315">
        <v>725</v>
      </c>
      <c r="G83" s="1276" t="s">
        <v>732</v>
      </c>
      <c r="H83" s="1274" t="s">
        <v>667</v>
      </c>
      <c r="I83" s="1364" t="s">
        <v>116</v>
      </c>
      <c r="J83" s="1315">
        <v>510</v>
      </c>
      <c r="K83" s="1315" t="s">
        <v>729</v>
      </c>
      <c r="L83" s="1315">
        <v>690</v>
      </c>
      <c r="M83" s="1276" t="s">
        <v>331</v>
      </c>
      <c r="N83" s="1274" t="s">
        <v>667</v>
      </c>
      <c r="O83" s="1274" t="s">
        <v>116</v>
      </c>
      <c r="P83" s="1275">
        <v>300</v>
      </c>
      <c r="Q83" s="1274" t="s">
        <v>634</v>
      </c>
      <c r="R83" s="1277">
        <v>750</v>
      </c>
      <c r="S83" s="1263"/>
      <c r="T83" s="1313" t="s">
        <v>331</v>
      </c>
      <c r="U83" s="1314" t="s">
        <v>667</v>
      </c>
      <c r="V83" s="1314" t="s">
        <v>116</v>
      </c>
      <c r="W83" s="1315">
        <v>260</v>
      </c>
      <c r="X83" s="1314" t="s">
        <v>691</v>
      </c>
      <c r="Y83" s="1315">
        <v>720</v>
      </c>
      <c r="Z83" s="1276" t="s">
        <v>331</v>
      </c>
      <c r="AA83" s="1274" t="s">
        <v>667</v>
      </c>
      <c r="AB83" s="1274" t="s">
        <v>116</v>
      </c>
      <c r="AC83" s="1275">
        <v>300</v>
      </c>
      <c r="AD83" s="1274" t="s">
        <v>634</v>
      </c>
      <c r="AE83" s="1277">
        <v>750</v>
      </c>
      <c r="AF83" s="1313" t="s">
        <v>331</v>
      </c>
      <c r="AG83" s="1314" t="s">
        <v>667</v>
      </c>
      <c r="AH83" s="1314" t="s">
        <v>116</v>
      </c>
      <c r="AI83" s="1315">
        <v>260</v>
      </c>
      <c r="AJ83" s="1314" t="s">
        <v>691</v>
      </c>
      <c r="AK83" s="1315">
        <v>720</v>
      </c>
      <c r="AL83" s="1276" t="s">
        <v>331</v>
      </c>
      <c r="AM83" s="1274" t="s">
        <v>667</v>
      </c>
      <c r="AN83" s="1274" t="s">
        <v>116</v>
      </c>
      <c r="AO83" s="1275">
        <v>300</v>
      </c>
      <c r="AP83" s="1274" t="s">
        <v>634</v>
      </c>
      <c r="AQ83" s="1277">
        <v>750</v>
      </c>
      <c r="AS83" s="1313" t="s">
        <v>331</v>
      </c>
      <c r="AT83" s="1314" t="s">
        <v>667</v>
      </c>
      <c r="AU83" s="1314" t="s">
        <v>116</v>
      </c>
      <c r="AV83" s="1315">
        <v>260</v>
      </c>
      <c r="AW83" s="1314" t="s">
        <v>691</v>
      </c>
      <c r="AX83" s="1315">
        <v>720</v>
      </c>
      <c r="AY83" s="1276" t="s">
        <v>331</v>
      </c>
      <c r="AZ83" s="1274" t="s">
        <v>667</v>
      </c>
      <c r="BA83" s="1274" t="s">
        <v>116</v>
      </c>
      <c r="BB83" s="1275">
        <v>300</v>
      </c>
      <c r="BC83" s="1274" t="s">
        <v>634</v>
      </c>
      <c r="BD83" s="1277">
        <v>750</v>
      </c>
      <c r="BF83" s="1313" t="s">
        <v>331</v>
      </c>
      <c r="BG83" s="1314" t="s">
        <v>667</v>
      </c>
      <c r="BH83" s="1314" t="s">
        <v>116</v>
      </c>
      <c r="BI83" s="1315">
        <v>260</v>
      </c>
      <c r="BJ83" s="1314" t="s">
        <v>691</v>
      </c>
      <c r="BK83" s="1315">
        <v>720</v>
      </c>
      <c r="BL83" s="1276" t="s">
        <v>331</v>
      </c>
      <c r="BM83" s="1274" t="s">
        <v>667</v>
      </c>
      <c r="BN83" s="1274" t="s">
        <v>116</v>
      </c>
      <c r="BO83" s="1275">
        <v>300</v>
      </c>
      <c r="BP83" s="1274" t="s">
        <v>634</v>
      </c>
      <c r="BQ83" s="1277">
        <v>750</v>
      </c>
    </row>
    <row r="84" spans="1:69" ht="14.25" x14ac:dyDescent="0.15">
      <c r="A84" s="1317"/>
      <c r="B84" s="1307" t="s">
        <v>668</v>
      </c>
      <c r="C84" s="1307"/>
      <c r="D84" s="1308"/>
      <c r="E84" s="1307" t="s">
        <v>692</v>
      </c>
      <c r="F84" s="1308">
        <v>765</v>
      </c>
      <c r="G84" s="1264"/>
      <c r="H84" s="1265" t="s">
        <v>668</v>
      </c>
      <c r="I84" s="1308"/>
      <c r="J84" s="1308"/>
      <c r="K84" s="1308"/>
      <c r="L84" s="1308"/>
      <c r="M84" s="1264"/>
      <c r="N84" s="1265" t="s">
        <v>668</v>
      </c>
      <c r="O84" s="1265"/>
      <c r="P84" s="1266"/>
      <c r="Q84" s="1265"/>
      <c r="R84" s="1279"/>
      <c r="S84" s="1263"/>
      <c r="T84" s="1317"/>
      <c r="U84" s="1307" t="s">
        <v>668</v>
      </c>
      <c r="V84" s="1307"/>
      <c r="W84" s="1308"/>
      <c r="X84" s="1307" t="s">
        <v>692</v>
      </c>
      <c r="Y84" s="1308">
        <v>760</v>
      </c>
      <c r="Z84" s="1264"/>
      <c r="AA84" s="1265" t="s">
        <v>668</v>
      </c>
      <c r="AB84" s="1265"/>
      <c r="AC84" s="1266"/>
      <c r="AD84" s="1265"/>
      <c r="AE84" s="1279"/>
      <c r="AF84" s="1317"/>
      <c r="AG84" s="1307" t="s">
        <v>668</v>
      </c>
      <c r="AH84" s="1307"/>
      <c r="AI84" s="1308"/>
      <c r="AJ84" s="1307" t="s">
        <v>692</v>
      </c>
      <c r="AK84" s="1308">
        <v>760</v>
      </c>
      <c r="AL84" s="1264"/>
      <c r="AM84" s="1265" t="s">
        <v>668</v>
      </c>
      <c r="AN84" s="1265"/>
      <c r="AO84" s="1266"/>
      <c r="AP84" s="1265"/>
      <c r="AQ84" s="1279"/>
      <c r="AS84" s="1317"/>
      <c r="AT84" s="1307" t="s">
        <v>668</v>
      </c>
      <c r="AU84" s="1307"/>
      <c r="AV84" s="1308"/>
      <c r="AW84" s="1307" t="s">
        <v>692</v>
      </c>
      <c r="AX84" s="1308">
        <v>760</v>
      </c>
      <c r="AY84" s="1264"/>
      <c r="AZ84" s="1265" t="s">
        <v>668</v>
      </c>
      <c r="BA84" s="1265"/>
      <c r="BB84" s="1266"/>
      <c r="BC84" s="1265"/>
      <c r="BD84" s="1279"/>
      <c r="BF84" s="1317"/>
      <c r="BG84" s="1307" t="s">
        <v>668</v>
      </c>
      <c r="BH84" s="1307"/>
      <c r="BI84" s="1308"/>
      <c r="BJ84" s="1307" t="s">
        <v>692</v>
      </c>
      <c r="BK84" s="1308">
        <v>760</v>
      </c>
      <c r="BL84" s="1264"/>
      <c r="BM84" s="1265" t="s">
        <v>668</v>
      </c>
      <c r="BN84" s="1265"/>
      <c r="BO84" s="1266"/>
      <c r="BP84" s="1265"/>
      <c r="BQ84" s="1279"/>
    </row>
    <row r="85" spans="1:69" ht="18.75" customHeight="1" x14ac:dyDescent="0.15">
      <c r="A85" s="1319"/>
      <c r="B85" s="1310"/>
      <c r="C85" s="1310"/>
      <c r="D85" s="1311"/>
      <c r="E85" s="1310"/>
      <c r="F85" s="1312"/>
      <c r="G85" s="1312"/>
      <c r="H85" s="1312"/>
      <c r="I85" s="1312"/>
      <c r="J85" s="1312"/>
      <c r="K85" s="1312"/>
      <c r="L85" s="1312"/>
      <c r="M85" s="1271"/>
      <c r="N85" s="1262"/>
      <c r="O85" s="1262"/>
      <c r="P85" s="1272"/>
      <c r="Q85" s="1262"/>
      <c r="R85" s="1280"/>
      <c r="S85" s="1263"/>
      <c r="T85" s="1319"/>
      <c r="U85" s="1310"/>
      <c r="V85" s="1310"/>
      <c r="W85" s="1311"/>
      <c r="X85" s="1310"/>
      <c r="Y85" s="1312"/>
      <c r="Z85" s="1271"/>
      <c r="AA85" s="1262"/>
      <c r="AB85" s="1262"/>
      <c r="AC85" s="1272"/>
      <c r="AD85" s="1262"/>
      <c r="AE85" s="1280"/>
      <c r="AF85" s="1319"/>
      <c r="AG85" s="1310"/>
      <c r="AH85" s="1310"/>
      <c r="AI85" s="1311"/>
      <c r="AJ85" s="1310"/>
      <c r="AK85" s="1312"/>
      <c r="AL85" s="1271"/>
      <c r="AM85" s="1262"/>
      <c r="AN85" s="1262"/>
      <c r="AO85" s="1272"/>
      <c r="AP85" s="1262"/>
      <c r="AQ85" s="1280"/>
      <c r="AS85" s="1319"/>
      <c r="AT85" s="1310"/>
      <c r="AU85" s="1310"/>
      <c r="AV85" s="1311"/>
      <c r="AW85" s="1310"/>
      <c r="AX85" s="1312"/>
      <c r="AY85" s="1271"/>
      <c r="AZ85" s="1262"/>
      <c r="BA85" s="1262"/>
      <c r="BB85" s="1272"/>
      <c r="BC85" s="1262"/>
      <c r="BD85" s="1280"/>
      <c r="BF85" s="1319"/>
      <c r="BG85" s="1310"/>
      <c r="BH85" s="1310"/>
      <c r="BI85" s="1311"/>
      <c r="BJ85" s="1310"/>
      <c r="BK85" s="1312"/>
      <c r="BL85" s="1271"/>
      <c r="BM85" s="1262"/>
      <c r="BN85" s="1262"/>
      <c r="BO85" s="1272"/>
      <c r="BP85" s="1262"/>
      <c r="BQ85" s="1280"/>
    </row>
    <row r="86" spans="1:69" ht="14.25" x14ac:dyDescent="0.15">
      <c r="A86" s="1317" t="s">
        <v>332</v>
      </c>
      <c r="B86" s="1307" t="s">
        <v>669</v>
      </c>
      <c r="C86" s="1307" t="s">
        <v>116</v>
      </c>
      <c r="D86" s="1308">
        <v>265</v>
      </c>
      <c r="E86" s="1307" t="s">
        <v>691</v>
      </c>
      <c r="F86" s="1308">
        <v>825</v>
      </c>
      <c r="G86" s="1308"/>
      <c r="H86" s="1308"/>
      <c r="I86" s="1308"/>
      <c r="J86" s="1308"/>
      <c r="K86" s="1308"/>
      <c r="L86" s="1308"/>
      <c r="M86" s="1264" t="s">
        <v>332</v>
      </c>
      <c r="N86" s="1265" t="s">
        <v>669</v>
      </c>
      <c r="O86" s="1265" t="s">
        <v>116</v>
      </c>
      <c r="P86" s="1266">
        <v>350</v>
      </c>
      <c r="Q86" s="1265" t="s">
        <v>634</v>
      </c>
      <c r="R86" s="1278">
        <v>850</v>
      </c>
      <c r="S86" s="1263"/>
      <c r="T86" s="1317" t="s">
        <v>332</v>
      </c>
      <c r="U86" s="1307" t="s">
        <v>669</v>
      </c>
      <c r="V86" s="1307" t="s">
        <v>116</v>
      </c>
      <c r="W86" s="1308">
        <v>265</v>
      </c>
      <c r="X86" s="1307" t="s">
        <v>691</v>
      </c>
      <c r="Y86" s="1308">
        <v>819.99999999999989</v>
      </c>
      <c r="Z86" s="1264" t="s">
        <v>332</v>
      </c>
      <c r="AA86" s="1265" t="s">
        <v>669</v>
      </c>
      <c r="AB86" s="1265" t="s">
        <v>116</v>
      </c>
      <c r="AC86" s="1266">
        <v>350</v>
      </c>
      <c r="AD86" s="1265" t="s">
        <v>634</v>
      </c>
      <c r="AE86" s="1278">
        <v>850</v>
      </c>
      <c r="AF86" s="1317" t="s">
        <v>332</v>
      </c>
      <c r="AG86" s="1307" t="s">
        <v>669</v>
      </c>
      <c r="AH86" s="1307" t="s">
        <v>116</v>
      </c>
      <c r="AI86" s="1308">
        <v>265</v>
      </c>
      <c r="AJ86" s="1307" t="s">
        <v>691</v>
      </c>
      <c r="AK86" s="1308">
        <v>819.99999999999989</v>
      </c>
      <c r="AL86" s="1264" t="s">
        <v>332</v>
      </c>
      <c r="AM86" s="1265" t="s">
        <v>669</v>
      </c>
      <c r="AN86" s="1265" t="s">
        <v>116</v>
      </c>
      <c r="AO86" s="1266">
        <v>350</v>
      </c>
      <c r="AP86" s="1265" t="s">
        <v>634</v>
      </c>
      <c r="AQ86" s="1278">
        <v>850</v>
      </c>
      <c r="AS86" s="1317" t="s">
        <v>332</v>
      </c>
      <c r="AT86" s="1307" t="s">
        <v>669</v>
      </c>
      <c r="AU86" s="1307" t="s">
        <v>116</v>
      </c>
      <c r="AV86" s="1308">
        <v>265</v>
      </c>
      <c r="AW86" s="1307" t="s">
        <v>691</v>
      </c>
      <c r="AX86" s="1308">
        <v>819.99999999999989</v>
      </c>
      <c r="AY86" s="1264" t="s">
        <v>332</v>
      </c>
      <c r="AZ86" s="1265" t="s">
        <v>669</v>
      </c>
      <c r="BA86" s="1265" t="s">
        <v>116</v>
      </c>
      <c r="BB86" s="1266">
        <v>350</v>
      </c>
      <c r="BC86" s="1265" t="s">
        <v>634</v>
      </c>
      <c r="BD86" s="1278">
        <v>850</v>
      </c>
      <c r="BF86" s="1317" t="s">
        <v>332</v>
      </c>
      <c r="BG86" s="1307" t="s">
        <v>669</v>
      </c>
      <c r="BH86" s="1307" t="s">
        <v>116</v>
      </c>
      <c r="BI86" s="1308">
        <v>265</v>
      </c>
      <c r="BJ86" s="1307" t="s">
        <v>691</v>
      </c>
      <c r="BK86" s="1308">
        <v>819.99999999999989</v>
      </c>
      <c r="BL86" s="1264" t="s">
        <v>332</v>
      </c>
      <c r="BM86" s="1265" t="s">
        <v>669</v>
      </c>
      <c r="BN86" s="1265" t="s">
        <v>116</v>
      </c>
      <c r="BO86" s="1266">
        <v>350</v>
      </c>
      <c r="BP86" s="1265" t="s">
        <v>634</v>
      </c>
      <c r="BQ86" s="1278">
        <v>850</v>
      </c>
    </row>
    <row r="87" spans="1:69" ht="15" thickBot="1" x14ac:dyDescent="0.2">
      <c r="A87" s="1321"/>
      <c r="B87" s="1322" t="s">
        <v>670</v>
      </c>
      <c r="C87" s="1322"/>
      <c r="D87" s="1323"/>
      <c r="E87" s="1322" t="s">
        <v>692</v>
      </c>
      <c r="F87" s="1323">
        <v>865</v>
      </c>
      <c r="G87" s="1323"/>
      <c r="H87" s="1323"/>
      <c r="I87" s="1323"/>
      <c r="J87" s="1323"/>
      <c r="K87" s="1323"/>
      <c r="L87" s="1323"/>
      <c r="M87" s="1283"/>
      <c r="N87" s="1281" t="s">
        <v>670</v>
      </c>
      <c r="O87" s="1281"/>
      <c r="P87" s="1282"/>
      <c r="Q87" s="1281"/>
      <c r="R87" s="1284"/>
      <c r="S87" s="1263"/>
      <c r="T87" s="1321"/>
      <c r="U87" s="1322" t="s">
        <v>670</v>
      </c>
      <c r="V87" s="1322"/>
      <c r="W87" s="1323"/>
      <c r="X87" s="1322" t="s">
        <v>692</v>
      </c>
      <c r="Y87" s="1323">
        <v>860</v>
      </c>
      <c r="Z87" s="1283"/>
      <c r="AA87" s="1281" t="s">
        <v>670</v>
      </c>
      <c r="AB87" s="1281"/>
      <c r="AC87" s="1282"/>
      <c r="AD87" s="1281"/>
      <c r="AE87" s="1284"/>
      <c r="AF87" s="1321"/>
      <c r="AG87" s="1322" t="s">
        <v>670</v>
      </c>
      <c r="AH87" s="1322"/>
      <c r="AI87" s="1323"/>
      <c r="AJ87" s="1322" t="s">
        <v>692</v>
      </c>
      <c r="AK87" s="1323">
        <v>860</v>
      </c>
      <c r="AL87" s="1283"/>
      <c r="AM87" s="1281" t="s">
        <v>670</v>
      </c>
      <c r="AN87" s="1281"/>
      <c r="AO87" s="1282"/>
      <c r="AP87" s="1281"/>
      <c r="AQ87" s="1284"/>
      <c r="AS87" s="1321"/>
      <c r="AT87" s="1322" t="s">
        <v>670</v>
      </c>
      <c r="AU87" s="1322"/>
      <c r="AV87" s="1323"/>
      <c r="AW87" s="1322" t="s">
        <v>692</v>
      </c>
      <c r="AX87" s="1323">
        <v>860</v>
      </c>
      <c r="AY87" s="1283"/>
      <c r="AZ87" s="1281" t="s">
        <v>670</v>
      </c>
      <c r="BA87" s="1281"/>
      <c r="BB87" s="1282"/>
      <c r="BC87" s="1281"/>
      <c r="BD87" s="1284"/>
      <c r="BF87" s="1321"/>
      <c r="BG87" s="1322" t="s">
        <v>670</v>
      </c>
      <c r="BH87" s="1322"/>
      <c r="BI87" s="1323"/>
      <c r="BJ87" s="1322" t="s">
        <v>692</v>
      </c>
      <c r="BK87" s="1323">
        <v>860</v>
      </c>
      <c r="BL87" s="1283"/>
      <c r="BM87" s="1281" t="s">
        <v>670</v>
      </c>
      <c r="BN87" s="1281"/>
      <c r="BO87" s="1282"/>
      <c r="BP87" s="1281"/>
      <c r="BQ87" s="1284"/>
    </row>
    <row r="88" spans="1:69" ht="18.75" customHeight="1" thickBot="1" x14ac:dyDescent="0.2">
      <c r="A88" s="1309"/>
      <c r="B88" s="1310"/>
      <c r="C88" s="1310"/>
      <c r="D88" s="1311"/>
      <c r="E88" s="1310"/>
      <c r="F88" s="1312"/>
      <c r="G88" s="1312"/>
      <c r="H88" s="1312"/>
      <c r="I88" s="1312"/>
      <c r="J88" s="1312"/>
      <c r="K88" s="1312"/>
      <c r="L88" s="1312"/>
      <c r="M88" s="1271"/>
      <c r="N88" s="1262"/>
      <c r="O88" s="1262"/>
      <c r="P88" s="1272"/>
      <c r="Q88" s="1262"/>
      <c r="R88" s="1273"/>
      <c r="S88" s="1263"/>
      <c r="T88" s="1309"/>
      <c r="U88" s="1310"/>
      <c r="V88" s="1310"/>
      <c r="W88" s="1311"/>
      <c r="X88" s="1310"/>
      <c r="Y88" s="1312"/>
      <c r="Z88" s="1271"/>
      <c r="AA88" s="1262"/>
      <c r="AB88" s="1262"/>
      <c r="AC88" s="1272"/>
      <c r="AD88" s="1262"/>
      <c r="AE88" s="1273"/>
      <c r="AF88" s="1309"/>
      <c r="AG88" s="1310"/>
      <c r="AH88" s="1310"/>
      <c r="AI88" s="1311"/>
      <c r="AJ88" s="1310"/>
      <c r="AK88" s="1312"/>
      <c r="AL88" s="1271"/>
      <c r="AM88" s="1262"/>
      <c r="AN88" s="1262"/>
      <c r="AO88" s="1272"/>
      <c r="AP88" s="1262"/>
      <c r="AQ88" s="1273"/>
      <c r="AS88" s="1309"/>
      <c r="AT88" s="1310"/>
      <c r="AU88" s="1310"/>
      <c r="AV88" s="1311"/>
      <c r="AW88" s="1310"/>
      <c r="AX88" s="1312"/>
      <c r="AY88" s="1271"/>
      <c r="AZ88" s="1262"/>
      <c r="BA88" s="1262"/>
      <c r="BB88" s="1272"/>
      <c r="BC88" s="1262"/>
      <c r="BD88" s="1273"/>
      <c r="BF88" s="1309"/>
      <c r="BG88" s="1310"/>
      <c r="BH88" s="1310"/>
      <c r="BI88" s="1311"/>
      <c r="BJ88" s="1310"/>
      <c r="BK88" s="1312"/>
      <c r="BL88" s="1271"/>
      <c r="BM88" s="1262"/>
      <c r="BN88" s="1262"/>
      <c r="BO88" s="1272"/>
      <c r="BP88" s="1262"/>
      <c r="BQ88" s="1273"/>
    </row>
    <row r="89" spans="1:69" ht="14.25" x14ac:dyDescent="0.15">
      <c r="A89" s="1313" t="s">
        <v>137</v>
      </c>
      <c r="B89" s="1314" t="s">
        <v>671</v>
      </c>
      <c r="C89" s="1314" t="s">
        <v>700</v>
      </c>
      <c r="D89" s="1315">
        <v>1900</v>
      </c>
      <c r="E89" s="1314" t="s">
        <v>634</v>
      </c>
      <c r="F89" s="1315">
        <v>315</v>
      </c>
      <c r="G89" s="1276" t="s">
        <v>633</v>
      </c>
      <c r="H89" s="1274" t="s">
        <v>713</v>
      </c>
      <c r="I89" s="1314" t="s">
        <v>700</v>
      </c>
      <c r="J89" s="1315">
        <v>3000</v>
      </c>
      <c r="K89" s="1315" t="s">
        <v>561</v>
      </c>
      <c r="L89" s="1315">
        <v>600</v>
      </c>
      <c r="M89" s="1276" t="s">
        <v>633</v>
      </c>
      <c r="N89" s="1274" t="s">
        <v>713</v>
      </c>
      <c r="O89" s="1274" t="s">
        <v>714</v>
      </c>
      <c r="P89" s="1275">
        <v>150</v>
      </c>
      <c r="Q89" s="1274" t="s">
        <v>634</v>
      </c>
      <c r="R89" s="1277">
        <v>350</v>
      </c>
      <c r="S89" s="1263"/>
      <c r="T89" s="1313" t="s">
        <v>137</v>
      </c>
      <c r="U89" s="1314" t="s">
        <v>671</v>
      </c>
      <c r="V89" s="1314" t="s">
        <v>700</v>
      </c>
      <c r="W89" s="1315">
        <v>1900</v>
      </c>
      <c r="X89" s="1314" t="s">
        <v>634</v>
      </c>
      <c r="Y89" s="1315">
        <v>315</v>
      </c>
      <c r="Z89" s="1276" t="s">
        <v>633</v>
      </c>
      <c r="AA89" s="1274" t="s">
        <v>713</v>
      </c>
      <c r="AB89" s="1274" t="s">
        <v>714</v>
      </c>
      <c r="AC89" s="1275">
        <v>150</v>
      </c>
      <c r="AD89" s="1274" t="s">
        <v>634</v>
      </c>
      <c r="AE89" s="1277">
        <v>350</v>
      </c>
      <c r="AF89" s="1313" t="s">
        <v>137</v>
      </c>
      <c r="AG89" s="1314" t="s">
        <v>671</v>
      </c>
      <c r="AH89" s="1314" t="s">
        <v>700</v>
      </c>
      <c r="AI89" s="1315">
        <v>1900</v>
      </c>
      <c r="AJ89" s="1314" t="s">
        <v>634</v>
      </c>
      <c r="AK89" s="1315">
        <v>315</v>
      </c>
      <c r="AL89" s="1276" t="s">
        <v>633</v>
      </c>
      <c r="AM89" s="1274" t="s">
        <v>713</v>
      </c>
      <c r="AN89" s="1274" t="s">
        <v>714</v>
      </c>
      <c r="AO89" s="1275">
        <v>150</v>
      </c>
      <c r="AP89" s="1274" t="s">
        <v>634</v>
      </c>
      <c r="AQ89" s="1277">
        <v>350</v>
      </c>
      <c r="AS89" s="1313" t="s">
        <v>137</v>
      </c>
      <c r="AT89" s="1314" t="s">
        <v>671</v>
      </c>
      <c r="AU89" s="1314" t="s">
        <v>700</v>
      </c>
      <c r="AV89" s="1315">
        <v>1900</v>
      </c>
      <c r="AW89" s="1314" t="s">
        <v>634</v>
      </c>
      <c r="AX89" s="1315">
        <v>315</v>
      </c>
      <c r="AY89" s="1276" t="s">
        <v>633</v>
      </c>
      <c r="AZ89" s="1274" t="s">
        <v>713</v>
      </c>
      <c r="BA89" s="1274" t="s">
        <v>714</v>
      </c>
      <c r="BB89" s="1275">
        <v>150</v>
      </c>
      <c r="BC89" s="1274" t="s">
        <v>634</v>
      </c>
      <c r="BD89" s="1277">
        <v>350</v>
      </c>
      <c r="BF89" s="1313" t="s">
        <v>137</v>
      </c>
      <c r="BG89" s="1314" t="s">
        <v>671</v>
      </c>
      <c r="BH89" s="1314" t="s">
        <v>700</v>
      </c>
      <c r="BI89" s="1315">
        <v>1900</v>
      </c>
      <c r="BJ89" s="1314" t="s">
        <v>634</v>
      </c>
      <c r="BK89" s="1315">
        <v>315</v>
      </c>
      <c r="BL89" s="1276" t="s">
        <v>633</v>
      </c>
      <c r="BM89" s="1274" t="s">
        <v>713</v>
      </c>
      <c r="BN89" s="1274" t="s">
        <v>714</v>
      </c>
      <c r="BO89" s="1275">
        <v>150</v>
      </c>
      <c r="BP89" s="1274" t="s">
        <v>634</v>
      </c>
      <c r="BQ89" s="1277">
        <v>350</v>
      </c>
    </row>
    <row r="90" spans="1:69" ht="14.25" x14ac:dyDescent="0.15">
      <c r="A90" s="1317" t="s">
        <v>140</v>
      </c>
      <c r="B90" s="1307" t="s">
        <v>698</v>
      </c>
      <c r="C90" s="1307" t="s">
        <v>82</v>
      </c>
      <c r="D90" s="1308">
        <v>110</v>
      </c>
      <c r="E90" s="1307" t="s">
        <v>634</v>
      </c>
      <c r="F90" s="1308">
        <v>315</v>
      </c>
      <c r="G90" s="1311"/>
      <c r="H90" s="1311"/>
      <c r="I90" s="1311"/>
      <c r="J90" s="1311"/>
      <c r="K90" s="1311"/>
      <c r="L90" s="1311"/>
      <c r="M90" s="1271"/>
      <c r="N90" s="1262"/>
      <c r="O90" s="1262"/>
      <c r="P90" s="1272"/>
      <c r="Q90" s="1262"/>
      <c r="R90" s="1280"/>
      <c r="S90" s="1263"/>
      <c r="T90" s="1317" t="s">
        <v>140</v>
      </c>
      <c r="U90" s="1307" t="s">
        <v>698</v>
      </c>
      <c r="V90" s="1307" t="s">
        <v>82</v>
      </c>
      <c r="W90" s="1308">
        <v>110</v>
      </c>
      <c r="X90" s="1307" t="s">
        <v>634</v>
      </c>
      <c r="Y90" s="1308">
        <v>315</v>
      </c>
      <c r="Z90" s="1271"/>
      <c r="AA90" s="1262"/>
      <c r="AB90" s="1262"/>
      <c r="AC90" s="1272"/>
      <c r="AD90" s="1262"/>
      <c r="AE90" s="1280"/>
      <c r="AF90" s="1317" t="s">
        <v>140</v>
      </c>
      <c r="AG90" s="1307" t="s">
        <v>698</v>
      </c>
      <c r="AH90" s="1307" t="s">
        <v>82</v>
      </c>
      <c r="AI90" s="1308">
        <v>110</v>
      </c>
      <c r="AJ90" s="1307" t="s">
        <v>634</v>
      </c>
      <c r="AK90" s="1308">
        <v>315</v>
      </c>
      <c r="AL90" s="1271"/>
      <c r="AM90" s="1262"/>
      <c r="AN90" s="1262"/>
      <c r="AO90" s="1272"/>
      <c r="AP90" s="1262"/>
      <c r="AQ90" s="1280"/>
      <c r="AS90" s="1317" t="s">
        <v>140</v>
      </c>
      <c r="AT90" s="1307" t="s">
        <v>698</v>
      </c>
      <c r="AU90" s="1307" t="s">
        <v>82</v>
      </c>
      <c r="AV90" s="1308">
        <v>110</v>
      </c>
      <c r="AW90" s="1307" t="s">
        <v>634</v>
      </c>
      <c r="AX90" s="1308">
        <v>315</v>
      </c>
      <c r="AY90" s="1271"/>
      <c r="AZ90" s="1262"/>
      <c r="BA90" s="1262"/>
      <c r="BB90" s="1272"/>
      <c r="BC90" s="1262"/>
      <c r="BD90" s="1280"/>
      <c r="BF90" s="1317" t="s">
        <v>140</v>
      </c>
      <c r="BG90" s="1307" t="s">
        <v>698</v>
      </c>
      <c r="BH90" s="1307" t="s">
        <v>82</v>
      </c>
      <c r="BI90" s="1308">
        <v>110</v>
      </c>
      <c r="BJ90" s="1307" t="s">
        <v>634</v>
      </c>
      <c r="BK90" s="1308">
        <v>315</v>
      </c>
      <c r="BL90" s="1271"/>
      <c r="BM90" s="1262"/>
      <c r="BN90" s="1262"/>
      <c r="BO90" s="1272"/>
      <c r="BP90" s="1262"/>
      <c r="BQ90" s="1280"/>
    </row>
    <row r="91" spans="1:69" ht="15" thickBot="1" x14ac:dyDescent="0.2">
      <c r="A91" s="1321" t="s">
        <v>179</v>
      </c>
      <c r="B91" s="1322" t="s">
        <v>699</v>
      </c>
      <c r="C91" s="1322" t="s">
        <v>82</v>
      </c>
      <c r="D91" s="1323">
        <v>90</v>
      </c>
      <c r="E91" s="1322" t="s">
        <v>634</v>
      </c>
      <c r="F91" s="1323">
        <v>315</v>
      </c>
      <c r="G91" s="1357"/>
      <c r="H91" s="1357"/>
      <c r="I91" s="1357"/>
      <c r="J91" s="1357"/>
      <c r="K91" s="1357"/>
      <c r="L91" s="1357"/>
      <c r="M91" s="1294"/>
      <c r="N91" s="1296"/>
      <c r="O91" s="1296"/>
      <c r="P91" s="1297"/>
      <c r="Q91" s="1296"/>
      <c r="R91" s="1298"/>
      <c r="S91" s="1263"/>
      <c r="T91" s="1321" t="s">
        <v>179</v>
      </c>
      <c r="U91" s="1322" t="s">
        <v>699</v>
      </c>
      <c r="V91" s="1322" t="s">
        <v>82</v>
      </c>
      <c r="W91" s="1323">
        <v>90</v>
      </c>
      <c r="X91" s="1322" t="s">
        <v>634</v>
      </c>
      <c r="Y91" s="1323">
        <v>315</v>
      </c>
      <c r="Z91" s="1294"/>
      <c r="AA91" s="1296"/>
      <c r="AB91" s="1296"/>
      <c r="AC91" s="1297"/>
      <c r="AD91" s="1296"/>
      <c r="AE91" s="1298"/>
      <c r="AF91" s="1321" t="s">
        <v>179</v>
      </c>
      <c r="AG91" s="1322" t="s">
        <v>699</v>
      </c>
      <c r="AH91" s="1322" t="s">
        <v>82</v>
      </c>
      <c r="AI91" s="1323">
        <v>90</v>
      </c>
      <c r="AJ91" s="1322" t="s">
        <v>634</v>
      </c>
      <c r="AK91" s="1323">
        <v>315</v>
      </c>
      <c r="AL91" s="1294"/>
      <c r="AM91" s="1296"/>
      <c r="AN91" s="1296"/>
      <c r="AO91" s="1297"/>
      <c r="AP91" s="1296"/>
      <c r="AQ91" s="1298"/>
      <c r="AS91" s="1321" t="s">
        <v>179</v>
      </c>
      <c r="AT91" s="1322" t="s">
        <v>699</v>
      </c>
      <c r="AU91" s="1322" t="s">
        <v>82</v>
      </c>
      <c r="AV91" s="1323">
        <v>90</v>
      </c>
      <c r="AW91" s="1322" t="s">
        <v>634</v>
      </c>
      <c r="AX91" s="1323">
        <v>315</v>
      </c>
      <c r="AY91" s="1294"/>
      <c r="AZ91" s="1296"/>
      <c r="BA91" s="1296"/>
      <c r="BB91" s="1297"/>
      <c r="BC91" s="1296"/>
      <c r="BD91" s="1298"/>
      <c r="BF91" s="1321" t="s">
        <v>179</v>
      </c>
      <c r="BG91" s="1322" t="s">
        <v>699</v>
      </c>
      <c r="BH91" s="1322" t="s">
        <v>82</v>
      </c>
      <c r="BI91" s="1323">
        <v>90</v>
      </c>
      <c r="BJ91" s="1322" t="s">
        <v>634</v>
      </c>
      <c r="BK91" s="1323">
        <v>315</v>
      </c>
      <c r="BL91" s="1294"/>
      <c r="BM91" s="1296"/>
      <c r="BN91" s="1296"/>
      <c r="BO91" s="1297"/>
      <c r="BP91" s="1296"/>
      <c r="BQ91" s="1298"/>
    </row>
    <row r="92" spans="1:69" ht="15" thickBot="1" x14ac:dyDescent="0.2">
      <c r="A92" s="1309"/>
      <c r="B92" s="1310"/>
      <c r="C92" s="1310"/>
      <c r="D92" s="1311"/>
      <c r="E92" s="1310"/>
      <c r="F92" s="1311"/>
      <c r="G92" s="1311"/>
      <c r="H92" s="1311"/>
      <c r="I92" s="1311"/>
      <c r="J92" s="1311"/>
      <c r="K92" s="1311"/>
      <c r="L92" s="1311"/>
      <c r="M92" s="1271"/>
      <c r="N92" s="1262"/>
      <c r="O92" s="1262"/>
      <c r="P92" s="1272"/>
      <c r="Q92" s="1262"/>
      <c r="R92" s="1273"/>
      <c r="S92" s="1263"/>
      <c r="T92" s="1309"/>
      <c r="U92" s="1310"/>
      <c r="V92" s="1310"/>
      <c r="W92" s="1311"/>
      <c r="X92" s="1310"/>
      <c r="Y92" s="1311"/>
      <c r="Z92" s="1271"/>
      <c r="AA92" s="1262"/>
      <c r="AB92" s="1262"/>
      <c r="AC92" s="1272"/>
      <c r="AD92" s="1262"/>
      <c r="AE92" s="1273"/>
      <c r="AF92" s="1309"/>
      <c r="AG92" s="1310"/>
      <c r="AH92" s="1310"/>
      <c r="AI92" s="1311"/>
      <c r="AJ92" s="1310"/>
      <c r="AK92" s="1311"/>
      <c r="AL92" s="1271"/>
      <c r="AM92" s="1262"/>
      <c r="AN92" s="1262"/>
      <c r="AO92" s="1272"/>
      <c r="AP92" s="1262"/>
      <c r="AQ92" s="1273"/>
      <c r="AS92" s="1309"/>
      <c r="AT92" s="1310"/>
      <c r="AU92" s="1310"/>
      <c r="AV92" s="1311"/>
      <c r="AW92" s="1310"/>
      <c r="AX92" s="1311"/>
      <c r="AY92" s="1271"/>
      <c r="AZ92" s="1262"/>
      <c r="BA92" s="1262"/>
      <c r="BB92" s="1272"/>
      <c r="BC92" s="1262"/>
      <c r="BD92" s="1273"/>
      <c r="BF92" s="1309"/>
      <c r="BG92" s="1310"/>
      <c r="BH92" s="1310"/>
      <c r="BI92" s="1311"/>
      <c r="BJ92" s="1310"/>
      <c r="BK92" s="1311"/>
      <c r="BL92" s="1271"/>
      <c r="BM92" s="1262"/>
      <c r="BN92" s="1262"/>
      <c r="BO92" s="1272"/>
      <c r="BP92" s="1262"/>
      <c r="BQ92" s="1273"/>
    </row>
    <row r="93" spans="1:69" ht="18.75" customHeight="1" x14ac:dyDescent="0.15">
      <c r="A93" s="1313"/>
      <c r="B93" s="1314"/>
      <c r="C93" s="1314"/>
      <c r="D93" s="1315"/>
      <c r="E93" s="1314"/>
      <c r="F93" s="1332"/>
      <c r="G93" s="1332"/>
      <c r="H93" s="1332"/>
      <c r="I93" s="1332"/>
      <c r="J93" s="1332"/>
      <c r="K93" s="1332"/>
      <c r="L93" s="1332"/>
      <c r="M93" s="1300" t="s">
        <v>716</v>
      </c>
      <c r="N93" s="1274"/>
      <c r="O93" s="1274"/>
      <c r="P93" s="1275"/>
      <c r="Q93" s="1274"/>
      <c r="R93" s="1287"/>
      <c r="S93" s="1263"/>
      <c r="T93" s="1313"/>
      <c r="U93" s="1314"/>
      <c r="V93" s="1314"/>
      <c r="W93" s="1315"/>
      <c r="X93" s="1314"/>
      <c r="Y93" s="1332"/>
      <c r="Z93" s="1300" t="s">
        <v>716</v>
      </c>
      <c r="AA93" s="1274"/>
      <c r="AB93" s="1274"/>
      <c r="AC93" s="1275"/>
      <c r="AD93" s="1274"/>
      <c r="AE93" s="1287"/>
      <c r="AF93" s="1313"/>
      <c r="AG93" s="1314"/>
      <c r="AH93" s="1314"/>
      <c r="AI93" s="1315"/>
      <c r="AJ93" s="1314"/>
      <c r="AK93" s="1332"/>
      <c r="AL93" s="1300" t="s">
        <v>716</v>
      </c>
      <c r="AM93" s="1274"/>
      <c r="AN93" s="1274"/>
      <c r="AO93" s="1275"/>
      <c r="AP93" s="1274"/>
      <c r="AQ93" s="1287"/>
      <c r="AS93" s="1313"/>
      <c r="AT93" s="1314"/>
      <c r="AU93" s="1314"/>
      <c r="AV93" s="1315"/>
      <c r="AW93" s="1314"/>
      <c r="AX93" s="1332"/>
      <c r="AY93" s="1300" t="s">
        <v>716</v>
      </c>
      <c r="AZ93" s="1274"/>
      <c r="BA93" s="1274"/>
      <c r="BB93" s="1275"/>
      <c r="BC93" s="1274"/>
      <c r="BD93" s="1287"/>
      <c r="BF93" s="1313"/>
      <c r="BG93" s="1314"/>
      <c r="BH93" s="1314"/>
      <c r="BI93" s="1315"/>
      <c r="BJ93" s="1314"/>
      <c r="BK93" s="1332"/>
      <c r="BL93" s="1300" t="s">
        <v>716</v>
      </c>
      <c r="BM93" s="1274"/>
      <c r="BN93" s="1274"/>
      <c r="BO93" s="1275"/>
      <c r="BP93" s="1274"/>
      <c r="BQ93" s="1287"/>
    </row>
    <row r="94" spans="1:69" ht="15" thickBot="1" x14ac:dyDescent="0.2">
      <c r="A94" s="1333" t="s">
        <v>143</v>
      </c>
      <c r="B94" s="1322" t="s">
        <v>672</v>
      </c>
      <c r="C94" s="1322" t="s">
        <v>700</v>
      </c>
      <c r="D94" s="1323">
        <v>1960</v>
      </c>
      <c r="E94" s="1322" t="s">
        <v>634</v>
      </c>
      <c r="F94" s="1323">
        <v>515</v>
      </c>
      <c r="G94" s="1288" t="s">
        <v>635</v>
      </c>
      <c r="H94" s="1281" t="s">
        <v>672</v>
      </c>
      <c r="I94" s="1322" t="s">
        <v>700</v>
      </c>
      <c r="J94" s="1323">
        <v>3000</v>
      </c>
      <c r="K94" s="1322" t="s">
        <v>634</v>
      </c>
      <c r="L94" s="1323">
        <v>525</v>
      </c>
      <c r="M94" s="1288" t="s">
        <v>635</v>
      </c>
      <c r="N94" s="1281" t="s">
        <v>672</v>
      </c>
      <c r="O94" s="1281" t="s">
        <v>714</v>
      </c>
      <c r="P94" s="1282">
        <v>150</v>
      </c>
      <c r="Q94" s="1281" t="s">
        <v>634</v>
      </c>
      <c r="R94" s="1285">
        <v>550</v>
      </c>
      <c r="S94" s="1263"/>
      <c r="T94" s="1333" t="s">
        <v>143</v>
      </c>
      <c r="U94" s="1322" t="s">
        <v>672</v>
      </c>
      <c r="V94" s="1322" t="s">
        <v>700</v>
      </c>
      <c r="W94" s="1323">
        <v>1960</v>
      </c>
      <c r="X94" s="1322" t="s">
        <v>634</v>
      </c>
      <c r="Y94" s="1323">
        <v>515</v>
      </c>
      <c r="Z94" s="1288" t="s">
        <v>635</v>
      </c>
      <c r="AA94" s="1281" t="s">
        <v>672</v>
      </c>
      <c r="AB94" s="1281" t="s">
        <v>714</v>
      </c>
      <c r="AC94" s="1282">
        <v>150</v>
      </c>
      <c r="AD94" s="1281" t="s">
        <v>634</v>
      </c>
      <c r="AE94" s="1285">
        <v>550</v>
      </c>
      <c r="AF94" s="1333" t="s">
        <v>143</v>
      </c>
      <c r="AG94" s="1322" t="s">
        <v>672</v>
      </c>
      <c r="AH94" s="1322" t="s">
        <v>700</v>
      </c>
      <c r="AI94" s="1323">
        <v>1960</v>
      </c>
      <c r="AJ94" s="1322" t="s">
        <v>634</v>
      </c>
      <c r="AK94" s="1323">
        <v>515</v>
      </c>
      <c r="AL94" s="1288" t="s">
        <v>635</v>
      </c>
      <c r="AM94" s="1281" t="s">
        <v>672</v>
      </c>
      <c r="AN94" s="1281" t="s">
        <v>714</v>
      </c>
      <c r="AO94" s="1282">
        <v>150</v>
      </c>
      <c r="AP94" s="1281" t="s">
        <v>634</v>
      </c>
      <c r="AQ94" s="1285">
        <v>550</v>
      </c>
      <c r="AS94" s="1333" t="s">
        <v>143</v>
      </c>
      <c r="AT94" s="1322" t="s">
        <v>672</v>
      </c>
      <c r="AU94" s="1322" t="s">
        <v>700</v>
      </c>
      <c r="AV94" s="1323">
        <v>1960</v>
      </c>
      <c r="AW94" s="1322" t="s">
        <v>634</v>
      </c>
      <c r="AX94" s="1323">
        <v>515</v>
      </c>
      <c r="AY94" s="1288" t="s">
        <v>635</v>
      </c>
      <c r="AZ94" s="1281" t="s">
        <v>672</v>
      </c>
      <c r="BA94" s="1281" t="s">
        <v>714</v>
      </c>
      <c r="BB94" s="1282">
        <v>150</v>
      </c>
      <c r="BC94" s="1281" t="s">
        <v>634</v>
      </c>
      <c r="BD94" s="1285">
        <v>550</v>
      </c>
      <c r="BF94" s="1333" t="s">
        <v>143</v>
      </c>
      <c r="BG94" s="1322" t="s">
        <v>672</v>
      </c>
      <c r="BH94" s="1322" t="s">
        <v>700</v>
      </c>
      <c r="BI94" s="1323">
        <v>1960</v>
      </c>
      <c r="BJ94" s="1322" t="s">
        <v>634</v>
      </c>
      <c r="BK94" s="1323">
        <v>515</v>
      </c>
      <c r="BL94" s="1288" t="s">
        <v>635</v>
      </c>
      <c r="BM94" s="1281" t="s">
        <v>672</v>
      </c>
      <c r="BN94" s="1281" t="s">
        <v>714</v>
      </c>
      <c r="BO94" s="1282">
        <v>150</v>
      </c>
      <c r="BP94" s="1281" t="s">
        <v>634</v>
      </c>
      <c r="BQ94" s="1285">
        <v>550</v>
      </c>
    </row>
    <row r="95" spans="1:69" ht="18.75" customHeight="1" x14ac:dyDescent="0.15">
      <c r="A95" s="1334"/>
      <c r="B95" s="1310"/>
      <c r="C95" s="1310"/>
      <c r="D95" s="1311"/>
      <c r="E95" s="1310"/>
      <c r="F95" s="1312"/>
      <c r="G95" s="1271"/>
      <c r="H95" s="1262"/>
      <c r="I95" s="1312"/>
      <c r="J95" s="1312"/>
      <c r="K95" s="1312"/>
      <c r="L95" s="1312"/>
      <c r="M95" s="1271"/>
      <c r="N95" s="1262"/>
      <c r="O95" s="1262"/>
      <c r="P95" s="1272"/>
      <c r="Q95" s="1262"/>
      <c r="R95" s="1273"/>
      <c r="S95" s="1263"/>
      <c r="T95" s="1334"/>
      <c r="U95" s="1310"/>
      <c r="V95" s="1310"/>
      <c r="W95" s="1311"/>
      <c r="X95" s="1310"/>
      <c r="Y95" s="1312"/>
      <c r="Z95" s="1271"/>
      <c r="AA95" s="1262"/>
      <c r="AB95" s="1262"/>
      <c r="AC95" s="1272"/>
      <c r="AD95" s="1262"/>
      <c r="AE95" s="1273"/>
      <c r="AF95" s="1334"/>
      <c r="AG95" s="1310"/>
      <c r="AH95" s="1310"/>
      <c r="AI95" s="1311"/>
      <c r="AJ95" s="1310"/>
      <c r="AK95" s="1312"/>
      <c r="AL95" s="1271"/>
      <c r="AM95" s="1262"/>
      <c r="AN95" s="1262"/>
      <c r="AO95" s="1272"/>
      <c r="AP95" s="1262"/>
      <c r="AQ95" s="1273"/>
      <c r="AS95" s="1334"/>
      <c r="AT95" s="1310"/>
      <c r="AU95" s="1310"/>
      <c r="AV95" s="1311"/>
      <c r="AW95" s="1310"/>
      <c r="AX95" s="1312"/>
      <c r="AY95" s="1271"/>
      <c r="AZ95" s="1262"/>
      <c r="BA95" s="1262"/>
      <c r="BB95" s="1272"/>
      <c r="BC95" s="1262"/>
      <c r="BD95" s="1273"/>
      <c r="BF95" s="1334"/>
      <c r="BG95" s="1310"/>
      <c r="BH95" s="1310"/>
      <c r="BI95" s="1311"/>
      <c r="BJ95" s="1310"/>
      <c r="BK95" s="1312"/>
      <c r="BL95" s="1271"/>
      <c r="BM95" s="1262"/>
      <c r="BN95" s="1262"/>
      <c r="BO95" s="1272"/>
      <c r="BP95" s="1262"/>
      <c r="BQ95" s="1273"/>
    </row>
    <row r="96" spans="1:69" ht="14.25" x14ac:dyDescent="0.15">
      <c r="A96" s="1335" t="s">
        <v>312</v>
      </c>
      <c r="B96" s="1307" t="s">
        <v>673</v>
      </c>
      <c r="C96" s="1307" t="s">
        <v>116</v>
      </c>
      <c r="D96" s="1308">
        <v>175</v>
      </c>
      <c r="E96" s="1307" t="s">
        <v>634</v>
      </c>
      <c r="F96" s="1308">
        <v>710</v>
      </c>
      <c r="G96" s="1264" t="s">
        <v>312</v>
      </c>
      <c r="H96" s="1265" t="s">
        <v>673</v>
      </c>
      <c r="I96" s="1307" t="s">
        <v>116</v>
      </c>
      <c r="J96" s="1308">
        <v>510</v>
      </c>
      <c r="K96" s="1307" t="s">
        <v>634</v>
      </c>
      <c r="L96" s="1308">
        <v>530</v>
      </c>
      <c r="M96" s="1264" t="s">
        <v>312</v>
      </c>
      <c r="N96" s="1265" t="s">
        <v>673</v>
      </c>
      <c r="O96" s="1265" t="s">
        <v>116</v>
      </c>
      <c r="P96" s="1266">
        <v>300</v>
      </c>
      <c r="Q96" s="1265" t="s">
        <v>634</v>
      </c>
      <c r="R96" s="1266">
        <v>725</v>
      </c>
      <c r="S96" s="1263"/>
      <c r="T96" s="1335" t="s">
        <v>312</v>
      </c>
      <c r="U96" s="1307" t="s">
        <v>673</v>
      </c>
      <c r="V96" s="1307" t="s">
        <v>116</v>
      </c>
      <c r="W96" s="1308">
        <v>175</v>
      </c>
      <c r="X96" s="1307" t="s">
        <v>634</v>
      </c>
      <c r="Y96" s="1308">
        <v>705</v>
      </c>
      <c r="Z96" s="1264" t="s">
        <v>312</v>
      </c>
      <c r="AA96" s="1265" t="s">
        <v>673</v>
      </c>
      <c r="AB96" s="1265" t="s">
        <v>116</v>
      </c>
      <c r="AC96" s="1266">
        <v>300</v>
      </c>
      <c r="AD96" s="1265" t="s">
        <v>634</v>
      </c>
      <c r="AE96" s="1266">
        <v>725</v>
      </c>
      <c r="AF96" s="1335" t="s">
        <v>312</v>
      </c>
      <c r="AG96" s="1307" t="s">
        <v>673</v>
      </c>
      <c r="AH96" s="1307" t="s">
        <v>116</v>
      </c>
      <c r="AI96" s="1308">
        <v>175</v>
      </c>
      <c r="AJ96" s="1307" t="s">
        <v>634</v>
      </c>
      <c r="AK96" s="1308">
        <v>705</v>
      </c>
      <c r="AL96" s="1264" t="s">
        <v>312</v>
      </c>
      <c r="AM96" s="1265" t="s">
        <v>673</v>
      </c>
      <c r="AN96" s="1265" t="s">
        <v>116</v>
      </c>
      <c r="AO96" s="1266">
        <v>300</v>
      </c>
      <c r="AP96" s="1265" t="s">
        <v>634</v>
      </c>
      <c r="AQ96" s="1266">
        <v>725</v>
      </c>
      <c r="AS96" s="1335" t="s">
        <v>312</v>
      </c>
      <c r="AT96" s="1307" t="s">
        <v>673</v>
      </c>
      <c r="AU96" s="1307" t="s">
        <v>116</v>
      </c>
      <c r="AV96" s="1308">
        <v>175</v>
      </c>
      <c r="AW96" s="1307" t="s">
        <v>634</v>
      </c>
      <c r="AX96" s="1308">
        <v>705</v>
      </c>
      <c r="AY96" s="1264" t="s">
        <v>312</v>
      </c>
      <c r="AZ96" s="1265" t="s">
        <v>673</v>
      </c>
      <c r="BA96" s="1265" t="s">
        <v>116</v>
      </c>
      <c r="BB96" s="1266">
        <v>300</v>
      </c>
      <c r="BC96" s="1265" t="s">
        <v>634</v>
      </c>
      <c r="BD96" s="1266">
        <v>725</v>
      </c>
      <c r="BF96" s="1335" t="s">
        <v>312</v>
      </c>
      <c r="BG96" s="1307" t="s">
        <v>673</v>
      </c>
      <c r="BH96" s="1307" t="s">
        <v>116</v>
      </c>
      <c r="BI96" s="1308">
        <v>175</v>
      </c>
      <c r="BJ96" s="1307" t="s">
        <v>634</v>
      </c>
      <c r="BK96" s="1308">
        <v>705</v>
      </c>
      <c r="BL96" s="1264" t="s">
        <v>312</v>
      </c>
      <c r="BM96" s="1265" t="s">
        <v>673</v>
      </c>
      <c r="BN96" s="1265" t="s">
        <v>116</v>
      </c>
      <c r="BO96" s="1266">
        <v>300</v>
      </c>
      <c r="BP96" s="1265" t="s">
        <v>634</v>
      </c>
      <c r="BQ96" s="1266">
        <v>725</v>
      </c>
    </row>
    <row r="97" spans="1:69" ht="18.75" customHeight="1" x14ac:dyDescent="0.15">
      <c r="A97" s="1334"/>
      <c r="B97" s="1310"/>
      <c r="C97" s="1310"/>
      <c r="D97" s="1311"/>
      <c r="E97" s="1310"/>
      <c r="F97" s="1312"/>
      <c r="G97" s="1271"/>
      <c r="H97" s="1262"/>
      <c r="I97" s="1310"/>
      <c r="J97" s="1311"/>
      <c r="K97" s="1310"/>
      <c r="L97" s="1312"/>
      <c r="M97" s="1271"/>
      <c r="N97" s="1262"/>
      <c r="O97" s="1262"/>
      <c r="P97" s="1272"/>
      <c r="Q97" s="1262"/>
      <c r="R97" s="1273"/>
      <c r="S97" s="1263"/>
      <c r="T97" s="1334"/>
      <c r="U97" s="1310"/>
      <c r="V97" s="1310"/>
      <c r="W97" s="1311"/>
      <c r="X97" s="1310"/>
      <c r="Y97" s="1312"/>
      <c r="Z97" s="1271"/>
      <c r="AA97" s="1262"/>
      <c r="AB97" s="1262"/>
      <c r="AC97" s="1272"/>
      <c r="AD97" s="1262"/>
      <c r="AE97" s="1273"/>
      <c r="AF97" s="1334"/>
      <c r="AG97" s="1310"/>
      <c r="AH97" s="1310"/>
      <c r="AI97" s="1311"/>
      <c r="AJ97" s="1310"/>
      <c r="AK97" s="1312"/>
      <c r="AL97" s="1271"/>
      <c r="AM97" s="1262"/>
      <c r="AN97" s="1262"/>
      <c r="AO97" s="1272"/>
      <c r="AP97" s="1262"/>
      <c r="AQ97" s="1273"/>
      <c r="AS97" s="1334"/>
      <c r="AT97" s="1310"/>
      <c r="AU97" s="1310"/>
      <c r="AV97" s="1311"/>
      <c r="AW97" s="1310"/>
      <c r="AX97" s="1312"/>
      <c r="AY97" s="1271"/>
      <c r="AZ97" s="1262"/>
      <c r="BA97" s="1262"/>
      <c r="BB97" s="1272"/>
      <c r="BC97" s="1262"/>
      <c r="BD97" s="1273"/>
      <c r="BF97" s="1334"/>
      <c r="BG97" s="1310"/>
      <c r="BH97" s="1310"/>
      <c r="BI97" s="1311"/>
      <c r="BJ97" s="1310"/>
      <c r="BK97" s="1312"/>
      <c r="BL97" s="1271"/>
      <c r="BM97" s="1262"/>
      <c r="BN97" s="1262"/>
      <c r="BO97" s="1272"/>
      <c r="BP97" s="1262"/>
      <c r="BQ97" s="1273"/>
    </row>
    <row r="98" spans="1:69" ht="14.25" x14ac:dyDescent="0.15">
      <c r="A98" s="1335" t="s">
        <v>313</v>
      </c>
      <c r="B98" s="1307" t="s">
        <v>108</v>
      </c>
      <c r="C98" s="1307" t="s">
        <v>82</v>
      </c>
      <c r="D98" s="1308">
        <v>325</v>
      </c>
      <c r="E98" s="1307" t="s">
        <v>634</v>
      </c>
      <c r="F98" s="1308">
        <v>1120</v>
      </c>
      <c r="G98" s="1264" t="s">
        <v>313</v>
      </c>
      <c r="H98" s="1265" t="s">
        <v>108</v>
      </c>
      <c r="I98" s="1307" t="s">
        <v>82</v>
      </c>
      <c r="J98" s="1308">
        <v>610</v>
      </c>
      <c r="K98" s="1307" t="s">
        <v>634</v>
      </c>
      <c r="L98" s="1308">
        <v>1100</v>
      </c>
      <c r="M98" s="1264" t="s">
        <v>313</v>
      </c>
      <c r="N98" s="1265" t="s">
        <v>108</v>
      </c>
      <c r="O98" s="1265" t="s">
        <v>82</v>
      </c>
      <c r="P98" s="1266">
        <v>400</v>
      </c>
      <c r="Q98" s="1265" t="s">
        <v>634</v>
      </c>
      <c r="R98" s="1266">
        <v>1150</v>
      </c>
      <c r="S98" s="1263"/>
      <c r="T98" s="1335" t="s">
        <v>313</v>
      </c>
      <c r="U98" s="1307" t="s">
        <v>108</v>
      </c>
      <c r="V98" s="1307" t="s">
        <v>82</v>
      </c>
      <c r="W98" s="1308">
        <v>325</v>
      </c>
      <c r="X98" s="1307" t="s">
        <v>634</v>
      </c>
      <c r="Y98" s="1308">
        <v>1120</v>
      </c>
      <c r="Z98" s="1264" t="s">
        <v>313</v>
      </c>
      <c r="AA98" s="1265" t="s">
        <v>108</v>
      </c>
      <c r="AB98" s="1265" t="s">
        <v>82</v>
      </c>
      <c r="AC98" s="1266">
        <v>400</v>
      </c>
      <c r="AD98" s="1265" t="s">
        <v>634</v>
      </c>
      <c r="AE98" s="1266">
        <v>1150</v>
      </c>
      <c r="AF98" s="1335" t="s">
        <v>313</v>
      </c>
      <c r="AG98" s="1307" t="s">
        <v>108</v>
      </c>
      <c r="AH98" s="1307" t="s">
        <v>82</v>
      </c>
      <c r="AI98" s="1308">
        <v>325</v>
      </c>
      <c r="AJ98" s="1307" t="s">
        <v>634</v>
      </c>
      <c r="AK98" s="1308">
        <v>1120</v>
      </c>
      <c r="AL98" s="1264" t="s">
        <v>313</v>
      </c>
      <c r="AM98" s="1265" t="s">
        <v>108</v>
      </c>
      <c r="AN98" s="1265" t="s">
        <v>82</v>
      </c>
      <c r="AO98" s="1266">
        <v>400</v>
      </c>
      <c r="AP98" s="1265" t="s">
        <v>634</v>
      </c>
      <c r="AQ98" s="1266">
        <v>1150</v>
      </c>
      <c r="AS98" s="1335" t="s">
        <v>313</v>
      </c>
      <c r="AT98" s="1307" t="s">
        <v>108</v>
      </c>
      <c r="AU98" s="1307" t="s">
        <v>82</v>
      </c>
      <c r="AV98" s="1308">
        <v>325</v>
      </c>
      <c r="AW98" s="1307" t="s">
        <v>634</v>
      </c>
      <c r="AX98" s="1308">
        <v>1120</v>
      </c>
      <c r="AY98" s="1264" t="s">
        <v>313</v>
      </c>
      <c r="AZ98" s="1265" t="s">
        <v>108</v>
      </c>
      <c r="BA98" s="1265" t="s">
        <v>82</v>
      </c>
      <c r="BB98" s="1266">
        <v>400</v>
      </c>
      <c r="BC98" s="1265" t="s">
        <v>634</v>
      </c>
      <c r="BD98" s="1266">
        <v>1150</v>
      </c>
      <c r="BF98" s="1335" t="s">
        <v>313</v>
      </c>
      <c r="BG98" s="1307" t="s">
        <v>108</v>
      </c>
      <c r="BH98" s="1307" t="s">
        <v>82</v>
      </c>
      <c r="BI98" s="1308">
        <v>325</v>
      </c>
      <c r="BJ98" s="1307" t="s">
        <v>634</v>
      </c>
      <c r="BK98" s="1308">
        <v>1120</v>
      </c>
      <c r="BL98" s="1264" t="s">
        <v>313</v>
      </c>
      <c r="BM98" s="1265" t="s">
        <v>108</v>
      </c>
      <c r="BN98" s="1265" t="s">
        <v>82</v>
      </c>
      <c r="BO98" s="1266">
        <v>400</v>
      </c>
      <c r="BP98" s="1265" t="s">
        <v>634</v>
      </c>
      <c r="BQ98" s="1266">
        <v>1150</v>
      </c>
    </row>
    <row r="99" spans="1:69" ht="15" thickBot="1" x14ac:dyDescent="0.2">
      <c r="A99" s="1334"/>
      <c r="B99" s="1310"/>
      <c r="C99" s="1310"/>
      <c r="D99" s="1311"/>
      <c r="E99" s="1310"/>
      <c r="F99" s="1311"/>
      <c r="G99" s="1311"/>
      <c r="H99" s="1311"/>
      <c r="I99" s="1311"/>
      <c r="J99" s="1311"/>
      <c r="K99" s="1311"/>
      <c r="L99" s="1311"/>
      <c r="M99" s="1271"/>
      <c r="N99" s="1262"/>
      <c r="O99" s="1262"/>
      <c r="P99" s="1272"/>
      <c r="Q99" s="1262"/>
      <c r="R99" s="1272"/>
      <c r="S99" s="1263"/>
      <c r="T99" s="1286"/>
      <c r="U99" s="1262"/>
      <c r="V99" s="1262"/>
      <c r="W99" s="1272"/>
      <c r="X99" s="1262"/>
      <c r="Y99" s="1272"/>
      <c r="Z99" s="1271"/>
      <c r="AA99" s="1262"/>
      <c r="AB99" s="1262"/>
      <c r="AC99" s="1272"/>
      <c r="AD99" s="1262"/>
      <c r="AE99" s="1272"/>
      <c r="AF99" s="1286"/>
      <c r="AG99" s="1262"/>
      <c r="AH99" s="1262"/>
      <c r="AI99" s="1272"/>
      <c r="AJ99" s="1262"/>
      <c r="AK99" s="1272"/>
      <c r="AL99" s="1271"/>
      <c r="AM99" s="1262"/>
      <c r="AN99" s="1262"/>
      <c r="AO99" s="1272"/>
      <c r="AP99" s="1262"/>
      <c r="AQ99" s="1272"/>
      <c r="AS99" s="1286"/>
      <c r="AT99" s="1262"/>
      <c r="AU99" s="1262"/>
      <c r="AV99" s="1272"/>
      <c r="AW99" s="1262"/>
      <c r="AX99" s="1272"/>
      <c r="AY99" s="1271"/>
      <c r="AZ99" s="1262"/>
      <c r="BA99" s="1262"/>
      <c r="BB99" s="1272"/>
      <c r="BC99" s="1262"/>
      <c r="BD99" s="1272"/>
      <c r="BF99" s="1286"/>
      <c r="BG99" s="1262"/>
      <c r="BH99" s="1262"/>
      <c r="BI99" s="1272"/>
      <c r="BJ99" s="1262"/>
      <c r="BK99" s="1272"/>
      <c r="BL99" s="1271"/>
      <c r="BM99" s="1262"/>
      <c r="BN99" s="1262"/>
      <c r="BO99" s="1272"/>
      <c r="BP99" s="1262"/>
      <c r="BQ99" s="1272"/>
    </row>
    <row r="100" spans="1:69" ht="18.75" customHeight="1" x14ac:dyDescent="0.15">
      <c r="A100" s="1336"/>
      <c r="B100" s="1314"/>
      <c r="C100" s="1314"/>
      <c r="D100" s="1315"/>
      <c r="E100" s="1314"/>
      <c r="F100" s="1332"/>
      <c r="G100" s="1332"/>
      <c r="H100" s="1332"/>
      <c r="I100" s="1332"/>
      <c r="J100" s="1332"/>
      <c r="K100" s="1332"/>
      <c r="L100" s="1332"/>
      <c r="M100" s="1300" t="s">
        <v>715</v>
      </c>
      <c r="N100" s="1274"/>
      <c r="O100" s="1274"/>
      <c r="P100" s="1275"/>
      <c r="Q100" s="1274"/>
      <c r="R100" s="1287"/>
      <c r="S100" s="1263"/>
      <c r="T100" s="1270"/>
      <c r="U100" s="1270"/>
      <c r="V100" s="1270"/>
      <c r="W100" s="1270"/>
      <c r="X100" s="1270"/>
      <c r="Y100" s="1270"/>
      <c r="Z100" s="1270"/>
      <c r="AA100" s="1270"/>
      <c r="AB100" s="1270"/>
      <c r="AC100" s="1270"/>
      <c r="AD100" s="1270"/>
      <c r="AE100" s="1270"/>
      <c r="AF100" s="1270"/>
      <c r="AG100" s="1270"/>
      <c r="AH100" s="1270"/>
      <c r="AI100" s="1270"/>
      <c r="AJ100" s="1270"/>
      <c r="AK100" s="1270"/>
      <c r="AL100" s="1270"/>
      <c r="AM100" s="1270"/>
      <c r="AN100" s="1270"/>
      <c r="AO100" s="1270"/>
      <c r="AP100" s="1270"/>
      <c r="AQ100" s="1270"/>
      <c r="AS100" s="1270"/>
      <c r="AT100" s="1270"/>
      <c r="AU100" s="1270"/>
      <c r="AV100" s="1270"/>
      <c r="AW100" s="1270"/>
      <c r="AX100" s="1270"/>
      <c r="AY100" s="1270"/>
      <c r="AZ100" s="1270"/>
      <c r="BA100" s="1270"/>
      <c r="BB100" s="1270"/>
      <c r="BC100" s="1270"/>
      <c r="BD100" s="1270"/>
      <c r="BF100" s="1270"/>
      <c r="BG100" s="1270"/>
      <c r="BH100" s="1270"/>
      <c r="BI100" s="1270"/>
      <c r="BJ100" s="1270"/>
      <c r="BK100" s="1270"/>
      <c r="BL100" s="1270"/>
      <c r="BM100" s="1270"/>
      <c r="BN100" s="1270"/>
      <c r="BO100" s="1270"/>
      <c r="BP100" s="1270"/>
      <c r="BQ100" s="1270"/>
    </row>
    <row r="101" spans="1:69" ht="15" thickBot="1" x14ac:dyDescent="0.2">
      <c r="A101" s="1333" t="s">
        <v>623</v>
      </c>
      <c r="B101" s="1322" t="s">
        <v>701</v>
      </c>
      <c r="C101" s="1322"/>
      <c r="D101" s="1323"/>
      <c r="E101" s="1322" t="s">
        <v>634</v>
      </c>
      <c r="F101" s="1323">
        <v>1255</v>
      </c>
      <c r="G101" s="1283" t="s">
        <v>623</v>
      </c>
      <c r="H101" s="1281" t="s">
        <v>701</v>
      </c>
      <c r="I101" s="1323"/>
      <c r="J101" s="1323"/>
      <c r="K101" s="1322" t="s">
        <v>634</v>
      </c>
      <c r="L101" s="1323">
        <v>1300</v>
      </c>
      <c r="M101" s="1283" t="s">
        <v>623</v>
      </c>
      <c r="N101" s="1281" t="s">
        <v>701</v>
      </c>
      <c r="O101" s="1281"/>
      <c r="P101" s="1282"/>
      <c r="Q101" s="1281" t="s">
        <v>634</v>
      </c>
      <c r="R101" s="1285">
        <v>1300</v>
      </c>
      <c r="S101" s="1263"/>
      <c r="T101" s="1270"/>
      <c r="U101" s="1270"/>
      <c r="V101" s="1270"/>
      <c r="W101" s="1270"/>
      <c r="X101" s="1270"/>
      <c r="Y101" s="1270"/>
      <c r="Z101" s="1270"/>
      <c r="AA101" s="1270"/>
      <c r="AB101" s="1270"/>
      <c r="AC101" s="1270"/>
      <c r="AD101" s="1270"/>
      <c r="AE101" s="1270"/>
      <c r="AF101" s="1270"/>
      <c r="AG101" s="1270"/>
      <c r="AH101" s="1270"/>
      <c r="AI101" s="1270"/>
      <c r="AJ101" s="1270"/>
      <c r="AK101" s="1270"/>
      <c r="AL101" s="1270"/>
      <c r="AM101" s="1270"/>
      <c r="AN101" s="1270"/>
      <c r="AO101" s="1270"/>
      <c r="AP101" s="1270"/>
      <c r="AQ101" s="1270"/>
      <c r="AS101" s="1270"/>
      <c r="AT101" s="1270"/>
      <c r="AU101" s="1270"/>
      <c r="AV101" s="1270"/>
      <c r="AW101" s="1270"/>
      <c r="AX101" s="1270"/>
      <c r="AY101" s="1270"/>
      <c r="AZ101" s="1270"/>
      <c r="BA101" s="1270"/>
      <c r="BB101" s="1270"/>
      <c r="BC101" s="1270"/>
      <c r="BD101" s="1270"/>
      <c r="BF101" s="1270"/>
      <c r="BG101" s="1270"/>
      <c r="BH101" s="1270"/>
      <c r="BI101" s="1270"/>
      <c r="BJ101" s="1270"/>
      <c r="BK101" s="1270"/>
      <c r="BL101" s="1270"/>
      <c r="BM101" s="1270"/>
      <c r="BN101" s="1270"/>
      <c r="BO101" s="1270"/>
      <c r="BP101" s="1270"/>
      <c r="BQ101" s="1270"/>
    </row>
    <row r="102" spans="1:69" ht="14.25" x14ac:dyDescent="0.15">
      <c r="A102" s="1270"/>
      <c r="D102" s="1268"/>
      <c r="M102" s="1270"/>
      <c r="P102" s="1268"/>
      <c r="S102" s="1263"/>
      <c r="T102" s="1270"/>
      <c r="W102" s="1268"/>
      <c r="Z102" s="1270"/>
      <c r="AC102" s="1268"/>
      <c r="AF102" s="1270"/>
      <c r="AI102" s="1268"/>
      <c r="AL102" s="1270"/>
      <c r="AO102" s="1268"/>
      <c r="AS102" s="1270"/>
      <c r="AV102" s="1268"/>
      <c r="AY102" s="1270"/>
      <c r="BB102" s="1268"/>
      <c r="BF102" s="1270"/>
      <c r="BI102" s="1268"/>
      <c r="BL102" s="1270"/>
      <c r="BO102" s="1268"/>
    </row>
    <row r="103" spans="1:69" ht="15" thickBot="1" x14ac:dyDescent="0.2">
      <c r="A103" s="1344" t="s">
        <v>718</v>
      </c>
      <c r="D103" s="1268"/>
      <c r="M103" s="1270"/>
      <c r="P103" s="1268"/>
      <c r="S103" s="1263"/>
      <c r="T103" s="1344" t="s">
        <v>718</v>
      </c>
      <c r="W103" s="1268"/>
      <c r="Z103" s="1270"/>
      <c r="AC103" s="1268"/>
      <c r="AF103" s="1344" t="s">
        <v>718</v>
      </c>
      <c r="AI103" s="1268"/>
      <c r="AL103" s="1270"/>
      <c r="AO103" s="1268"/>
      <c r="AS103" s="1344" t="s">
        <v>718</v>
      </c>
      <c r="AV103" s="1268"/>
      <c r="AY103" s="1270"/>
      <c r="BB103" s="1268"/>
      <c r="BF103" s="1344" t="s">
        <v>718</v>
      </c>
      <c r="BI103" s="1268"/>
      <c r="BL103" s="1270"/>
      <c r="BO103" s="1268"/>
    </row>
    <row r="104" spans="1:69" ht="14.25" x14ac:dyDescent="0.15">
      <c r="A104" s="1313" t="s">
        <v>69</v>
      </c>
      <c r="B104" s="1314" t="s">
        <v>679</v>
      </c>
      <c r="C104" s="1314" t="s">
        <v>661</v>
      </c>
      <c r="D104" s="1315">
        <v>140</v>
      </c>
      <c r="E104" s="1314" t="s">
        <v>676</v>
      </c>
      <c r="F104" s="1315">
        <v>840</v>
      </c>
      <c r="G104" s="1276" t="s">
        <v>508</v>
      </c>
      <c r="H104" s="1274" t="s">
        <v>709</v>
      </c>
      <c r="I104" s="1274" t="s">
        <v>661</v>
      </c>
      <c r="J104" s="1315">
        <v>280</v>
      </c>
      <c r="K104" s="1315" t="s">
        <v>561</v>
      </c>
      <c r="L104" s="1315">
        <v>770</v>
      </c>
      <c r="M104" s="1276" t="s">
        <v>508</v>
      </c>
      <c r="N104" s="1274" t="s">
        <v>709</v>
      </c>
      <c r="O104" s="1274" t="s">
        <v>661</v>
      </c>
      <c r="P104" s="1275">
        <v>220</v>
      </c>
      <c r="Q104" s="1274" t="s">
        <v>634</v>
      </c>
      <c r="R104" s="1277">
        <v>850</v>
      </c>
      <c r="S104" s="1263"/>
      <c r="T104" s="1313" t="s">
        <v>69</v>
      </c>
      <c r="U104" s="1314" t="s">
        <v>679</v>
      </c>
      <c r="V104" s="1314" t="s">
        <v>661</v>
      </c>
      <c r="W104" s="1315">
        <v>140</v>
      </c>
      <c r="X104" s="1314" t="s">
        <v>676</v>
      </c>
      <c r="Y104" s="1315">
        <v>840</v>
      </c>
      <c r="Z104" s="1276" t="s">
        <v>508</v>
      </c>
      <c r="AA104" s="1274" t="s">
        <v>709</v>
      </c>
      <c r="AB104" s="1274" t="s">
        <v>661</v>
      </c>
      <c r="AC104" s="1275">
        <v>220</v>
      </c>
      <c r="AD104" s="1274" t="s">
        <v>634</v>
      </c>
      <c r="AE104" s="1277">
        <v>850</v>
      </c>
      <c r="AF104" s="1313" t="s">
        <v>69</v>
      </c>
      <c r="AG104" s="1314" t="s">
        <v>679</v>
      </c>
      <c r="AH104" s="1314" t="s">
        <v>661</v>
      </c>
      <c r="AI104" s="1315">
        <v>140</v>
      </c>
      <c r="AJ104" s="1314" t="s">
        <v>676</v>
      </c>
      <c r="AK104" s="1315">
        <v>840</v>
      </c>
      <c r="AL104" s="1276" t="s">
        <v>508</v>
      </c>
      <c r="AM104" s="1274" t="s">
        <v>709</v>
      </c>
      <c r="AN104" s="1274" t="s">
        <v>661</v>
      </c>
      <c r="AO104" s="1275">
        <v>220</v>
      </c>
      <c r="AP104" s="1274" t="s">
        <v>634</v>
      </c>
      <c r="AQ104" s="1277">
        <v>850</v>
      </c>
      <c r="AS104" s="1313" t="s">
        <v>69</v>
      </c>
      <c r="AT104" s="1314" t="s">
        <v>679</v>
      </c>
      <c r="AU104" s="1314" t="s">
        <v>661</v>
      </c>
      <c r="AV104" s="1315">
        <v>140</v>
      </c>
      <c r="AW104" s="1314" t="s">
        <v>676</v>
      </c>
      <c r="AX104" s="1315">
        <v>840</v>
      </c>
      <c r="AY104" s="1276" t="s">
        <v>508</v>
      </c>
      <c r="AZ104" s="1274" t="s">
        <v>709</v>
      </c>
      <c r="BA104" s="1274" t="s">
        <v>661</v>
      </c>
      <c r="BB104" s="1275">
        <v>220</v>
      </c>
      <c r="BC104" s="1274" t="s">
        <v>634</v>
      </c>
      <c r="BD104" s="1277">
        <v>850</v>
      </c>
      <c r="BF104" s="1313" t="s">
        <v>69</v>
      </c>
      <c r="BG104" s="1314" t="s">
        <v>679</v>
      </c>
      <c r="BH104" s="1314" t="s">
        <v>661</v>
      </c>
      <c r="BI104" s="1315">
        <v>140</v>
      </c>
      <c r="BJ104" s="1314" t="s">
        <v>676</v>
      </c>
      <c r="BK104" s="1315">
        <v>840</v>
      </c>
      <c r="BL104" s="1276" t="s">
        <v>508</v>
      </c>
      <c r="BM104" s="1274" t="s">
        <v>709</v>
      </c>
      <c r="BN104" s="1274" t="s">
        <v>661</v>
      </c>
      <c r="BO104" s="1275">
        <v>220</v>
      </c>
      <c r="BP104" s="1274" t="s">
        <v>634</v>
      </c>
      <c r="BQ104" s="1277">
        <v>850</v>
      </c>
    </row>
    <row r="105" spans="1:69" ht="14.25" x14ac:dyDescent="0.15">
      <c r="A105" s="1317"/>
      <c r="B105" s="1307" t="s">
        <v>680</v>
      </c>
      <c r="C105" s="1307" t="s">
        <v>642</v>
      </c>
      <c r="D105" s="1308">
        <v>245</v>
      </c>
      <c r="E105" s="1307" t="s">
        <v>558</v>
      </c>
      <c r="F105" s="1308">
        <v>940</v>
      </c>
      <c r="G105" s="1308"/>
      <c r="H105" s="1308"/>
      <c r="I105" s="1265" t="s">
        <v>642</v>
      </c>
      <c r="J105" s="1308">
        <v>490</v>
      </c>
      <c r="K105" s="1308"/>
      <c r="L105" s="1308"/>
      <c r="M105" s="1264"/>
      <c r="N105" s="1265"/>
      <c r="O105" s="1265" t="s">
        <v>642</v>
      </c>
      <c r="P105" s="1266">
        <v>320</v>
      </c>
      <c r="Q105" s="1265"/>
      <c r="R105" s="1279"/>
      <c r="S105" s="1263"/>
      <c r="T105" s="1317"/>
      <c r="U105" s="1307" t="s">
        <v>680</v>
      </c>
      <c r="V105" s="1307" t="s">
        <v>642</v>
      </c>
      <c r="W105" s="1308">
        <v>245</v>
      </c>
      <c r="X105" s="1307" t="s">
        <v>558</v>
      </c>
      <c r="Y105" s="1308">
        <v>940</v>
      </c>
      <c r="Z105" s="1264"/>
      <c r="AA105" s="1265"/>
      <c r="AB105" s="1265" t="s">
        <v>642</v>
      </c>
      <c r="AC105" s="1266">
        <v>320</v>
      </c>
      <c r="AD105" s="1265"/>
      <c r="AE105" s="1279"/>
      <c r="AF105" s="1317"/>
      <c r="AG105" s="1307" t="s">
        <v>680</v>
      </c>
      <c r="AH105" s="1307" t="s">
        <v>642</v>
      </c>
      <c r="AI105" s="1308">
        <v>245</v>
      </c>
      <c r="AJ105" s="1307" t="s">
        <v>558</v>
      </c>
      <c r="AK105" s="1308">
        <v>940</v>
      </c>
      <c r="AL105" s="1264"/>
      <c r="AM105" s="1265"/>
      <c r="AN105" s="1265" t="s">
        <v>642</v>
      </c>
      <c r="AO105" s="1266">
        <v>320</v>
      </c>
      <c r="AP105" s="1265"/>
      <c r="AQ105" s="1279"/>
      <c r="AS105" s="1317"/>
      <c r="AT105" s="1307" t="s">
        <v>680</v>
      </c>
      <c r="AU105" s="1307" t="s">
        <v>642</v>
      </c>
      <c r="AV105" s="1308">
        <v>245</v>
      </c>
      <c r="AW105" s="1307" t="s">
        <v>558</v>
      </c>
      <c r="AX105" s="1308">
        <v>940</v>
      </c>
      <c r="AY105" s="1264"/>
      <c r="AZ105" s="1265"/>
      <c r="BA105" s="1265" t="s">
        <v>642</v>
      </c>
      <c r="BB105" s="1266">
        <v>320</v>
      </c>
      <c r="BC105" s="1265"/>
      <c r="BD105" s="1279"/>
      <c r="BF105" s="1317"/>
      <c r="BG105" s="1307" t="s">
        <v>680</v>
      </c>
      <c r="BH105" s="1307" t="s">
        <v>642</v>
      </c>
      <c r="BI105" s="1308">
        <v>245</v>
      </c>
      <c r="BJ105" s="1307" t="s">
        <v>558</v>
      </c>
      <c r="BK105" s="1308">
        <v>940</v>
      </c>
      <c r="BL105" s="1264"/>
      <c r="BM105" s="1265"/>
      <c r="BN105" s="1265" t="s">
        <v>642</v>
      </c>
      <c r="BO105" s="1266">
        <v>320</v>
      </c>
      <c r="BP105" s="1265"/>
      <c r="BQ105" s="1279"/>
    </row>
    <row r="106" spans="1:69" ht="14.25" x14ac:dyDescent="0.15">
      <c r="A106" s="1319"/>
      <c r="B106" s="1310"/>
      <c r="C106" s="1310"/>
      <c r="D106" s="1311"/>
      <c r="E106" s="1310"/>
      <c r="F106" s="1312"/>
      <c r="G106" s="1312"/>
      <c r="H106" s="1312"/>
      <c r="I106" s="1312"/>
      <c r="J106" s="1312"/>
      <c r="K106" s="1312"/>
      <c r="L106" s="1312"/>
      <c r="M106" s="1271"/>
      <c r="N106" s="1262"/>
      <c r="O106" s="1262"/>
      <c r="P106" s="1272"/>
      <c r="Q106" s="1262"/>
      <c r="R106" s="1280"/>
      <c r="S106" s="1263"/>
      <c r="T106" s="1319"/>
      <c r="U106" s="1310"/>
      <c r="V106" s="1310"/>
      <c r="W106" s="1311"/>
      <c r="X106" s="1310"/>
      <c r="Y106" s="1312"/>
      <c r="Z106" s="1271"/>
      <c r="AA106" s="1262"/>
      <c r="AB106" s="1262"/>
      <c r="AC106" s="1272"/>
      <c r="AD106" s="1262"/>
      <c r="AE106" s="1280"/>
      <c r="AF106" s="1319"/>
      <c r="AG106" s="1310"/>
      <c r="AH106" s="1310"/>
      <c r="AI106" s="1311"/>
      <c r="AJ106" s="1310"/>
      <c r="AK106" s="1312"/>
      <c r="AL106" s="1271"/>
      <c r="AM106" s="1262"/>
      <c r="AN106" s="1262"/>
      <c r="AO106" s="1272"/>
      <c r="AP106" s="1262"/>
      <c r="AQ106" s="1280"/>
      <c r="AS106" s="1319"/>
      <c r="AT106" s="1310"/>
      <c r="AU106" s="1310"/>
      <c r="AV106" s="1311"/>
      <c r="AW106" s="1310"/>
      <c r="AX106" s="1312"/>
      <c r="AY106" s="1271"/>
      <c r="AZ106" s="1262"/>
      <c r="BA106" s="1262"/>
      <c r="BB106" s="1272"/>
      <c r="BC106" s="1262"/>
      <c r="BD106" s="1280"/>
      <c r="BF106" s="1319"/>
      <c r="BG106" s="1310"/>
      <c r="BH106" s="1310"/>
      <c r="BI106" s="1311"/>
      <c r="BJ106" s="1310"/>
      <c r="BK106" s="1312"/>
      <c r="BL106" s="1271"/>
      <c r="BM106" s="1262"/>
      <c r="BN106" s="1262"/>
      <c r="BO106" s="1272"/>
      <c r="BP106" s="1262"/>
      <c r="BQ106" s="1280"/>
    </row>
    <row r="107" spans="1:69" ht="14.25" x14ac:dyDescent="0.15">
      <c r="A107" s="1317" t="s">
        <v>76</v>
      </c>
      <c r="B107" s="1307" t="s">
        <v>648</v>
      </c>
      <c r="C107" s="1307" t="s">
        <v>661</v>
      </c>
      <c r="D107" s="1308">
        <v>130</v>
      </c>
      <c r="E107" s="1307" t="s">
        <v>676</v>
      </c>
      <c r="F107" s="1308">
        <v>790</v>
      </c>
      <c r="G107" s="1311"/>
      <c r="H107" s="1311"/>
      <c r="I107" s="1311"/>
      <c r="J107" s="1311"/>
      <c r="K107" s="1311"/>
      <c r="L107" s="1311"/>
      <c r="M107" s="1271"/>
      <c r="N107" s="1262"/>
      <c r="O107" s="1262"/>
      <c r="P107" s="1272"/>
      <c r="Q107" s="1262"/>
      <c r="R107" s="1280"/>
      <c r="S107" s="1263"/>
      <c r="T107" s="1317" t="s">
        <v>76</v>
      </c>
      <c r="U107" s="1307" t="s">
        <v>648</v>
      </c>
      <c r="V107" s="1307" t="s">
        <v>661</v>
      </c>
      <c r="W107" s="1308">
        <v>130</v>
      </c>
      <c r="X107" s="1307" t="s">
        <v>676</v>
      </c>
      <c r="Y107" s="1308">
        <v>790</v>
      </c>
      <c r="Z107" s="1271"/>
      <c r="AA107" s="1262"/>
      <c r="AB107" s="1262"/>
      <c r="AC107" s="1272"/>
      <c r="AD107" s="1262"/>
      <c r="AE107" s="1280"/>
      <c r="AF107" s="1317" t="s">
        <v>76</v>
      </c>
      <c r="AG107" s="1307" t="s">
        <v>648</v>
      </c>
      <c r="AH107" s="1307" t="s">
        <v>661</v>
      </c>
      <c r="AI107" s="1308">
        <v>130</v>
      </c>
      <c r="AJ107" s="1307" t="s">
        <v>676</v>
      </c>
      <c r="AK107" s="1308">
        <v>790</v>
      </c>
      <c r="AL107" s="1271"/>
      <c r="AM107" s="1262"/>
      <c r="AN107" s="1262"/>
      <c r="AO107" s="1272"/>
      <c r="AP107" s="1262"/>
      <c r="AQ107" s="1280"/>
      <c r="AS107" s="1317" t="s">
        <v>76</v>
      </c>
      <c r="AT107" s="1307" t="s">
        <v>648</v>
      </c>
      <c r="AU107" s="1307" t="s">
        <v>661</v>
      </c>
      <c r="AV107" s="1308">
        <v>130</v>
      </c>
      <c r="AW107" s="1307" t="s">
        <v>676</v>
      </c>
      <c r="AX107" s="1308">
        <v>790</v>
      </c>
      <c r="AY107" s="1271"/>
      <c r="AZ107" s="1262"/>
      <c r="BA107" s="1262"/>
      <c r="BB107" s="1272"/>
      <c r="BC107" s="1262"/>
      <c r="BD107" s="1280"/>
      <c r="BF107" s="1317" t="s">
        <v>76</v>
      </c>
      <c r="BG107" s="1307" t="s">
        <v>648</v>
      </c>
      <c r="BH107" s="1307" t="s">
        <v>661</v>
      </c>
      <c r="BI107" s="1308">
        <v>130</v>
      </c>
      <c r="BJ107" s="1307" t="s">
        <v>676</v>
      </c>
      <c r="BK107" s="1308">
        <v>790</v>
      </c>
      <c r="BL107" s="1271"/>
      <c r="BM107" s="1262"/>
      <c r="BN107" s="1262"/>
      <c r="BO107" s="1272"/>
      <c r="BP107" s="1262"/>
      <c r="BQ107" s="1280"/>
    </row>
    <row r="108" spans="1:69" ht="15" thickBot="1" x14ac:dyDescent="0.2">
      <c r="A108" s="1321"/>
      <c r="B108" s="1322" t="s">
        <v>649</v>
      </c>
      <c r="C108" s="1322" t="s">
        <v>642</v>
      </c>
      <c r="D108" s="1323">
        <v>235</v>
      </c>
      <c r="E108" s="1322" t="s">
        <v>558</v>
      </c>
      <c r="F108" s="1323">
        <v>890</v>
      </c>
      <c r="G108" s="1357"/>
      <c r="H108" s="1357"/>
      <c r="I108" s="1357"/>
      <c r="J108" s="1357"/>
      <c r="K108" s="1357"/>
      <c r="L108" s="1357"/>
      <c r="M108" s="1294"/>
      <c r="N108" s="1296"/>
      <c r="O108" s="1296"/>
      <c r="P108" s="1297"/>
      <c r="Q108" s="1296"/>
      <c r="R108" s="1298"/>
      <c r="S108" s="1263"/>
      <c r="T108" s="1321"/>
      <c r="U108" s="1322" t="s">
        <v>649</v>
      </c>
      <c r="V108" s="1322" t="s">
        <v>642</v>
      </c>
      <c r="W108" s="1323">
        <v>235</v>
      </c>
      <c r="X108" s="1322" t="s">
        <v>558</v>
      </c>
      <c r="Y108" s="1323">
        <v>890</v>
      </c>
      <c r="Z108" s="1294"/>
      <c r="AA108" s="1296"/>
      <c r="AB108" s="1296"/>
      <c r="AC108" s="1297"/>
      <c r="AD108" s="1296"/>
      <c r="AE108" s="1298"/>
      <c r="AF108" s="1321"/>
      <c r="AG108" s="1322" t="s">
        <v>649</v>
      </c>
      <c r="AH108" s="1322" t="s">
        <v>642</v>
      </c>
      <c r="AI108" s="1323">
        <v>235</v>
      </c>
      <c r="AJ108" s="1322" t="s">
        <v>558</v>
      </c>
      <c r="AK108" s="1323">
        <v>890</v>
      </c>
      <c r="AL108" s="1294"/>
      <c r="AM108" s="1296"/>
      <c r="AN108" s="1296"/>
      <c r="AO108" s="1297"/>
      <c r="AP108" s="1296"/>
      <c r="AQ108" s="1298"/>
      <c r="AS108" s="1321"/>
      <c r="AT108" s="1322" t="s">
        <v>649</v>
      </c>
      <c r="AU108" s="1322" t="s">
        <v>642</v>
      </c>
      <c r="AV108" s="1323">
        <v>235</v>
      </c>
      <c r="AW108" s="1322" t="s">
        <v>558</v>
      </c>
      <c r="AX108" s="1323">
        <v>890</v>
      </c>
      <c r="AY108" s="1294"/>
      <c r="AZ108" s="1296"/>
      <c r="BA108" s="1296"/>
      <c r="BB108" s="1297"/>
      <c r="BC108" s="1296"/>
      <c r="BD108" s="1298"/>
      <c r="BF108" s="1321"/>
      <c r="BG108" s="1322" t="s">
        <v>649</v>
      </c>
      <c r="BH108" s="1322" t="s">
        <v>642</v>
      </c>
      <c r="BI108" s="1323">
        <v>235</v>
      </c>
      <c r="BJ108" s="1322" t="s">
        <v>558</v>
      </c>
      <c r="BK108" s="1323">
        <v>890</v>
      </c>
      <c r="BL108" s="1294"/>
      <c r="BM108" s="1296"/>
      <c r="BN108" s="1296"/>
      <c r="BO108" s="1297"/>
      <c r="BP108" s="1296"/>
      <c r="BQ108" s="1298"/>
    </row>
    <row r="109" spans="1:69" ht="15" thickBot="1" x14ac:dyDescent="0.2">
      <c r="A109" s="1344" t="s">
        <v>718</v>
      </c>
      <c r="M109" s="1270"/>
      <c r="S109" s="1263"/>
      <c r="T109" s="1344" t="s">
        <v>718</v>
      </c>
      <c r="Z109" s="1270"/>
      <c r="AF109" s="1344" t="s">
        <v>718</v>
      </c>
      <c r="AL109" s="1270"/>
      <c r="AS109" s="1344" t="s">
        <v>718</v>
      </c>
      <c r="AY109" s="1270"/>
      <c r="BF109" s="1344" t="s">
        <v>718</v>
      </c>
      <c r="BL109" s="1270"/>
    </row>
    <row r="110" spans="1:69" ht="14.25" x14ac:dyDescent="0.15">
      <c r="A110" s="1313" t="s">
        <v>9</v>
      </c>
      <c r="B110" s="1346" t="s">
        <v>682</v>
      </c>
      <c r="C110" s="1314" t="s">
        <v>720</v>
      </c>
      <c r="D110" s="1348">
        <v>120</v>
      </c>
      <c r="E110" s="1314" t="s">
        <v>653</v>
      </c>
      <c r="F110" s="1315">
        <v>605</v>
      </c>
      <c r="G110" s="1276" t="s">
        <v>511</v>
      </c>
      <c r="H110" s="1274" t="s">
        <v>682</v>
      </c>
      <c r="I110" s="1364" t="s">
        <v>730</v>
      </c>
      <c r="J110" s="1315">
        <v>360</v>
      </c>
      <c r="K110" s="1315" t="s">
        <v>561</v>
      </c>
      <c r="L110" s="1315">
        <v>620</v>
      </c>
      <c r="M110" s="1276" t="s">
        <v>511</v>
      </c>
      <c r="N110" s="1274" t="s">
        <v>682</v>
      </c>
      <c r="O110" s="1274" t="s">
        <v>710</v>
      </c>
      <c r="P110" s="1275">
        <v>190</v>
      </c>
      <c r="Q110" s="1353" t="s">
        <v>653</v>
      </c>
      <c r="R110" s="1351">
        <v>610</v>
      </c>
      <c r="S110" s="1263"/>
      <c r="T110" s="1313" t="s">
        <v>9</v>
      </c>
      <c r="U110" s="1346" t="s">
        <v>682</v>
      </c>
      <c r="V110" s="1314" t="s">
        <v>720</v>
      </c>
      <c r="W110" s="1348">
        <v>120</v>
      </c>
      <c r="X110" s="1307" t="s">
        <v>653</v>
      </c>
      <c r="Y110" s="1315">
        <v>585</v>
      </c>
      <c r="Z110" s="1276" t="s">
        <v>511</v>
      </c>
      <c r="AA110" s="1274" t="s">
        <v>682</v>
      </c>
      <c r="AB110" s="1274" t="s">
        <v>710</v>
      </c>
      <c r="AC110" s="1275">
        <v>190</v>
      </c>
      <c r="AD110" s="1353" t="s">
        <v>653</v>
      </c>
      <c r="AE110" s="1351">
        <v>610</v>
      </c>
      <c r="AF110" s="1313" t="s">
        <v>9</v>
      </c>
      <c r="AG110" s="1346" t="s">
        <v>682</v>
      </c>
      <c r="AH110" s="1314" t="s">
        <v>720</v>
      </c>
      <c r="AI110" s="1348">
        <v>120</v>
      </c>
      <c r="AJ110" s="1307" t="s">
        <v>653</v>
      </c>
      <c r="AK110" s="1315">
        <v>585</v>
      </c>
      <c r="AL110" s="1276" t="s">
        <v>511</v>
      </c>
      <c r="AM110" s="1274" t="s">
        <v>682</v>
      </c>
      <c r="AN110" s="1274" t="s">
        <v>710</v>
      </c>
      <c r="AO110" s="1275">
        <v>190</v>
      </c>
      <c r="AP110" s="1353" t="s">
        <v>653</v>
      </c>
      <c r="AQ110" s="1351">
        <v>610</v>
      </c>
      <c r="AS110" s="1313" t="s">
        <v>9</v>
      </c>
      <c r="AT110" s="1346" t="s">
        <v>682</v>
      </c>
      <c r="AU110" s="1314" t="s">
        <v>720</v>
      </c>
      <c r="AV110" s="1348">
        <v>120</v>
      </c>
      <c r="AW110" s="1307" t="s">
        <v>653</v>
      </c>
      <c r="AX110" s="1315">
        <v>585</v>
      </c>
      <c r="AY110" s="1276" t="s">
        <v>511</v>
      </c>
      <c r="AZ110" s="1274" t="s">
        <v>682</v>
      </c>
      <c r="BA110" s="1274" t="s">
        <v>710</v>
      </c>
      <c r="BB110" s="1275">
        <v>190</v>
      </c>
      <c r="BC110" s="1353" t="s">
        <v>653</v>
      </c>
      <c r="BD110" s="1351">
        <v>610</v>
      </c>
      <c r="BF110" s="1313" t="s">
        <v>9</v>
      </c>
      <c r="BG110" s="1346" t="s">
        <v>682</v>
      </c>
      <c r="BH110" s="1314" t="s">
        <v>720</v>
      </c>
      <c r="BI110" s="1348">
        <v>120</v>
      </c>
      <c r="BJ110" s="1307" t="s">
        <v>653</v>
      </c>
      <c r="BK110" s="1315">
        <v>585</v>
      </c>
      <c r="BL110" s="1276" t="s">
        <v>511</v>
      </c>
      <c r="BM110" s="1274" t="s">
        <v>682</v>
      </c>
      <c r="BN110" s="1274" t="s">
        <v>710</v>
      </c>
      <c r="BO110" s="1275">
        <v>190</v>
      </c>
      <c r="BP110" s="1353" t="s">
        <v>653</v>
      </c>
      <c r="BQ110" s="1351">
        <v>610</v>
      </c>
    </row>
    <row r="111" spans="1:69" ht="14.25" x14ac:dyDescent="0.15">
      <c r="A111" s="1317"/>
      <c r="B111" s="1339" t="s">
        <v>674</v>
      </c>
      <c r="C111" s="1307" t="s">
        <v>719</v>
      </c>
      <c r="D111" s="1349">
        <v>155</v>
      </c>
      <c r="E111" s="1307" t="s">
        <v>576</v>
      </c>
      <c r="F111" s="1308">
        <v>735</v>
      </c>
      <c r="G111" s="1308"/>
      <c r="H111" s="1308"/>
      <c r="I111" s="1365" t="s">
        <v>731</v>
      </c>
      <c r="J111" s="1308">
        <v>480</v>
      </c>
      <c r="K111" s="1308"/>
      <c r="L111" s="1308"/>
      <c r="M111" s="1264"/>
      <c r="N111" s="1265"/>
      <c r="O111" s="1265" t="s">
        <v>572</v>
      </c>
      <c r="P111" s="1266">
        <v>300</v>
      </c>
      <c r="Q111" s="1354" t="s">
        <v>576</v>
      </c>
      <c r="R111" s="1352">
        <v>710</v>
      </c>
      <c r="S111" s="1263"/>
      <c r="T111" s="1317"/>
      <c r="U111" s="1339" t="s">
        <v>674</v>
      </c>
      <c r="V111" s="1307" t="s">
        <v>719</v>
      </c>
      <c r="W111" s="1349">
        <v>155</v>
      </c>
      <c r="X111" s="1307" t="s">
        <v>654</v>
      </c>
      <c r="Y111" s="1308">
        <v>685</v>
      </c>
      <c r="Z111" s="1264"/>
      <c r="AA111" s="1265"/>
      <c r="AB111" s="1265" t="s">
        <v>572</v>
      </c>
      <c r="AC111" s="1266">
        <v>300</v>
      </c>
      <c r="AD111" s="1354" t="s">
        <v>576</v>
      </c>
      <c r="AE111" s="1352">
        <v>710</v>
      </c>
      <c r="AF111" s="1317"/>
      <c r="AG111" s="1339" t="s">
        <v>674</v>
      </c>
      <c r="AH111" s="1307" t="s">
        <v>719</v>
      </c>
      <c r="AI111" s="1349">
        <v>155</v>
      </c>
      <c r="AJ111" s="1307" t="s">
        <v>654</v>
      </c>
      <c r="AK111" s="1308">
        <v>685</v>
      </c>
      <c r="AL111" s="1264"/>
      <c r="AM111" s="1265"/>
      <c r="AN111" s="1265" t="s">
        <v>572</v>
      </c>
      <c r="AO111" s="1266">
        <v>300</v>
      </c>
      <c r="AP111" s="1354" t="s">
        <v>576</v>
      </c>
      <c r="AQ111" s="1352">
        <v>710</v>
      </c>
      <c r="AS111" s="1317"/>
      <c r="AT111" s="1339" t="s">
        <v>674</v>
      </c>
      <c r="AU111" s="1307" t="s">
        <v>719</v>
      </c>
      <c r="AV111" s="1349">
        <v>155</v>
      </c>
      <c r="AW111" s="1307" t="s">
        <v>654</v>
      </c>
      <c r="AX111" s="1308">
        <v>685</v>
      </c>
      <c r="AY111" s="1264"/>
      <c r="AZ111" s="1265"/>
      <c r="BA111" s="1265" t="s">
        <v>572</v>
      </c>
      <c r="BB111" s="1266">
        <v>300</v>
      </c>
      <c r="BC111" s="1354" t="s">
        <v>576</v>
      </c>
      <c r="BD111" s="1352">
        <v>710</v>
      </c>
      <c r="BF111" s="1317"/>
      <c r="BG111" s="1339" t="s">
        <v>674</v>
      </c>
      <c r="BH111" s="1307" t="s">
        <v>719</v>
      </c>
      <c r="BI111" s="1349">
        <v>155</v>
      </c>
      <c r="BJ111" s="1307" t="s">
        <v>654</v>
      </c>
      <c r="BK111" s="1308">
        <v>685</v>
      </c>
      <c r="BL111" s="1264"/>
      <c r="BM111" s="1265"/>
      <c r="BN111" s="1265" t="s">
        <v>572</v>
      </c>
      <c r="BO111" s="1266">
        <v>300</v>
      </c>
      <c r="BP111" s="1354" t="s">
        <v>576</v>
      </c>
      <c r="BQ111" s="1352">
        <v>710</v>
      </c>
    </row>
    <row r="112" spans="1:69" ht="14.25" x14ac:dyDescent="0.15">
      <c r="A112" s="1317"/>
      <c r="B112" s="1339"/>
      <c r="C112" s="1307" t="s">
        <v>721</v>
      </c>
      <c r="D112" s="1349">
        <v>240</v>
      </c>
      <c r="E112" s="1307"/>
      <c r="F112" s="1324"/>
      <c r="G112" s="1312"/>
      <c r="H112" s="1312"/>
      <c r="I112" s="1369" t="s">
        <v>446</v>
      </c>
      <c r="J112" s="1308">
        <v>510</v>
      </c>
      <c r="K112" s="1312"/>
      <c r="L112" s="1312"/>
      <c r="M112" s="1271"/>
      <c r="N112" s="1271"/>
      <c r="O112" s="1271"/>
      <c r="P112" s="1271"/>
      <c r="Q112" s="1293"/>
      <c r="R112" s="1293"/>
      <c r="S112" s="1263"/>
      <c r="T112" s="1317"/>
      <c r="U112" s="1339"/>
      <c r="V112" s="1307" t="s">
        <v>721</v>
      </c>
      <c r="W112" s="1349">
        <v>240</v>
      </c>
      <c r="X112" s="1307" t="s">
        <v>575</v>
      </c>
      <c r="Y112" s="1308">
        <v>715</v>
      </c>
      <c r="Z112" s="1271"/>
      <c r="AA112" s="1271"/>
      <c r="AB112" s="1271"/>
      <c r="AC112" s="1271"/>
      <c r="AD112" s="1293"/>
      <c r="AE112" s="1293"/>
      <c r="AF112" s="1317"/>
      <c r="AG112" s="1339"/>
      <c r="AH112" s="1307" t="s">
        <v>721</v>
      </c>
      <c r="AI112" s="1349">
        <v>240</v>
      </c>
      <c r="AJ112" s="1307" t="s">
        <v>575</v>
      </c>
      <c r="AK112" s="1308">
        <v>715</v>
      </c>
      <c r="AL112" s="1271"/>
      <c r="AM112" s="1271"/>
      <c r="AN112" s="1271"/>
      <c r="AO112" s="1271"/>
      <c r="AP112" s="1293"/>
      <c r="AQ112" s="1293"/>
      <c r="AS112" s="1317"/>
      <c r="AT112" s="1339"/>
      <c r="AU112" s="1307" t="s">
        <v>721</v>
      </c>
      <c r="AV112" s="1349">
        <v>240</v>
      </c>
      <c r="AW112" s="1307" t="s">
        <v>575</v>
      </c>
      <c r="AX112" s="1308">
        <v>715</v>
      </c>
      <c r="AY112" s="1271"/>
      <c r="AZ112" s="1271"/>
      <c r="BA112" s="1271"/>
      <c r="BB112" s="1271"/>
      <c r="BC112" s="1293"/>
      <c r="BD112" s="1293"/>
      <c r="BF112" s="1317"/>
      <c r="BG112" s="1339"/>
      <c r="BH112" s="1307" t="s">
        <v>721</v>
      </c>
      <c r="BI112" s="1349">
        <v>240</v>
      </c>
      <c r="BJ112" s="1307" t="s">
        <v>575</v>
      </c>
      <c r="BK112" s="1308">
        <v>715</v>
      </c>
      <c r="BL112" s="1271"/>
      <c r="BM112" s="1271"/>
      <c r="BN112" s="1271"/>
      <c r="BO112" s="1271"/>
      <c r="BP112" s="1293"/>
      <c r="BQ112" s="1293"/>
    </row>
    <row r="113" spans="1:69" ht="14.25" x14ac:dyDescent="0.15">
      <c r="A113" s="1317"/>
      <c r="B113" s="1339"/>
      <c r="C113" s="1307" t="s">
        <v>722</v>
      </c>
      <c r="D113" s="1349">
        <v>255</v>
      </c>
      <c r="E113" s="1307"/>
      <c r="F113" s="1324"/>
      <c r="G113" s="1312"/>
      <c r="H113" s="1312"/>
      <c r="I113" s="1312"/>
      <c r="J113" s="1312"/>
      <c r="K113" s="1312"/>
      <c r="L113" s="1312"/>
      <c r="M113" s="1271"/>
      <c r="N113" s="1271"/>
      <c r="O113" s="1271"/>
      <c r="P113" s="1271"/>
      <c r="Q113" s="1293"/>
      <c r="R113" s="1293"/>
      <c r="T113" s="1317"/>
      <c r="U113" s="1339"/>
      <c r="V113" s="1307" t="s">
        <v>722</v>
      </c>
      <c r="W113" s="1349">
        <v>255</v>
      </c>
      <c r="X113" s="1307"/>
      <c r="Y113" s="1324"/>
      <c r="Z113" s="1271"/>
      <c r="AA113" s="1271"/>
      <c r="AB113" s="1271"/>
      <c r="AC113" s="1271"/>
      <c r="AD113" s="1293"/>
      <c r="AE113" s="1293"/>
      <c r="AF113" s="1317"/>
      <c r="AG113" s="1339"/>
      <c r="AH113" s="1307" t="s">
        <v>722</v>
      </c>
      <c r="AI113" s="1349">
        <v>255</v>
      </c>
      <c r="AJ113" s="1307"/>
      <c r="AK113" s="1324"/>
      <c r="AL113" s="1271"/>
      <c r="AM113" s="1271"/>
      <c r="AN113" s="1271"/>
      <c r="AO113" s="1271"/>
      <c r="AP113" s="1293"/>
      <c r="AQ113" s="1293"/>
      <c r="AS113" s="1317"/>
      <c r="AT113" s="1339"/>
      <c r="AU113" s="1307" t="s">
        <v>722</v>
      </c>
      <c r="AV113" s="1349">
        <v>255</v>
      </c>
      <c r="AW113" s="1307"/>
      <c r="AX113" s="1324"/>
      <c r="AY113" s="1271"/>
      <c r="AZ113" s="1271"/>
      <c r="BA113" s="1271"/>
      <c r="BB113" s="1271"/>
      <c r="BC113" s="1293"/>
      <c r="BD113" s="1293"/>
      <c r="BF113" s="1317"/>
      <c r="BG113" s="1339"/>
      <c r="BH113" s="1307" t="s">
        <v>722</v>
      </c>
      <c r="BI113" s="1349">
        <v>255</v>
      </c>
      <c r="BJ113" s="1307"/>
      <c r="BK113" s="1324"/>
      <c r="BL113" s="1271"/>
      <c r="BM113" s="1271"/>
      <c r="BN113" s="1271"/>
      <c r="BO113" s="1271"/>
      <c r="BP113" s="1293"/>
      <c r="BQ113" s="1293"/>
    </row>
    <row r="114" spans="1:69" ht="14.25" x14ac:dyDescent="0.15">
      <c r="A114" s="1319"/>
      <c r="B114" s="1310"/>
      <c r="C114" s="1345"/>
      <c r="D114" s="1311"/>
      <c r="E114" s="1310"/>
      <c r="F114" s="1312"/>
      <c r="G114" s="1312"/>
      <c r="H114" s="1312"/>
      <c r="I114" s="1312"/>
      <c r="J114" s="1312"/>
      <c r="K114" s="1312"/>
      <c r="L114" s="1312"/>
      <c r="M114" s="1271"/>
      <c r="N114" s="1271"/>
      <c r="O114" s="1271"/>
      <c r="P114" s="1271"/>
      <c r="Q114" s="1293"/>
      <c r="R114" s="1293"/>
      <c r="T114" s="1319"/>
      <c r="U114" s="1310"/>
      <c r="V114" s="1345"/>
      <c r="W114" s="1311"/>
      <c r="X114" s="1310"/>
      <c r="Y114" s="1312"/>
      <c r="Z114" s="1271"/>
      <c r="AA114" s="1271"/>
      <c r="AB114" s="1271"/>
      <c r="AC114" s="1271"/>
      <c r="AD114" s="1293"/>
      <c r="AE114" s="1293"/>
      <c r="AF114" s="1319"/>
      <c r="AG114" s="1310"/>
      <c r="AH114" s="1345"/>
      <c r="AI114" s="1311"/>
      <c r="AJ114" s="1310"/>
      <c r="AK114" s="1312"/>
      <c r="AL114" s="1271"/>
      <c r="AM114" s="1271"/>
      <c r="AN114" s="1271"/>
      <c r="AO114" s="1271"/>
      <c r="AP114" s="1293"/>
      <c r="AQ114" s="1293"/>
      <c r="AS114" s="1319"/>
      <c r="AT114" s="1310"/>
      <c r="AU114" s="1345"/>
      <c r="AV114" s="1311"/>
      <c r="AW114" s="1310"/>
      <c r="AX114" s="1312"/>
      <c r="AY114" s="1271"/>
      <c r="AZ114" s="1271"/>
      <c r="BA114" s="1271"/>
      <c r="BB114" s="1271"/>
      <c r="BC114" s="1293"/>
      <c r="BD114" s="1293"/>
      <c r="BF114" s="1319"/>
      <c r="BG114" s="1310"/>
      <c r="BH114" s="1345"/>
      <c r="BI114" s="1311"/>
      <c r="BJ114" s="1310"/>
      <c r="BK114" s="1312"/>
      <c r="BL114" s="1271"/>
      <c r="BM114" s="1271"/>
      <c r="BN114" s="1271"/>
      <c r="BO114" s="1271"/>
      <c r="BP114" s="1293"/>
      <c r="BQ114" s="1293"/>
    </row>
    <row r="115" spans="1:69" ht="14.25" x14ac:dyDescent="0.15">
      <c r="A115" s="1317" t="s">
        <v>11</v>
      </c>
      <c r="B115" s="1339" t="s">
        <v>652</v>
      </c>
      <c r="C115" s="1307" t="s">
        <v>720</v>
      </c>
      <c r="D115" s="1349">
        <v>110</v>
      </c>
      <c r="E115" s="1307" t="s">
        <v>653</v>
      </c>
      <c r="F115" s="1308">
        <v>575</v>
      </c>
      <c r="G115" s="1311"/>
      <c r="H115" s="1311"/>
      <c r="I115" s="1311"/>
      <c r="J115" s="1311"/>
      <c r="K115" s="1311"/>
      <c r="L115" s="1311"/>
      <c r="M115" s="1271"/>
      <c r="N115" s="1262"/>
      <c r="O115" s="1262"/>
      <c r="P115" s="1272"/>
      <c r="Q115" s="1303"/>
      <c r="R115" s="1280"/>
      <c r="T115" s="1317" t="s">
        <v>11</v>
      </c>
      <c r="U115" s="1339" t="s">
        <v>652</v>
      </c>
      <c r="V115" s="1307" t="s">
        <v>720</v>
      </c>
      <c r="W115" s="1349">
        <v>110</v>
      </c>
      <c r="X115" s="1307" t="s">
        <v>653</v>
      </c>
      <c r="Y115" s="1308">
        <v>575</v>
      </c>
      <c r="Z115" s="1271"/>
      <c r="AA115" s="1262"/>
      <c r="AB115" s="1262"/>
      <c r="AC115" s="1272"/>
      <c r="AD115" s="1303"/>
      <c r="AE115" s="1280"/>
      <c r="AF115" s="1317" t="s">
        <v>11</v>
      </c>
      <c r="AG115" s="1339" t="s">
        <v>652</v>
      </c>
      <c r="AH115" s="1307" t="s">
        <v>720</v>
      </c>
      <c r="AI115" s="1349">
        <v>110</v>
      </c>
      <c r="AJ115" s="1307" t="s">
        <v>653</v>
      </c>
      <c r="AK115" s="1308">
        <v>575</v>
      </c>
      <c r="AL115" s="1271"/>
      <c r="AM115" s="1262"/>
      <c r="AN115" s="1262"/>
      <c r="AO115" s="1272"/>
      <c r="AP115" s="1303"/>
      <c r="AQ115" s="1280"/>
      <c r="AS115" s="1317" t="s">
        <v>11</v>
      </c>
      <c r="AT115" s="1339" t="s">
        <v>652</v>
      </c>
      <c r="AU115" s="1307" t="s">
        <v>720</v>
      </c>
      <c r="AV115" s="1349">
        <v>110</v>
      </c>
      <c r="AW115" s="1307" t="s">
        <v>653</v>
      </c>
      <c r="AX115" s="1308">
        <v>575</v>
      </c>
      <c r="AY115" s="1271"/>
      <c r="AZ115" s="1262"/>
      <c r="BA115" s="1262"/>
      <c r="BB115" s="1272"/>
      <c r="BC115" s="1303"/>
      <c r="BD115" s="1280"/>
      <c r="BF115" s="1317" t="s">
        <v>11</v>
      </c>
      <c r="BG115" s="1339" t="s">
        <v>652</v>
      </c>
      <c r="BH115" s="1307" t="s">
        <v>720</v>
      </c>
      <c r="BI115" s="1349">
        <v>110</v>
      </c>
      <c r="BJ115" s="1307" t="s">
        <v>653</v>
      </c>
      <c r="BK115" s="1308">
        <v>575</v>
      </c>
      <c r="BL115" s="1271"/>
      <c r="BM115" s="1262"/>
      <c r="BN115" s="1262"/>
      <c r="BO115" s="1272"/>
      <c r="BP115" s="1303"/>
      <c r="BQ115" s="1280"/>
    </row>
    <row r="116" spans="1:69" ht="14.25" x14ac:dyDescent="0.15">
      <c r="A116" s="1317"/>
      <c r="B116" s="1339" t="s">
        <v>686</v>
      </c>
      <c r="C116" s="1307" t="s">
        <v>719</v>
      </c>
      <c r="D116" s="1349">
        <v>145</v>
      </c>
      <c r="E116" s="1307" t="s">
        <v>654</v>
      </c>
      <c r="F116" s="1308">
        <v>670</v>
      </c>
      <c r="G116" s="1311"/>
      <c r="H116" s="1311"/>
      <c r="I116" s="1311"/>
      <c r="J116" s="1311"/>
      <c r="K116" s="1311"/>
      <c r="L116" s="1311"/>
      <c r="M116" s="1271"/>
      <c r="N116" s="1262"/>
      <c r="O116" s="1262"/>
      <c r="P116" s="1272"/>
      <c r="Q116" s="1303"/>
      <c r="R116" s="1280"/>
      <c r="T116" s="1317"/>
      <c r="U116" s="1339" t="s">
        <v>686</v>
      </c>
      <c r="V116" s="1307" t="s">
        <v>719</v>
      </c>
      <c r="W116" s="1349">
        <v>145</v>
      </c>
      <c r="X116" s="1307" t="s">
        <v>654</v>
      </c>
      <c r="Y116" s="1308">
        <v>670</v>
      </c>
      <c r="Z116" s="1271"/>
      <c r="AA116" s="1262"/>
      <c r="AB116" s="1262"/>
      <c r="AC116" s="1272"/>
      <c r="AD116" s="1303"/>
      <c r="AE116" s="1280"/>
      <c r="AF116" s="1317"/>
      <c r="AG116" s="1339" t="s">
        <v>686</v>
      </c>
      <c r="AH116" s="1307" t="s">
        <v>719</v>
      </c>
      <c r="AI116" s="1349">
        <v>145</v>
      </c>
      <c r="AJ116" s="1307" t="s">
        <v>654</v>
      </c>
      <c r="AK116" s="1308">
        <v>670</v>
      </c>
      <c r="AL116" s="1271"/>
      <c r="AM116" s="1262"/>
      <c r="AN116" s="1262"/>
      <c r="AO116" s="1272"/>
      <c r="AP116" s="1303"/>
      <c r="AQ116" s="1280"/>
      <c r="AS116" s="1317"/>
      <c r="AT116" s="1339" t="s">
        <v>686</v>
      </c>
      <c r="AU116" s="1307" t="s">
        <v>719</v>
      </c>
      <c r="AV116" s="1349">
        <v>145</v>
      </c>
      <c r="AW116" s="1307" t="s">
        <v>654</v>
      </c>
      <c r="AX116" s="1308">
        <v>670</v>
      </c>
      <c r="AY116" s="1271"/>
      <c r="AZ116" s="1262"/>
      <c r="BA116" s="1262"/>
      <c r="BB116" s="1272"/>
      <c r="BC116" s="1303"/>
      <c r="BD116" s="1280"/>
      <c r="BF116" s="1317"/>
      <c r="BG116" s="1339" t="s">
        <v>686</v>
      </c>
      <c r="BH116" s="1307" t="s">
        <v>719</v>
      </c>
      <c r="BI116" s="1349">
        <v>145</v>
      </c>
      <c r="BJ116" s="1307" t="s">
        <v>654</v>
      </c>
      <c r="BK116" s="1308">
        <v>670</v>
      </c>
      <c r="BL116" s="1271"/>
      <c r="BM116" s="1262"/>
      <c r="BN116" s="1262"/>
      <c r="BO116" s="1272"/>
      <c r="BP116" s="1303"/>
      <c r="BQ116" s="1280"/>
    </row>
    <row r="117" spans="1:69" ht="14.25" x14ac:dyDescent="0.15">
      <c r="A117" s="1317"/>
      <c r="B117" s="1339" t="s">
        <v>687</v>
      </c>
      <c r="C117" s="1307" t="s">
        <v>721</v>
      </c>
      <c r="D117" s="1349">
        <v>230</v>
      </c>
      <c r="E117" s="1307" t="s">
        <v>575</v>
      </c>
      <c r="F117" s="1308">
        <v>700</v>
      </c>
      <c r="G117" s="1311"/>
      <c r="H117" s="1311"/>
      <c r="I117" s="1311"/>
      <c r="J117" s="1311"/>
      <c r="K117" s="1311"/>
      <c r="L117" s="1311"/>
      <c r="M117" s="1271"/>
      <c r="N117" s="1262"/>
      <c r="O117" s="1262"/>
      <c r="P117" s="1272"/>
      <c r="Q117" s="1303"/>
      <c r="R117" s="1280"/>
      <c r="T117" s="1317"/>
      <c r="U117" s="1339" t="s">
        <v>687</v>
      </c>
      <c r="V117" s="1307" t="s">
        <v>721</v>
      </c>
      <c r="W117" s="1349">
        <v>230</v>
      </c>
      <c r="X117" s="1307" t="s">
        <v>575</v>
      </c>
      <c r="Y117" s="1308">
        <v>700</v>
      </c>
      <c r="Z117" s="1271"/>
      <c r="AA117" s="1262"/>
      <c r="AB117" s="1262"/>
      <c r="AC117" s="1272"/>
      <c r="AD117" s="1303"/>
      <c r="AE117" s="1280"/>
      <c r="AF117" s="1317"/>
      <c r="AG117" s="1339" t="s">
        <v>687</v>
      </c>
      <c r="AH117" s="1307" t="s">
        <v>721</v>
      </c>
      <c r="AI117" s="1349">
        <v>230</v>
      </c>
      <c r="AJ117" s="1307" t="s">
        <v>575</v>
      </c>
      <c r="AK117" s="1308">
        <v>700</v>
      </c>
      <c r="AL117" s="1271"/>
      <c r="AM117" s="1262"/>
      <c r="AN117" s="1262"/>
      <c r="AO117" s="1272"/>
      <c r="AP117" s="1303"/>
      <c r="AQ117" s="1280"/>
      <c r="AS117" s="1317"/>
      <c r="AT117" s="1339" t="s">
        <v>687</v>
      </c>
      <c r="AU117" s="1307" t="s">
        <v>721</v>
      </c>
      <c r="AV117" s="1349">
        <v>230</v>
      </c>
      <c r="AW117" s="1307" t="s">
        <v>575</v>
      </c>
      <c r="AX117" s="1308">
        <v>700</v>
      </c>
      <c r="AY117" s="1271"/>
      <c r="AZ117" s="1262"/>
      <c r="BA117" s="1262"/>
      <c r="BB117" s="1272"/>
      <c r="BC117" s="1303"/>
      <c r="BD117" s="1280"/>
      <c r="BF117" s="1317"/>
      <c r="BG117" s="1339" t="s">
        <v>687</v>
      </c>
      <c r="BH117" s="1307" t="s">
        <v>721</v>
      </c>
      <c r="BI117" s="1349">
        <v>230</v>
      </c>
      <c r="BJ117" s="1307" t="s">
        <v>575</v>
      </c>
      <c r="BK117" s="1308">
        <v>700</v>
      </c>
      <c r="BL117" s="1271"/>
      <c r="BM117" s="1262"/>
      <c r="BN117" s="1262"/>
      <c r="BO117" s="1272"/>
      <c r="BP117" s="1303"/>
      <c r="BQ117" s="1280"/>
    </row>
    <row r="118" spans="1:69" ht="15" thickBot="1" x14ac:dyDescent="0.2">
      <c r="A118" s="1321"/>
      <c r="B118" s="1347"/>
      <c r="C118" s="1322" t="s">
        <v>722</v>
      </c>
      <c r="D118" s="1350">
        <v>245</v>
      </c>
      <c r="E118" s="1322"/>
      <c r="F118" s="1326"/>
      <c r="G118" s="1358"/>
      <c r="H118" s="1358"/>
      <c r="I118" s="1358"/>
      <c r="J118" s="1358"/>
      <c r="K118" s="1358"/>
      <c r="L118" s="1358"/>
      <c r="M118" s="1294"/>
      <c r="N118" s="1296"/>
      <c r="O118" s="1296"/>
      <c r="P118" s="1297"/>
      <c r="Q118" s="1355"/>
      <c r="R118" s="1298"/>
      <c r="T118" s="1321"/>
      <c r="U118" s="1347"/>
      <c r="V118" s="1322" t="s">
        <v>722</v>
      </c>
      <c r="W118" s="1350">
        <v>245</v>
      </c>
      <c r="X118" s="1322"/>
      <c r="Y118" s="1326"/>
      <c r="Z118" s="1294"/>
      <c r="AA118" s="1296"/>
      <c r="AB118" s="1296"/>
      <c r="AC118" s="1297"/>
      <c r="AD118" s="1355"/>
      <c r="AE118" s="1298"/>
      <c r="AF118" s="1321"/>
      <c r="AG118" s="1347"/>
      <c r="AH118" s="1322" t="s">
        <v>722</v>
      </c>
      <c r="AI118" s="1350">
        <v>245</v>
      </c>
      <c r="AJ118" s="1322"/>
      <c r="AK118" s="1326"/>
      <c r="AL118" s="1294"/>
      <c r="AM118" s="1296"/>
      <c r="AN118" s="1296"/>
      <c r="AO118" s="1297"/>
      <c r="AP118" s="1355"/>
      <c r="AQ118" s="1298"/>
      <c r="AS118" s="1321"/>
      <c r="AT118" s="1347"/>
      <c r="AU118" s="1322" t="s">
        <v>722</v>
      </c>
      <c r="AV118" s="1350">
        <v>245</v>
      </c>
      <c r="AW118" s="1322"/>
      <c r="AX118" s="1326"/>
      <c r="AY118" s="1294"/>
      <c r="AZ118" s="1296"/>
      <c r="BA118" s="1296"/>
      <c r="BB118" s="1297"/>
      <c r="BC118" s="1355"/>
      <c r="BD118" s="1298"/>
      <c r="BF118" s="1321"/>
      <c r="BG118" s="1347"/>
      <c r="BH118" s="1322" t="s">
        <v>722</v>
      </c>
      <c r="BI118" s="1350">
        <v>245</v>
      </c>
      <c r="BJ118" s="1322"/>
      <c r="BK118" s="1326"/>
      <c r="BL118" s="1294"/>
      <c r="BM118" s="1296"/>
      <c r="BN118" s="1296"/>
      <c r="BO118" s="1297"/>
      <c r="BP118" s="1355"/>
      <c r="BQ118" s="1298"/>
    </row>
    <row r="119" spans="1:69" x14ac:dyDescent="0.1">
      <c r="A119" s="1270"/>
      <c r="M119" s="1270"/>
      <c r="T119" s="1270"/>
      <c r="Z119" s="1270"/>
      <c r="AF119" s="1270"/>
      <c r="AL119" s="1270"/>
      <c r="AS119" s="1270"/>
      <c r="AY119" s="1270"/>
      <c r="BF119" s="1270"/>
      <c r="BL119" s="1270"/>
    </row>
    <row r="120" spans="1:69" x14ac:dyDescent="0.1">
      <c r="A120" s="1270"/>
      <c r="M120" s="1270"/>
      <c r="T120" s="1270"/>
      <c r="Z120" s="1270"/>
      <c r="AF120" s="1270"/>
      <c r="AL120" s="1270"/>
      <c r="AS120" s="1270"/>
      <c r="AY120" s="1270"/>
      <c r="BF120" s="1270"/>
      <c r="BL120" s="1270"/>
    </row>
    <row r="121" spans="1:69" x14ac:dyDescent="0.1">
      <c r="A121" s="1270"/>
      <c r="M121" s="1270"/>
      <c r="T121" s="1270"/>
      <c r="Z121" s="1270"/>
      <c r="AF121" s="1270"/>
      <c r="AL121" s="1270"/>
      <c r="AS121" s="1270"/>
      <c r="AY121" s="1270"/>
      <c r="BF121" s="1270"/>
      <c r="BL121" s="1270"/>
    </row>
    <row r="122" spans="1:69" x14ac:dyDescent="0.1">
      <c r="A122" s="1270"/>
      <c r="M122" s="1270"/>
      <c r="T122" s="1270"/>
      <c r="Z122" s="1270"/>
      <c r="AF122" s="1270"/>
      <c r="AL122" s="1270"/>
      <c r="AS122" s="1270"/>
      <c r="AY122" s="1270"/>
      <c r="BF122" s="1270"/>
      <c r="BL122" s="1270"/>
    </row>
  </sheetData>
  <mergeCells count="17">
    <mergeCell ref="I63:L63"/>
    <mergeCell ref="AF5:AK5"/>
    <mergeCell ref="AL5:AQ5"/>
    <mergeCell ref="AS5:AX5"/>
    <mergeCell ref="AY5:BD5"/>
    <mergeCell ref="BF5:BK5"/>
    <mergeCell ref="BL5:BQ5"/>
    <mergeCell ref="A4:R4"/>
    <mergeCell ref="T4:AE4"/>
    <mergeCell ref="AF4:AQ4"/>
    <mergeCell ref="AS4:BD4"/>
    <mergeCell ref="BF4:BQ4"/>
    <mergeCell ref="A5:F5"/>
    <mergeCell ref="G5:L5"/>
    <mergeCell ref="M5:R5"/>
    <mergeCell ref="T5:Y5"/>
    <mergeCell ref="Z5:AE5"/>
  </mergeCells>
  <printOptions horizontalCentered="1" verticalCentered="1"/>
  <pageMargins left="0.12" right="7.0000000000000007E-2" top="0.08" bottom="0.18" header="0.1" footer="0.21"/>
  <pageSetup paperSize="9" scale="65" orientation="landscape" r:id="rId1"/>
  <rowBreaks count="1" manualBreakCount="1">
    <brk id="102" max="16383" man="1"/>
  </rowBreaks>
  <colBreaks count="5" manualBreakCount="5">
    <brk id="19" max="1048575" man="1"/>
    <brk id="31" max="1048575" man="1"/>
    <brk id="44" max="1048575" man="1"/>
    <brk id="57" max="1048575" man="1"/>
    <brk id="70" max="1048575" man="1"/>
  </col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940"/>
  <sheetViews>
    <sheetView zoomScale="75" zoomScaleNormal="75" workbookViewId="0"/>
  </sheetViews>
  <sheetFormatPr defaultColWidth="9.16796875" defaultRowHeight="14.25" x14ac:dyDescent="0.15"/>
  <cols>
    <col min="1" max="1" width="12.5390625" style="1157" customWidth="1"/>
    <col min="2" max="2" width="7.68359375" style="1158" customWidth="1"/>
    <col min="3" max="3" width="13.75390625" style="1157" customWidth="1"/>
    <col min="4" max="4" width="45.71484375" style="1157" customWidth="1"/>
    <col min="5" max="15" width="13.75390625" style="1157" customWidth="1"/>
    <col min="16" max="17" width="9.16796875" style="1157"/>
    <col min="18" max="18" width="9.84375" style="1157" bestFit="1" customWidth="1"/>
    <col min="19" max="19" width="11.73046875" style="1157" bestFit="1" customWidth="1"/>
    <col min="20" max="22" width="9.16796875" style="1157"/>
    <col min="23" max="23" width="11.73046875" style="1157" bestFit="1" customWidth="1"/>
    <col min="24" max="24" width="9.16796875" style="1157"/>
    <col min="25" max="25" width="11.73046875" style="1157" bestFit="1" customWidth="1"/>
    <col min="26" max="16384" width="9.16796875" style="1157"/>
  </cols>
  <sheetData>
    <row r="1" spans="1:18" x14ac:dyDescent="0.15">
      <c r="B1" s="1172" t="s">
        <v>609</v>
      </c>
      <c r="D1" s="1173" t="s">
        <v>608</v>
      </c>
    </row>
    <row r="2" spans="1:18" x14ac:dyDescent="0.15">
      <c r="B2" s="1187" t="s">
        <v>472</v>
      </c>
      <c r="C2" s="1187" t="s">
        <v>474</v>
      </c>
      <c r="D2" s="1188" t="s">
        <v>3</v>
      </c>
      <c r="E2" s="1187" t="s">
        <v>49</v>
      </c>
      <c r="F2" s="1187" t="s">
        <v>469</v>
      </c>
      <c r="G2" s="1187" t="s">
        <v>467</v>
      </c>
      <c r="H2" s="1188" t="s">
        <v>475</v>
      </c>
      <c r="I2" s="1188" t="s">
        <v>475</v>
      </c>
      <c r="J2" s="1225" t="s">
        <v>477</v>
      </c>
      <c r="K2" s="1225" t="s">
        <v>480</v>
      </c>
      <c r="L2" s="1189" t="s">
        <v>610</v>
      </c>
      <c r="M2" s="1189" t="s">
        <v>611</v>
      </c>
      <c r="N2" s="1189" t="s">
        <v>488</v>
      </c>
      <c r="O2" s="1189" t="s">
        <v>489</v>
      </c>
    </row>
    <row r="3" spans="1:18" x14ac:dyDescent="0.15">
      <c r="B3" s="1190" t="s">
        <v>473</v>
      </c>
      <c r="C3" s="1190" t="s">
        <v>31</v>
      </c>
      <c r="D3" s="1191"/>
      <c r="E3" s="1190" t="s">
        <v>33</v>
      </c>
      <c r="F3" s="1190" t="s">
        <v>33</v>
      </c>
      <c r="G3" s="1190" t="s">
        <v>468</v>
      </c>
      <c r="H3" s="1191" t="s">
        <v>487</v>
      </c>
      <c r="I3" s="1191" t="s">
        <v>476</v>
      </c>
      <c r="J3" s="1226" t="s">
        <v>479</v>
      </c>
      <c r="K3" s="1226" t="s">
        <v>478</v>
      </c>
      <c r="L3" s="1190" t="s">
        <v>481</v>
      </c>
      <c r="M3" s="1190" t="s">
        <v>481</v>
      </c>
      <c r="N3" s="1190" t="s">
        <v>481</v>
      </c>
      <c r="O3" s="1190" t="s">
        <v>478</v>
      </c>
    </row>
    <row r="4" spans="1:18" ht="16.5" x14ac:dyDescent="0.2">
      <c r="A4" s="1197" t="s">
        <v>18</v>
      </c>
      <c r="B4" s="1159"/>
      <c r="C4" s="1160" t="s">
        <v>38</v>
      </c>
      <c r="D4" s="1160" t="s">
        <v>482</v>
      </c>
      <c r="E4" s="1168">
        <f>Sales_FY24!$P$10</f>
        <v>775057</v>
      </c>
      <c r="F4" s="1168">
        <f>Sales_FY24!$V$10</f>
        <v>775057</v>
      </c>
      <c r="G4" s="1160">
        <f>ROUND(E4*0.1,0)</f>
        <v>77506</v>
      </c>
      <c r="H4" s="1167"/>
      <c r="I4" s="1167">
        <f>Sales_FY24!$Q$10</f>
        <v>178.06</v>
      </c>
      <c r="J4" s="1167" t="e">
        <f>+#REF!</f>
        <v>#REF!</v>
      </c>
      <c r="K4" s="1167" t="e">
        <f>+#REF!</f>
        <v>#REF!</v>
      </c>
      <c r="L4" s="1167"/>
      <c r="M4" s="1167" t="e">
        <f>ROUND(I4*1000000*K4/10000000,2)</f>
        <v>#REF!</v>
      </c>
      <c r="N4" s="1175" t="e">
        <f>+L4+M4</f>
        <v>#REF!</v>
      </c>
      <c r="O4" s="1171" t="e">
        <f>ROUND(N4/I4*10,2)</f>
        <v>#REF!</v>
      </c>
    </row>
    <row r="5" spans="1:18" ht="16.5" x14ac:dyDescent="0.2">
      <c r="A5" s="1197" t="s">
        <v>18</v>
      </c>
      <c r="B5" s="1159"/>
      <c r="C5" s="1160" t="s">
        <v>38</v>
      </c>
      <c r="D5" s="1161" t="s">
        <v>483</v>
      </c>
      <c r="E5" s="1168">
        <f>Sales_FY24!$P$11</f>
        <v>68304</v>
      </c>
      <c r="F5" s="1168">
        <f>Sales_FY24!$V$11</f>
        <v>68304</v>
      </c>
      <c r="G5" s="1160">
        <f>ROUND(E5*0.1,0)</f>
        <v>6830</v>
      </c>
      <c r="H5" s="1162" t="s">
        <v>426</v>
      </c>
      <c r="I5" s="1167">
        <f>ROUND(F5*50*12/1000000,2)</f>
        <v>40.98</v>
      </c>
      <c r="J5" s="1167">
        <v>100</v>
      </c>
      <c r="K5" s="1167">
        <f>+K16</f>
        <v>4.1500000000000004</v>
      </c>
      <c r="L5" s="1167">
        <f>ROUND((F5*J5*12)/10000000,2)</f>
        <v>8.1999999999999993</v>
      </c>
      <c r="M5" s="1167">
        <f>ROUND(I5*1000000*K5/10000000,2)</f>
        <v>17.010000000000002</v>
      </c>
      <c r="N5" s="1167"/>
      <c r="O5" s="1167"/>
    </row>
    <row r="6" spans="1:18" ht="16.5" x14ac:dyDescent="0.2">
      <c r="A6" s="1197" t="s">
        <v>18</v>
      </c>
      <c r="B6" s="1159"/>
      <c r="C6" s="1160"/>
      <c r="D6" s="1161"/>
      <c r="E6" s="1160"/>
      <c r="F6" s="1160"/>
      <c r="G6" s="1160"/>
      <c r="H6" s="1162" t="s">
        <v>432</v>
      </c>
      <c r="I6" s="1167">
        <f>I7-I5</f>
        <v>24.830000000000005</v>
      </c>
      <c r="J6" s="1167"/>
      <c r="K6" s="1167">
        <f>+K17</f>
        <v>5.6</v>
      </c>
      <c r="L6" s="1167"/>
      <c r="M6" s="1167">
        <f>ROUND(I6*1000000*K6/10000000,2)</f>
        <v>13.9</v>
      </c>
      <c r="N6" s="1167"/>
      <c r="O6" s="1167"/>
    </row>
    <row r="7" spans="1:18" ht="16.5" x14ac:dyDescent="0.2">
      <c r="A7" s="1197" t="s">
        <v>18</v>
      </c>
      <c r="B7" s="1172"/>
      <c r="C7" s="1173"/>
      <c r="D7" s="1174" t="s">
        <v>486</v>
      </c>
      <c r="E7" s="1173">
        <f>SUM(E5:E6)</f>
        <v>68304</v>
      </c>
      <c r="F7" s="1173">
        <f>SUM(F5:F6)</f>
        <v>68304</v>
      </c>
      <c r="G7" s="1173">
        <f>SUM(G5:G6)</f>
        <v>6830</v>
      </c>
      <c r="H7" s="1173"/>
      <c r="I7" s="1175">
        <f>Sales_FY24!$Q$11</f>
        <v>65.81</v>
      </c>
      <c r="J7" s="1175"/>
      <c r="K7" s="1175"/>
      <c r="L7" s="1175">
        <f>SUM(L5:L6)</f>
        <v>8.1999999999999993</v>
      </c>
      <c r="M7" s="1175">
        <f>SUM(M5:M6)</f>
        <v>30.910000000000004</v>
      </c>
      <c r="N7" s="1175">
        <f>+L7+M7</f>
        <v>39.11</v>
      </c>
      <c r="O7" s="1171">
        <f>ROUND(N7/I7*10,2)</f>
        <v>5.94</v>
      </c>
    </row>
    <row r="8" spans="1:18" ht="16.5" x14ac:dyDescent="0.2">
      <c r="A8" s="1197" t="s">
        <v>18</v>
      </c>
      <c r="B8" s="1164">
        <v>1</v>
      </c>
      <c r="C8" s="1165" t="s">
        <v>484</v>
      </c>
      <c r="D8" s="1165"/>
      <c r="E8" s="1169">
        <f>+E4+E7</f>
        <v>843361</v>
      </c>
      <c r="F8" s="1169">
        <f>+F4+F7</f>
        <v>843361</v>
      </c>
      <c r="G8" s="1169">
        <f>+G4+G7</f>
        <v>84336</v>
      </c>
      <c r="H8" s="1165"/>
      <c r="I8" s="1170">
        <f>+I4+I7</f>
        <v>243.87</v>
      </c>
      <c r="J8" s="1170"/>
      <c r="K8" s="1170"/>
      <c r="L8" s="1170">
        <f>+L4+L7</f>
        <v>8.1999999999999993</v>
      </c>
      <c r="M8" s="1170" t="e">
        <f>+M4+M7</f>
        <v>#REF!</v>
      </c>
      <c r="N8" s="1170" t="e">
        <f>L8+M8</f>
        <v>#REF!</v>
      </c>
      <c r="O8" s="1170"/>
      <c r="R8" s="1224" t="e">
        <f>+N8-#REF!</f>
        <v>#REF!</v>
      </c>
    </row>
    <row r="9" spans="1:18" ht="16.5" x14ac:dyDescent="0.2">
      <c r="A9" s="1197" t="s">
        <v>18</v>
      </c>
      <c r="B9" s="1163"/>
      <c r="C9" s="1163"/>
      <c r="D9" s="1163"/>
      <c r="E9" s="1163"/>
      <c r="F9" s="1163"/>
      <c r="G9" s="1163"/>
      <c r="H9" s="1163"/>
      <c r="I9" s="1176"/>
      <c r="J9" s="1176"/>
      <c r="K9" s="1176"/>
      <c r="L9" s="1176"/>
      <c r="M9" s="1176"/>
      <c r="N9" s="1176"/>
      <c r="O9" s="1176"/>
    </row>
    <row r="10" spans="1:18" ht="16.5" x14ac:dyDescent="0.2">
      <c r="A10" s="1197" t="s">
        <v>18</v>
      </c>
      <c r="B10" s="1159"/>
      <c r="C10" s="1160" t="s">
        <v>485</v>
      </c>
      <c r="D10" s="1160" t="s">
        <v>43</v>
      </c>
      <c r="E10" s="1160">
        <f>ROUND(E14*50.82%,0)</f>
        <v>3757199</v>
      </c>
      <c r="F10" s="1160">
        <f>ROUND(F14*50.82%,0)</f>
        <v>3683992</v>
      </c>
      <c r="G10" s="1160">
        <f>ROUND(F10*0.75,0)</f>
        <v>2762994</v>
      </c>
      <c r="H10" s="1162" t="s">
        <v>426</v>
      </c>
      <c r="I10" s="1167">
        <f>ROUND(I14*19%,2)</f>
        <v>1352.43</v>
      </c>
      <c r="J10" s="1167" t="e">
        <f>+#REF!</f>
        <v>#REF!</v>
      </c>
      <c r="K10" s="1167" t="e">
        <f>+#REF!</f>
        <v>#REF!</v>
      </c>
      <c r="L10" s="1167" t="e">
        <f>ROUND((F10*J10*12)/10000000,2)</f>
        <v>#REF!</v>
      </c>
      <c r="M10" s="1167" t="e">
        <f>ROUND(I10*1000000*K10/10000000,2)</f>
        <v>#REF!</v>
      </c>
      <c r="N10" s="1167"/>
      <c r="O10" s="1171"/>
    </row>
    <row r="11" spans="1:18" ht="16.5" x14ac:dyDescent="0.2">
      <c r="A11" s="1197" t="s">
        <v>18</v>
      </c>
      <c r="B11" s="1159"/>
      <c r="C11" s="1160"/>
      <c r="D11" s="1160" t="s">
        <v>451</v>
      </c>
      <c r="E11" s="1160">
        <f>ROUND(E14*49.15416%,0)</f>
        <v>3634041</v>
      </c>
      <c r="F11" s="1160">
        <f>ROUND(F14*49.15416%,0)</f>
        <v>3563233</v>
      </c>
      <c r="G11" s="1160">
        <f>ROUND(F11*3,0)</f>
        <v>10689699</v>
      </c>
      <c r="H11" s="1162" t="s">
        <v>432</v>
      </c>
      <c r="I11" s="1167">
        <f>ROUND(I14*25.01%,2)</f>
        <v>1780.23</v>
      </c>
      <c r="J11" s="1167" t="e">
        <f>+#REF!</f>
        <v>#REF!</v>
      </c>
      <c r="K11" s="1167" t="e">
        <f>+#REF!</f>
        <v>#REF!</v>
      </c>
      <c r="L11" s="1167" t="e">
        <f>ROUND(((F11*J10*12)+((G11-F11)*J11*12))/10000000,2)</f>
        <v>#REF!</v>
      </c>
      <c r="M11" s="1167" t="e">
        <f>ROUND(I11*1000000*K11/10000000,2)</f>
        <v>#REF!</v>
      </c>
      <c r="N11" s="1167"/>
      <c r="O11" s="1167"/>
    </row>
    <row r="12" spans="1:18" ht="16.5" x14ac:dyDescent="0.2">
      <c r="A12" s="1197" t="s">
        <v>18</v>
      </c>
      <c r="B12" s="1159"/>
      <c r="C12" s="1160"/>
      <c r="D12" s="1160" t="s">
        <v>444</v>
      </c>
      <c r="E12" s="1160">
        <f>+E14-E10-E11</f>
        <v>1911</v>
      </c>
      <c r="F12" s="1160">
        <f>+F14-F10-F11</f>
        <v>1873</v>
      </c>
      <c r="G12" s="1160">
        <f>ROUND(F12*65,0)</f>
        <v>121745</v>
      </c>
      <c r="H12" s="1162" t="s">
        <v>380</v>
      </c>
      <c r="I12" s="1167">
        <f>ROUND(I14*30.7%,2)</f>
        <v>2185.25</v>
      </c>
      <c r="J12" s="1167" t="e">
        <f>+#REF!</f>
        <v>#REF!</v>
      </c>
      <c r="K12" s="1167" t="e">
        <f>+#REF!</f>
        <v>#REF!</v>
      </c>
      <c r="L12" s="1167" t="e">
        <f>ROUND(((F12*J10*12)+(F12*49*12*J11)+((G12-(F12*50))*12*J12))/10000000,2)</f>
        <v>#REF!</v>
      </c>
      <c r="M12" s="1167" t="e">
        <f>ROUND(I12*1000000*K12/10000000,2)</f>
        <v>#REF!</v>
      </c>
      <c r="N12" s="1167"/>
      <c r="O12" s="1167"/>
    </row>
    <row r="13" spans="1:18" ht="16.5" x14ac:dyDescent="0.2">
      <c r="A13" s="1197" t="s">
        <v>18</v>
      </c>
      <c r="B13" s="1159"/>
      <c r="C13" s="1160"/>
      <c r="D13" s="1160"/>
      <c r="E13" s="1160"/>
      <c r="F13" s="1160"/>
      <c r="G13" s="1160"/>
      <c r="H13" s="1162" t="s">
        <v>411</v>
      </c>
      <c r="I13" s="1167">
        <f>+I14-I10-I11-I12</f>
        <v>1800.1599999999994</v>
      </c>
      <c r="J13" s="1167"/>
      <c r="K13" s="1167" t="e">
        <f>+#REF!</f>
        <v>#REF!</v>
      </c>
      <c r="L13" s="1167"/>
      <c r="M13" s="1167" t="e">
        <f>ROUND(I13*1000000*K13/10000000,2)</f>
        <v>#REF!</v>
      </c>
      <c r="N13" s="1167"/>
      <c r="O13" s="1167"/>
    </row>
    <row r="14" spans="1:18" ht="16.5" x14ac:dyDescent="0.2">
      <c r="A14" s="1197" t="s">
        <v>18</v>
      </c>
      <c r="B14" s="1164"/>
      <c r="C14" s="1165"/>
      <c r="D14" s="1166" t="s">
        <v>486</v>
      </c>
      <c r="E14" s="1165">
        <f>ROUND(E21*76.37%,0)</f>
        <v>7393151</v>
      </c>
      <c r="F14" s="1165">
        <f>ROUND(F21*76.37%,0)</f>
        <v>7249098</v>
      </c>
      <c r="G14" s="1165">
        <f>SUM(G10:G13)</f>
        <v>13574438</v>
      </c>
      <c r="H14" s="1165"/>
      <c r="I14" s="1170">
        <f>ROUND(I21*88.55%,2)</f>
        <v>7118.07</v>
      </c>
      <c r="J14" s="1170"/>
      <c r="K14" s="1170"/>
      <c r="L14" s="1170" t="e">
        <f>SUM(L10:L13)</f>
        <v>#REF!</v>
      </c>
      <c r="M14" s="1170" t="e">
        <f>SUM(M10:M13)</f>
        <v>#REF!</v>
      </c>
      <c r="N14" s="1170" t="e">
        <f>L14+M14</f>
        <v>#REF!</v>
      </c>
      <c r="O14" s="1177" t="e">
        <f>ROUND(N14/I14*10,2)</f>
        <v>#REF!</v>
      </c>
      <c r="R14" s="1224" t="e">
        <f>+N14-#REF!</f>
        <v>#REF!</v>
      </c>
    </row>
    <row r="15" spans="1:18" ht="16.5" x14ac:dyDescent="0.2">
      <c r="A15" s="1197" t="s">
        <v>18</v>
      </c>
      <c r="B15" s="1163"/>
      <c r="C15" s="1163"/>
      <c r="D15" s="1163"/>
      <c r="E15" s="1163"/>
      <c r="F15" s="1163"/>
      <c r="G15" s="1163"/>
      <c r="H15" s="1163"/>
      <c r="I15" s="1176"/>
      <c r="J15" s="1176"/>
      <c r="K15" s="1176"/>
      <c r="L15" s="1176"/>
      <c r="M15" s="1176"/>
      <c r="N15" s="1176"/>
      <c r="O15" s="1176"/>
    </row>
    <row r="16" spans="1:18" ht="16.5" x14ac:dyDescent="0.2">
      <c r="A16" s="1197" t="s">
        <v>18</v>
      </c>
      <c r="B16" s="1159"/>
      <c r="C16" s="1160" t="s">
        <v>555</v>
      </c>
      <c r="D16" s="1160" t="s">
        <v>43</v>
      </c>
      <c r="E16" s="1160">
        <f>ROUND(E20*91.37%,0)</f>
        <v>2090134</v>
      </c>
      <c r="F16" s="1160">
        <f>ROUND(F20*91.37%,0)</f>
        <v>2049408</v>
      </c>
      <c r="G16" s="1160">
        <f>ROUND(F16*0.6,0)</f>
        <v>1229645</v>
      </c>
      <c r="H16" s="1162" t="s">
        <v>426</v>
      </c>
      <c r="I16" s="1167">
        <f>ROUND(I20*27.603%,2)</f>
        <v>254.06</v>
      </c>
      <c r="J16" s="1167">
        <v>100</v>
      </c>
      <c r="K16" s="1167">
        <v>4.1500000000000004</v>
      </c>
      <c r="L16" s="1167">
        <f>ROUND((F16*J16*12)/10000000,2)</f>
        <v>245.93</v>
      </c>
      <c r="M16" s="1167">
        <f>ROUND(I16*1000000*K16/10000000,2)</f>
        <v>105.43</v>
      </c>
      <c r="N16" s="1167"/>
      <c r="O16" s="1167"/>
    </row>
    <row r="17" spans="1:18" ht="16.5" x14ac:dyDescent="0.2">
      <c r="A17" s="1197" t="s">
        <v>18</v>
      </c>
      <c r="B17" s="1159"/>
      <c r="C17" s="1160"/>
      <c r="D17" s="1160" t="s">
        <v>451</v>
      </c>
      <c r="E17" s="1160">
        <f>ROUND(E20*8.61992%,0)</f>
        <v>197185</v>
      </c>
      <c r="F17" s="1160">
        <f>ROUND(F20*8.61992%,0)</f>
        <v>193343</v>
      </c>
      <c r="G17" s="1160">
        <f>ROUND(F17*2.75,0)</f>
        <v>531693</v>
      </c>
      <c r="H17" s="1162" t="s">
        <v>432</v>
      </c>
      <c r="I17" s="1167">
        <f>ROUND(I20*30%,2)</f>
        <v>276.12</v>
      </c>
      <c r="J17" s="1167">
        <v>110</v>
      </c>
      <c r="K17" s="1167">
        <v>5.6</v>
      </c>
      <c r="L17" s="1167">
        <f>ROUND(((F17*J16*12)+((G17-F17)*J17*12))/10000000,2)</f>
        <v>67.86</v>
      </c>
      <c r="M17" s="1167">
        <f>ROUND(I17*1000000*K17/10000000,2)</f>
        <v>154.63</v>
      </c>
      <c r="N17" s="1167"/>
      <c r="O17" s="1167"/>
    </row>
    <row r="18" spans="1:18" ht="16.5" x14ac:dyDescent="0.2">
      <c r="A18" s="1197" t="s">
        <v>18</v>
      </c>
      <c r="B18" s="1159"/>
      <c r="C18" s="1160"/>
      <c r="D18" s="1160" t="s">
        <v>444</v>
      </c>
      <c r="E18" s="1160">
        <f>+E20-E16-E17</f>
        <v>230</v>
      </c>
      <c r="F18" s="1160">
        <f>+F20-F16-F17</f>
        <v>226</v>
      </c>
      <c r="G18" s="1160">
        <f>ROUND(F18*65,0)</f>
        <v>14690</v>
      </c>
      <c r="H18" s="1162" t="s">
        <v>380</v>
      </c>
      <c r="I18" s="1167">
        <f>ROUND(I20*25%,2)</f>
        <v>230.1</v>
      </c>
      <c r="J18" s="1167">
        <v>175</v>
      </c>
      <c r="K18" s="1167">
        <v>7.15</v>
      </c>
      <c r="L18" s="1167">
        <f>ROUND(((F18*J16*12)+(F18*49*12*J17)+((G18-(F18*50))*12*J18))/10000000,2)</f>
        <v>2.2000000000000002</v>
      </c>
      <c r="M18" s="1167">
        <f>ROUND(I18*1000000*K18/10000000,2)</f>
        <v>164.52</v>
      </c>
      <c r="N18" s="1167"/>
      <c r="O18" s="1167"/>
    </row>
    <row r="19" spans="1:18" ht="16.5" x14ac:dyDescent="0.2">
      <c r="A19" s="1197" t="s">
        <v>18</v>
      </c>
      <c r="B19" s="1159"/>
      <c r="C19" s="1160"/>
      <c r="D19" s="1160"/>
      <c r="E19" s="1160"/>
      <c r="F19" s="1160"/>
      <c r="G19" s="1160"/>
      <c r="H19" s="1162" t="s">
        <v>411</v>
      </c>
      <c r="I19" s="1167">
        <f>+I20-I16-I17-I18</f>
        <v>160.1200000000006</v>
      </c>
      <c r="J19" s="1167"/>
      <c r="K19" s="1167">
        <v>8.1999999999999993</v>
      </c>
      <c r="L19" s="1167"/>
      <c r="M19" s="1167">
        <f>ROUND(I19*1000000*K19/10000000,2)</f>
        <v>131.30000000000001</v>
      </c>
      <c r="N19" s="1167"/>
      <c r="O19" s="1167"/>
    </row>
    <row r="20" spans="1:18" ht="16.5" x14ac:dyDescent="0.2">
      <c r="A20" s="1197" t="s">
        <v>18</v>
      </c>
      <c r="B20" s="1164"/>
      <c r="C20" s="1165"/>
      <c r="D20" s="1166" t="s">
        <v>486</v>
      </c>
      <c r="E20" s="1169">
        <f>E21-E14</f>
        <v>2287549</v>
      </c>
      <c r="F20" s="1169">
        <f>F21-F14</f>
        <v>2242977</v>
      </c>
      <c r="G20" s="1165">
        <f>SUM(G16:G19)</f>
        <v>1776028</v>
      </c>
      <c r="H20" s="1165"/>
      <c r="I20" s="1170">
        <f>I21-I14</f>
        <v>920.40000000000055</v>
      </c>
      <c r="J20" s="1170"/>
      <c r="K20" s="1170"/>
      <c r="L20" s="1170">
        <f>SUM(L16:L19)</f>
        <v>315.99</v>
      </c>
      <c r="M20" s="1170">
        <f>SUM(M16:M19)</f>
        <v>555.88000000000011</v>
      </c>
      <c r="N20" s="1170">
        <f>L20+M20</f>
        <v>871.87000000000012</v>
      </c>
      <c r="O20" s="1177">
        <f>ROUND(N20/I20*10,2)</f>
        <v>9.4700000000000006</v>
      </c>
      <c r="R20" s="1224" t="e">
        <f>+N20-#REF!</f>
        <v>#REF!</v>
      </c>
    </row>
    <row r="21" spans="1:18" ht="16.5" x14ac:dyDescent="0.2">
      <c r="A21" s="1197" t="s">
        <v>18</v>
      </c>
      <c r="B21" s="1164">
        <v>2</v>
      </c>
      <c r="C21" s="1165" t="s">
        <v>490</v>
      </c>
      <c r="D21" s="1165"/>
      <c r="E21" s="1169">
        <f>Sales_FY24!$P$12</f>
        <v>9680700</v>
      </c>
      <c r="F21" s="1169">
        <f>Sales_FY24!$V$12</f>
        <v>9492075</v>
      </c>
      <c r="G21" s="1169">
        <f>G14+G20</f>
        <v>15350466</v>
      </c>
      <c r="H21" s="1165"/>
      <c r="I21" s="1170">
        <f>Sales_FY24!$Q$12</f>
        <v>8038.47</v>
      </c>
      <c r="J21" s="1170"/>
      <c r="K21" s="1170"/>
      <c r="L21" s="1170" t="e">
        <f>L14+L20</f>
        <v>#REF!</v>
      </c>
      <c r="M21" s="1170" t="e">
        <f>M14+M20</f>
        <v>#REF!</v>
      </c>
      <c r="N21" s="1170" t="e">
        <f>L21+M21</f>
        <v>#REF!</v>
      </c>
      <c r="O21" s="1177" t="e">
        <f>ROUND(N21/I21*10,2)</f>
        <v>#REF!</v>
      </c>
      <c r="R21" s="1224"/>
    </row>
    <row r="22" spans="1:18" ht="16.5" x14ac:dyDescent="0.2">
      <c r="A22" s="1197" t="s">
        <v>18</v>
      </c>
      <c r="B22" s="1163"/>
      <c r="C22" s="1163"/>
      <c r="D22" s="1163"/>
      <c r="E22" s="1163"/>
      <c r="F22" s="1163"/>
      <c r="G22" s="1163"/>
      <c r="H22" s="1163"/>
      <c r="I22" s="1176"/>
      <c r="J22" s="1176"/>
      <c r="K22" s="1176"/>
      <c r="L22" s="1176"/>
      <c r="M22" s="1176"/>
      <c r="N22" s="1176"/>
      <c r="O22" s="1176"/>
    </row>
    <row r="23" spans="1:18" ht="16.5" x14ac:dyDescent="0.2">
      <c r="A23" s="1197" t="s">
        <v>18</v>
      </c>
      <c r="B23" s="1159"/>
      <c r="C23" s="1160" t="s">
        <v>491</v>
      </c>
      <c r="D23" s="1160" t="s">
        <v>492</v>
      </c>
      <c r="E23" s="1160">
        <f>ROUND(E26*98.96%,0)</f>
        <v>10555</v>
      </c>
      <c r="F23" s="1160">
        <f>ROUND(F26*98.96%,0)</f>
        <v>10455</v>
      </c>
      <c r="G23" s="1160">
        <f>ROUND(F23*4,0)</f>
        <v>41820</v>
      </c>
      <c r="H23" s="1162" t="s">
        <v>493</v>
      </c>
      <c r="I23" s="1167">
        <f>ROUND(I26*20%,2)</f>
        <v>10.09</v>
      </c>
      <c r="J23" s="1167" t="e">
        <f>+#REF!</f>
        <v>#REF!</v>
      </c>
      <c r="K23" s="1167" t="e">
        <f>+#REF!</f>
        <v>#REF!</v>
      </c>
      <c r="L23" s="1167" t="e">
        <f>ROUND(G23*J23*12/10000000,2)</f>
        <v>#REF!</v>
      </c>
      <c r="M23" s="1167" t="e">
        <f>ROUND(I23*1000000*K23/10000000,2)</f>
        <v>#REF!</v>
      </c>
      <c r="N23" s="1167"/>
      <c r="O23" s="1167"/>
    </row>
    <row r="24" spans="1:18" ht="16.5" x14ac:dyDescent="0.2">
      <c r="A24" s="1197" t="s">
        <v>18</v>
      </c>
      <c r="B24" s="1159"/>
      <c r="C24" s="1160"/>
      <c r="D24" s="1160" t="s">
        <v>444</v>
      </c>
      <c r="E24" s="1160">
        <f>E26-E23</f>
        <v>111</v>
      </c>
      <c r="F24" s="1160">
        <f>F26-F23</f>
        <v>110</v>
      </c>
      <c r="G24" s="1160">
        <f>ROUND(F24*56,0)</f>
        <v>6160</v>
      </c>
      <c r="H24" s="1162" t="s">
        <v>411</v>
      </c>
      <c r="I24" s="1167">
        <f>I26-I23</f>
        <v>40.379999999999995</v>
      </c>
      <c r="J24" s="1167" t="e">
        <f>+#REF!</f>
        <v>#REF!</v>
      </c>
      <c r="K24" s="1167" t="e">
        <f>+#REF!</f>
        <v>#REF!</v>
      </c>
      <c r="L24" s="1167" t="e">
        <f>ROUND(((F24*J23*50*12)+((G24-(F24*50))*J24*12))/10000000,2)</f>
        <v>#REF!</v>
      </c>
      <c r="M24" s="1167" t="e">
        <f>ROUND(I24*1000000*K24/10000000,2)</f>
        <v>#REF!</v>
      </c>
      <c r="N24" s="1167"/>
      <c r="O24" s="1167"/>
    </row>
    <row r="25" spans="1:18" ht="16.5" x14ac:dyDescent="0.2">
      <c r="A25" s="1197" t="s">
        <v>18</v>
      </c>
      <c r="B25" s="1159"/>
      <c r="C25" s="1160"/>
      <c r="D25" s="1160" t="s">
        <v>556</v>
      </c>
      <c r="E25" s="1160"/>
      <c r="F25" s="1160"/>
      <c r="G25" s="1160"/>
      <c r="H25" s="1162"/>
      <c r="I25" s="1167"/>
      <c r="J25" s="1186" t="e">
        <f>+#REF!</f>
        <v>#REF!</v>
      </c>
      <c r="K25" s="1167"/>
      <c r="L25" s="1167"/>
      <c r="M25" s="1167"/>
      <c r="N25" s="1167"/>
      <c r="O25" s="1167"/>
    </row>
    <row r="26" spans="1:18" ht="16.5" x14ac:dyDescent="0.2">
      <c r="A26" s="1197" t="s">
        <v>18</v>
      </c>
      <c r="B26" s="1164"/>
      <c r="C26" s="1165"/>
      <c r="D26" s="1166" t="s">
        <v>486</v>
      </c>
      <c r="E26" s="1165">
        <f>ROUND(E32*78.67%,0)</f>
        <v>10666</v>
      </c>
      <c r="F26" s="1165">
        <f>ROUND(F32*78.67%,0)</f>
        <v>10565</v>
      </c>
      <c r="G26" s="1165">
        <f>SUM(G23:G24)</f>
        <v>47980</v>
      </c>
      <c r="H26" s="1165"/>
      <c r="I26" s="1170">
        <f>ROUND(I32*86.25%,2)</f>
        <v>50.47</v>
      </c>
      <c r="J26" s="1170"/>
      <c r="K26" s="1170"/>
      <c r="L26" s="1170" t="e">
        <f>SUM(L23:L24)</f>
        <v>#REF!</v>
      </c>
      <c r="M26" s="1170" t="e">
        <f>SUM(M23:M24)</f>
        <v>#REF!</v>
      </c>
      <c r="N26" s="1170" t="e">
        <f>L26+M26</f>
        <v>#REF!</v>
      </c>
      <c r="O26" s="1177" t="e">
        <f>ROUND(N26/I26*10,2)</f>
        <v>#REF!</v>
      </c>
      <c r="R26" s="1224" t="e">
        <f>+N26-#REF!</f>
        <v>#REF!</v>
      </c>
    </row>
    <row r="27" spans="1:18" ht="16.5" x14ac:dyDescent="0.2">
      <c r="A27" s="1197" t="s">
        <v>18</v>
      </c>
      <c r="B27" s="1163"/>
      <c r="C27" s="1163"/>
      <c r="D27" s="1163"/>
      <c r="E27" s="1163"/>
      <c r="F27" s="1163"/>
      <c r="G27" s="1163"/>
      <c r="H27" s="1163"/>
      <c r="I27" s="1176"/>
      <c r="J27" s="1176"/>
      <c r="K27" s="1176"/>
      <c r="L27" s="1176"/>
      <c r="M27" s="1176"/>
      <c r="N27" s="1176"/>
      <c r="O27" s="1176"/>
    </row>
    <row r="28" spans="1:18" ht="16.5" x14ac:dyDescent="0.2">
      <c r="A28" s="1197" t="s">
        <v>18</v>
      </c>
      <c r="B28" s="1159"/>
      <c r="C28" s="1160" t="s">
        <v>554</v>
      </c>
      <c r="D28" s="1160" t="s">
        <v>492</v>
      </c>
      <c r="E28" s="1160">
        <f>ROUND(E31*99.15%,0)</f>
        <v>2867</v>
      </c>
      <c r="F28" s="1160">
        <f>ROUND(F31*99.15%,0)</f>
        <v>2841</v>
      </c>
      <c r="G28" s="1160">
        <f>ROUND(F28*3.55,0)</f>
        <v>10086</v>
      </c>
      <c r="H28" s="1162" t="s">
        <v>493</v>
      </c>
      <c r="I28" s="1167">
        <f>ROUND(I31*15%,2)</f>
        <v>1.21</v>
      </c>
      <c r="J28" s="1167">
        <v>120</v>
      </c>
      <c r="K28" s="1167">
        <v>7.35</v>
      </c>
      <c r="L28" s="1167">
        <f>ROUND(G28*J28*12/10000000,2)</f>
        <v>1.45</v>
      </c>
      <c r="M28" s="1167">
        <f>ROUND(I28*1000000*K28/10000000,2)</f>
        <v>0.89</v>
      </c>
      <c r="N28" s="1167"/>
      <c r="O28" s="1167"/>
    </row>
    <row r="29" spans="1:18" ht="16.5" x14ac:dyDescent="0.2">
      <c r="A29" s="1197" t="s">
        <v>18</v>
      </c>
      <c r="B29" s="1159"/>
      <c r="C29" s="1160"/>
      <c r="D29" s="1160" t="s">
        <v>444</v>
      </c>
      <c r="E29" s="1160">
        <f>E31-E28</f>
        <v>25</v>
      </c>
      <c r="F29" s="1160">
        <f>F31-F28</f>
        <v>24</v>
      </c>
      <c r="G29" s="1160">
        <f>ROUND(F29*53,0)</f>
        <v>1272</v>
      </c>
      <c r="H29" s="1162" t="s">
        <v>411</v>
      </c>
      <c r="I29" s="1167">
        <f>I31-I28</f>
        <v>6.8400000000000043</v>
      </c>
      <c r="J29" s="1167">
        <v>175</v>
      </c>
      <c r="K29" s="1167">
        <v>8.6</v>
      </c>
      <c r="L29" s="1167">
        <f>ROUND(((F29*J28*50*12)+((G29-(F29*50))*J29*12))/10000000,2)</f>
        <v>0.19</v>
      </c>
      <c r="M29" s="1167">
        <f>ROUND(I29*1000000*K29/10000000,2)</f>
        <v>5.88</v>
      </c>
      <c r="N29" s="1167"/>
      <c r="O29" s="1167"/>
    </row>
    <row r="30" spans="1:18" ht="16.5" x14ac:dyDescent="0.2">
      <c r="A30" s="1197" t="s">
        <v>18</v>
      </c>
      <c r="B30" s="1159"/>
      <c r="C30" s="1160"/>
      <c r="D30" s="1160" t="s">
        <v>556</v>
      </c>
      <c r="E30" s="1160"/>
      <c r="F30" s="1160"/>
      <c r="G30" s="1160"/>
      <c r="H30" s="1162"/>
      <c r="I30" s="1167"/>
      <c r="J30" s="1186">
        <v>150</v>
      </c>
      <c r="K30" s="1167"/>
      <c r="L30" s="1167"/>
      <c r="M30" s="1167"/>
      <c r="N30" s="1167"/>
      <c r="O30" s="1167"/>
    </row>
    <row r="31" spans="1:18" ht="16.5" x14ac:dyDescent="0.2">
      <c r="A31" s="1197" t="s">
        <v>18</v>
      </c>
      <c r="B31" s="1164"/>
      <c r="C31" s="1165"/>
      <c r="D31" s="1166" t="s">
        <v>486</v>
      </c>
      <c r="E31" s="1169">
        <f>E32-E26</f>
        <v>2892</v>
      </c>
      <c r="F31" s="1169">
        <f>F32-F26</f>
        <v>2865</v>
      </c>
      <c r="G31" s="1165">
        <f>SUM(G28:G29)</f>
        <v>11358</v>
      </c>
      <c r="H31" s="1165"/>
      <c r="I31" s="1170">
        <f>I32-I26</f>
        <v>8.0500000000000043</v>
      </c>
      <c r="J31" s="1170"/>
      <c r="K31" s="1170"/>
      <c r="L31" s="1170">
        <f>SUM(L28:L29)</f>
        <v>1.64</v>
      </c>
      <c r="M31" s="1170">
        <f>SUM(M28:M29)</f>
        <v>6.77</v>
      </c>
      <c r="N31" s="1170">
        <f>L31+M31</f>
        <v>8.41</v>
      </c>
      <c r="O31" s="1177">
        <f>ROUND(N31/I31*10,2)</f>
        <v>10.45</v>
      </c>
      <c r="R31" s="1224" t="e">
        <f>+N31-#REF!</f>
        <v>#REF!</v>
      </c>
    </row>
    <row r="32" spans="1:18" ht="16.5" x14ac:dyDescent="0.2">
      <c r="A32" s="1197" t="s">
        <v>18</v>
      </c>
      <c r="B32" s="1164">
        <v>3</v>
      </c>
      <c r="C32" s="1165" t="s">
        <v>553</v>
      </c>
      <c r="D32" s="1165"/>
      <c r="E32" s="1169">
        <f>Sales_FY24!$P$13</f>
        <v>13558</v>
      </c>
      <c r="F32" s="1169">
        <f>Sales_FY24!$V$13</f>
        <v>13430</v>
      </c>
      <c r="G32" s="1169">
        <f>G26+G31</f>
        <v>59338</v>
      </c>
      <c r="H32" s="1165"/>
      <c r="I32" s="1170">
        <f>Sales_FY24!$Q$13</f>
        <v>58.52</v>
      </c>
      <c r="J32" s="1170"/>
      <c r="K32" s="1170"/>
      <c r="L32" s="1170" t="e">
        <f>L26+L31</f>
        <v>#REF!</v>
      </c>
      <c r="M32" s="1170" t="e">
        <f>M26+M31</f>
        <v>#REF!</v>
      </c>
      <c r="N32" s="1170" t="e">
        <f>L32+M32</f>
        <v>#REF!</v>
      </c>
      <c r="O32" s="1177" t="e">
        <f>ROUND(N32/I32*10,2)</f>
        <v>#REF!</v>
      </c>
    </row>
    <row r="33" spans="1:18" ht="16.5" x14ac:dyDescent="0.2">
      <c r="A33" s="1197" t="s">
        <v>18</v>
      </c>
      <c r="B33" s="1163"/>
      <c r="C33" s="1163"/>
      <c r="D33" s="1163"/>
      <c r="E33" s="1163"/>
      <c r="F33" s="1163"/>
      <c r="G33" s="1163"/>
      <c r="H33" s="1163"/>
      <c r="I33" s="1176"/>
      <c r="J33" s="1176"/>
      <c r="K33" s="1176"/>
      <c r="L33" s="1176"/>
      <c r="M33" s="1176"/>
      <c r="N33" s="1176"/>
      <c r="O33" s="1176"/>
    </row>
    <row r="34" spans="1:18" ht="16.5" x14ac:dyDescent="0.2">
      <c r="A34" s="1197" t="s">
        <v>18</v>
      </c>
      <c r="B34" s="1159"/>
      <c r="C34" s="1160" t="s">
        <v>69</v>
      </c>
      <c r="D34" s="1160" t="s">
        <v>492</v>
      </c>
      <c r="E34" s="1160">
        <f>ROUND(E36*99.81344%,0)</f>
        <v>1140653</v>
      </c>
      <c r="F34" s="1160">
        <f>ROUND(F36*99.81296%,0)</f>
        <v>1120666</v>
      </c>
      <c r="G34" s="1160">
        <f>ROUND(F34*2.38,0)</f>
        <v>2667185</v>
      </c>
      <c r="H34" s="1162" t="s">
        <v>426</v>
      </c>
      <c r="I34" s="1167">
        <f>ROUND(I36*22%,2)</f>
        <v>454.54</v>
      </c>
      <c r="J34" s="1167" t="e">
        <f>+#REF!</f>
        <v>#REF!</v>
      </c>
      <c r="K34" s="1167" t="e">
        <f>+#REF!</f>
        <v>#REF!</v>
      </c>
      <c r="L34" s="1167" t="e">
        <f>ROUND(G34*J34*12/10000000,2)</f>
        <v>#REF!</v>
      </c>
      <c r="M34" s="1167" t="e">
        <f>ROUND(I34*1000000*K34/10000000,2)</f>
        <v>#REF!</v>
      </c>
      <c r="N34" s="1167"/>
      <c r="O34" s="1167"/>
    </row>
    <row r="35" spans="1:18" ht="16.5" x14ac:dyDescent="0.2">
      <c r="A35" s="1197" t="s">
        <v>18</v>
      </c>
      <c r="B35" s="1159"/>
      <c r="C35" s="1160"/>
      <c r="D35" s="1160" t="s">
        <v>444</v>
      </c>
      <c r="E35" s="1160">
        <f>E36-E34</f>
        <v>2132</v>
      </c>
      <c r="F35" s="1160">
        <f>F36-F34</f>
        <v>2100</v>
      </c>
      <c r="G35" s="1160">
        <f>ROUND(F35*104.25,0)</f>
        <v>218925</v>
      </c>
      <c r="H35" s="1162" t="s">
        <v>558</v>
      </c>
      <c r="I35" s="1167">
        <f>I36-I34</f>
        <v>1611.5500000000002</v>
      </c>
      <c r="J35" s="1167" t="e">
        <f>+#REF!</f>
        <v>#REF!</v>
      </c>
      <c r="K35" s="1167" t="e">
        <f>+#REF!</f>
        <v>#REF!</v>
      </c>
      <c r="L35" s="1167" t="e">
        <f>ROUND(((F35*J34*50*12)+((G35-(F35*50))*J35*12))/10000000,2)</f>
        <v>#REF!</v>
      </c>
      <c r="M35" s="1167" t="e">
        <f>ROUND(I35*1000000*K35/10000000,2)</f>
        <v>#REF!</v>
      </c>
      <c r="N35" s="1167"/>
      <c r="O35" s="1167"/>
    </row>
    <row r="36" spans="1:18" ht="16.5" x14ac:dyDescent="0.2">
      <c r="A36" s="1197" t="s">
        <v>18</v>
      </c>
      <c r="B36" s="1164"/>
      <c r="C36" s="1165"/>
      <c r="D36" s="1166" t="s">
        <v>486</v>
      </c>
      <c r="E36" s="1165">
        <f>ROUND(E41*86.544%,0)</f>
        <v>1142785</v>
      </c>
      <c r="F36" s="1165">
        <f>ROUND(F41*86.544%,0)</f>
        <v>1122766</v>
      </c>
      <c r="G36" s="1165">
        <f>SUM(G34:G35)</f>
        <v>2886110</v>
      </c>
      <c r="H36" s="1165"/>
      <c r="I36" s="1170">
        <f>ROUND(I41*88.15%,2)</f>
        <v>2066.09</v>
      </c>
      <c r="J36" s="1170"/>
      <c r="K36" s="1170"/>
      <c r="L36" s="1170" t="e">
        <f>SUM(L34:L35)</f>
        <v>#REF!</v>
      </c>
      <c r="M36" s="1170" t="e">
        <f>SUM(M34:M35)</f>
        <v>#REF!</v>
      </c>
      <c r="N36" s="1170" t="e">
        <f>L36+M36</f>
        <v>#REF!</v>
      </c>
      <c r="O36" s="1177" t="e">
        <f>ROUND(N36/I36*10,2)</f>
        <v>#REF!</v>
      </c>
      <c r="R36" s="1224" t="e">
        <f>+N36-#REF!</f>
        <v>#REF!</v>
      </c>
    </row>
    <row r="37" spans="1:18" ht="16.5" x14ac:dyDescent="0.2">
      <c r="A37" s="1197" t="s">
        <v>18</v>
      </c>
      <c r="B37" s="1163"/>
      <c r="C37" s="1163"/>
      <c r="D37" s="1163"/>
      <c r="E37" s="1163"/>
      <c r="F37" s="1163"/>
      <c r="G37" s="1163"/>
      <c r="H37" s="1163"/>
      <c r="I37" s="1176"/>
      <c r="J37" s="1176"/>
      <c r="K37" s="1176"/>
      <c r="L37" s="1176"/>
      <c r="M37" s="1176"/>
      <c r="N37" s="1176"/>
      <c r="O37" s="1176"/>
    </row>
    <row r="38" spans="1:18" ht="16.5" x14ac:dyDescent="0.2">
      <c r="A38" s="1197" t="s">
        <v>18</v>
      </c>
      <c r="B38" s="1159"/>
      <c r="C38" s="1160" t="s">
        <v>76</v>
      </c>
      <c r="D38" s="1160" t="s">
        <v>492</v>
      </c>
      <c r="E38" s="1160">
        <f>ROUND(E40*99.90624%,0)</f>
        <v>177515</v>
      </c>
      <c r="F38" s="1160">
        <f>ROUND(F40*99.9%,0)</f>
        <v>174395</v>
      </c>
      <c r="G38" s="1160">
        <f>ROUND(F38*1.75,0)</f>
        <v>305191</v>
      </c>
      <c r="H38" s="1162" t="s">
        <v>426</v>
      </c>
      <c r="I38" s="1167">
        <f>ROUND(I40*25%,2)</f>
        <v>69.44</v>
      </c>
      <c r="J38" s="1167">
        <v>125</v>
      </c>
      <c r="K38" s="1167">
        <v>8.4</v>
      </c>
      <c r="L38" s="1167">
        <f>ROUND(G38*J38*12/10000000,2)</f>
        <v>45.78</v>
      </c>
      <c r="M38" s="1167">
        <f>ROUND(I38*1000000*K38/10000000,2)</f>
        <v>58.33</v>
      </c>
      <c r="N38" s="1167"/>
      <c r="O38" s="1167"/>
    </row>
    <row r="39" spans="1:18" ht="16.5" x14ac:dyDescent="0.2">
      <c r="A39" s="1197" t="s">
        <v>18</v>
      </c>
      <c r="B39" s="1159"/>
      <c r="C39" s="1160"/>
      <c r="D39" s="1160" t="s">
        <v>444</v>
      </c>
      <c r="E39" s="1160">
        <f>E40-E38</f>
        <v>167</v>
      </c>
      <c r="F39" s="1160">
        <f>F40-F38</f>
        <v>175</v>
      </c>
      <c r="G39" s="1160">
        <f>ROUND(F39*51.39,0)</f>
        <v>8993</v>
      </c>
      <c r="H39" s="1162" t="s">
        <v>558</v>
      </c>
      <c r="I39" s="1167">
        <f>I40-I38</f>
        <v>208.31</v>
      </c>
      <c r="J39" s="1167">
        <v>230</v>
      </c>
      <c r="K39" s="1167">
        <v>9.4</v>
      </c>
      <c r="L39" s="1167">
        <f>ROUND(((F39*J38*50*12)+((G39-(F39*50))*J39*12))/10000000,2)</f>
        <v>1.38</v>
      </c>
      <c r="M39" s="1167">
        <f>ROUND(I39*1000000*K39/10000000,2)</f>
        <v>195.81</v>
      </c>
      <c r="N39" s="1167"/>
      <c r="O39" s="1167"/>
    </row>
    <row r="40" spans="1:18" ht="16.5" x14ac:dyDescent="0.2">
      <c r="A40" s="1197" t="s">
        <v>18</v>
      </c>
      <c r="B40" s="1164"/>
      <c r="C40" s="1165"/>
      <c r="D40" s="1166" t="s">
        <v>486</v>
      </c>
      <c r="E40" s="1169">
        <f>E41-E36</f>
        <v>177682</v>
      </c>
      <c r="F40" s="1169">
        <f>F41-F36</f>
        <v>174570</v>
      </c>
      <c r="G40" s="1165">
        <f>SUM(G38:G39)</f>
        <v>314184</v>
      </c>
      <c r="H40" s="1165"/>
      <c r="I40" s="1170">
        <f>I41-I36</f>
        <v>277.75</v>
      </c>
      <c r="J40" s="1170"/>
      <c r="K40" s="1170"/>
      <c r="L40" s="1170">
        <f>SUM(L38:L39)</f>
        <v>47.160000000000004</v>
      </c>
      <c r="M40" s="1170">
        <f>SUM(M38:M39)</f>
        <v>254.14</v>
      </c>
      <c r="N40" s="1170">
        <f>L40+M40</f>
        <v>301.3</v>
      </c>
      <c r="O40" s="1177">
        <f>ROUND(N40/I40*10,2)</f>
        <v>10.85</v>
      </c>
      <c r="R40" s="1224" t="e">
        <f>+N40-#REF!</f>
        <v>#REF!</v>
      </c>
    </row>
    <row r="41" spans="1:18" ht="16.5" x14ac:dyDescent="0.2">
      <c r="A41" s="1197" t="s">
        <v>18</v>
      </c>
      <c r="B41" s="1164">
        <v>4</v>
      </c>
      <c r="C41" s="1165" t="s">
        <v>557</v>
      </c>
      <c r="D41" s="1165"/>
      <c r="E41" s="1169">
        <f>Sales_FY24!$P$14</f>
        <v>1320467</v>
      </c>
      <c r="F41" s="1169">
        <f>Sales_FY24!$V$14</f>
        <v>1297336</v>
      </c>
      <c r="G41" s="1169">
        <f>G36+G40</f>
        <v>3200294</v>
      </c>
      <c r="H41" s="1165"/>
      <c r="I41" s="1170">
        <f>Sales_FY24!$Q$14</f>
        <v>2343.84</v>
      </c>
      <c r="J41" s="1170"/>
      <c r="K41" s="1170"/>
      <c r="L41" s="1170" t="e">
        <f>L36+L40</f>
        <v>#REF!</v>
      </c>
      <c r="M41" s="1170" t="e">
        <f>M36+M40</f>
        <v>#REF!</v>
      </c>
      <c r="N41" s="1170" t="e">
        <f>L41+M41</f>
        <v>#REF!</v>
      </c>
      <c r="O41" s="1177" t="e">
        <f>ROUND(N41/I41*10,2)</f>
        <v>#REF!</v>
      </c>
    </row>
    <row r="42" spans="1:18" ht="16.5" x14ac:dyDescent="0.2">
      <c r="A42" s="1197" t="s">
        <v>18</v>
      </c>
      <c r="B42" s="1163"/>
      <c r="C42" s="1163"/>
      <c r="D42" s="1163"/>
      <c r="E42" s="1163"/>
      <c r="F42" s="1163"/>
      <c r="G42" s="1163"/>
      <c r="H42" s="1163"/>
      <c r="I42" s="1176"/>
      <c r="J42" s="1176"/>
      <c r="K42" s="1176"/>
      <c r="L42" s="1176"/>
      <c r="M42" s="1176"/>
      <c r="N42" s="1176"/>
      <c r="O42" s="1176"/>
    </row>
    <row r="43" spans="1:18" ht="16.5" x14ac:dyDescent="0.2">
      <c r="A43" s="1197" t="s">
        <v>18</v>
      </c>
      <c r="B43" s="1159"/>
      <c r="C43" s="1160" t="s">
        <v>559</v>
      </c>
      <c r="D43" s="1160" t="s">
        <v>560</v>
      </c>
      <c r="E43" s="1160">
        <f>Sales_FY24!$P$15</f>
        <v>1043427</v>
      </c>
      <c r="F43" s="1160">
        <f>Sales_FY24!$V$15</f>
        <v>1028907</v>
      </c>
      <c r="G43" s="1160">
        <f>ROUND(F43*6.6,0)</f>
        <v>6790786</v>
      </c>
      <c r="H43" s="1162" t="s">
        <v>561</v>
      </c>
      <c r="I43" s="1167">
        <f>Sales_FY24!$Q$15</f>
        <v>6140.96</v>
      </c>
      <c r="J43" s="1167"/>
      <c r="K43" s="1167" t="e">
        <f>+#REF!</f>
        <v>#REF!</v>
      </c>
      <c r="L43" s="1167">
        <f>ROUND(G43*J43*12/10000000,2)</f>
        <v>0</v>
      </c>
      <c r="M43" s="1167" t="e">
        <f>ROUND(I43*1000000*K43/10000000,2)</f>
        <v>#REF!</v>
      </c>
      <c r="N43" s="1167" t="e">
        <f>L43+M43</f>
        <v>#REF!</v>
      </c>
      <c r="O43" s="1192" t="e">
        <f>ROUND(N43/I43*10,2)</f>
        <v>#REF!</v>
      </c>
    </row>
    <row r="44" spans="1:18" ht="16.5" x14ac:dyDescent="0.2">
      <c r="A44" s="1197" t="s">
        <v>18</v>
      </c>
      <c r="B44" s="1159"/>
      <c r="C44" s="1160" t="s">
        <v>562</v>
      </c>
      <c r="D44" s="1160" t="s">
        <v>563</v>
      </c>
      <c r="E44" s="1168">
        <f>Sales_FY24!$P$16</f>
        <v>670</v>
      </c>
      <c r="F44" s="1160">
        <f>Sales_FY24!$V$16</f>
        <v>650</v>
      </c>
      <c r="G44" s="1160">
        <f>ROUND(F44*16.1,0)</f>
        <v>10465</v>
      </c>
      <c r="H44" s="1162" t="s">
        <v>561</v>
      </c>
      <c r="I44" s="1167">
        <f>Sales_FY24!$Q$16</f>
        <v>4.26</v>
      </c>
      <c r="J44" s="1167" t="e">
        <f>+#REF!</f>
        <v>#REF!</v>
      </c>
      <c r="K44" s="1167" t="e">
        <f>+#REF!</f>
        <v>#REF!</v>
      </c>
      <c r="L44" s="1167" t="e">
        <f>ROUND(G44*J44*12/10000000,2)</f>
        <v>#REF!</v>
      </c>
      <c r="M44" s="1167" t="e">
        <f>ROUND(I44*1000000*K44/10000000,2)</f>
        <v>#REF!</v>
      </c>
      <c r="N44" s="1167" t="e">
        <f>L44+M44</f>
        <v>#REF!</v>
      </c>
      <c r="O44" s="1192" t="e">
        <f>ROUND(N44/I44*10,2)</f>
        <v>#REF!</v>
      </c>
    </row>
    <row r="45" spans="1:18" ht="16.5" x14ac:dyDescent="0.2">
      <c r="A45" s="1197" t="s">
        <v>18</v>
      </c>
      <c r="B45" s="1159"/>
      <c r="C45" s="1160" t="s">
        <v>564</v>
      </c>
      <c r="D45" s="1160" t="s">
        <v>565</v>
      </c>
      <c r="E45" s="1168">
        <f>Sales_FY24!$P$17</f>
        <v>2199</v>
      </c>
      <c r="F45" s="1160">
        <f>Sales_FY24!$V$17</f>
        <v>2139</v>
      </c>
      <c r="G45" s="1160">
        <f>ROUND(F45*8.5,0)</f>
        <v>18182</v>
      </c>
      <c r="H45" s="1162" t="s">
        <v>561</v>
      </c>
      <c r="I45" s="1167">
        <f>Sales_FY24!$Q$17</f>
        <v>5.98</v>
      </c>
      <c r="J45" s="1167" t="e">
        <f>+#REF!</f>
        <v>#REF!</v>
      </c>
      <c r="K45" s="1167" t="e">
        <f>+#REF!</f>
        <v>#REF!</v>
      </c>
      <c r="L45" s="1167" t="e">
        <f>ROUND(G45*J45*12/10000000,2)</f>
        <v>#REF!</v>
      </c>
      <c r="M45" s="1167" t="e">
        <f>ROUND(I45*1000000*K45/10000000,2)</f>
        <v>#REF!</v>
      </c>
      <c r="N45" s="1167" t="e">
        <f>L45+M45</f>
        <v>#REF!</v>
      </c>
      <c r="O45" s="1192" t="e">
        <f>ROUND(N45/I45*10,2)</f>
        <v>#REF!</v>
      </c>
    </row>
    <row r="46" spans="1:18" ht="16.5" x14ac:dyDescent="0.2">
      <c r="A46" s="1197" t="s">
        <v>18</v>
      </c>
      <c r="B46" s="1164">
        <v>5</v>
      </c>
      <c r="C46" s="1165" t="s">
        <v>566</v>
      </c>
      <c r="D46" s="1165"/>
      <c r="E46" s="1169">
        <f>SUM(E43:E45)</f>
        <v>1046296</v>
      </c>
      <c r="F46" s="1169">
        <f>SUM(F43:F45)</f>
        <v>1031696</v>
      </c>
      <c r="G46" s="1169">
        <f>SUM(G43:G45)</f>
        <v>6819433</v>
      </c>
      <c r="H46" s="1165"/>
      <c r="I46" s="1170">
        <f>SUM(I43:I45)</f>
        <v>6151.2</v>
      </c>
      <c r="J46" s="1170"/>
      <c r="K46" s="1170"/>
      <c r="L46" s="1170" t="e">
        <f>SUM(L43:L45)</f>
        <v>#REF!</v>
      </c>
      <c r="M46" s="1170" t="e">
        <f>SUM(M43:M45)</f>
        <v>#REF!</v>
      </c>
      <c r="N46" s="1170" t="e">
        <f>SUM(N43:N45)</f>
        <v>#REF!</v>
      </c>
      <c r="O46" s="1177" t="e">
        <f>ROUND(N46/I46*10,2)</f>
        <v>#REF!</v>
      </c>
    </row>
    <row r="47" spans="1:18" ht="16.5" x14ac:dyDescent="0.2">
      <c r="A47" s="1197" t="s">
        <v>18</v>
      </c>
      <c r="B47" s="1163"/>
      <c r="C47" s="1163"/>
      <c r="D47" s="1163"/>
      <c r="E47" s="1163"/>
      <c r="F47" s="1163"/>
      <c r="G47" s="1163"/>
      <c r="H47" s="1163"/>
      <c r="I47" s="1176"/>
      <c r="J47" s="1176"/>
      <c r="K47" s="1176"/>
      <c r="L47" s="1176"/>
      <c r="M47" s="1176"/>
      <c r="N47" s="1176"/>
      <c r="O47" s="1176"/>
    </row>
    <row r="48" spans="1:18" ht="16.5" x14ac:dyDescent="0.2">
      <c r="A48" s="1197" t="s">
        <v>18</v>
      </c>
      <c r="B48" s="1159"/>
      <c r="C48" s="1160" t="s">
        <v>9</v>
      </c>
      <c r="D48" s="1160" t="s">
        <v>568</v>
      </c>
      <c r="E48" s="1160">
        <f>ROUND(E53*28.12%,0)</f>
        <v>33639</v>
      </c>
      <c r="F48" s="1160">
        <f>ROUND(F53*28.12%,0)</f>
        <v>33071</v>
      </c>
      <c r="G48" s="1160">
        <f>ROUND(F48*2.50003,0)</f>
        <v>82678</v>
      </c>
      <c r="H48" s="1162" t="s">
        <v>573</v>
      </c>
      <c r="I48" s="1167">
        <f>ROUND(I53*18%,2)</f>
        <v>164.13</v>
      </c>
      <c r="J48" s="1167" t="e">
        <f>+#REF!</f>
        <v>#REF!</v>
      </c>
      <c r="K48" s="1167" t="e">
        <f>+#REF!</f>
        <v>#REF!</v>
      </c>
      <c r="L48" s="1167" t="e">
        <f>ROUND(G48*J48*12/10000000,2)</f>
        <v>#REF!</v>
      </c>
      <c r="M48" s="1167" t="e">
        <f>ROUND(I48*1000000*K48/10000000,2)</f>
        <v>#REF!</v>
      </c>
      <c r="N48" s="1167"/>
      <c r="O48" s="1167"/>
    </row>
    <row r="49" spans="1:18" ht="16.5" x14ac:dyDescent="0.2">
      <c r="A49" s="1197" t="s">
        <v>18</v>
      </c>
      <c r="B49" s="1159"/>
      <c r="C49" s="1160"/>
      <c r="D49" s="1160" t="s">
        <v>569</v>
      </c>
      <c r="E49" s="1160">
        <f>ROUND(E53*58.08%,0)</f>
        <v>69479</v>
      </c>
      <c r="F49" s="1160">
        <f>ROUND(F53*58.08%,0)</f>
        <v>68307</v>
      </c>
      <c r="G49" s="1160">
        <f>ROUND(F49*10.15,0)</f>
        <v>693316</v>
      </c>
      <c r="H49" s="1162" t="s">
        <v>576</v>
      </c>
      <c r="I49" s="1167">
        <f>I53-I48</f>
        <v>747.72</v>
      </c>
      <c r="J49" s="1167" t="e">
        <f>+#REF!</f>
        <v>#REF!</v>
      </c>
      <c r="K49" s="1167" t="e">
        <f>+#REF!</f>
        <v>#REF!</v>
      </c>
      <c r="L49" s="1167" t="e">
        <f>ROUND(G49*J49*12/10000000,2)</f>
        <v>#REF!</v>
      </c>
      <c r="M49" s="1167" t="e">
        <f>ROUND(I49*1000000*K49/10000000,2)</f>
        <v>#REF!</v>
      </c>
      <c r="N49" s="1167"/>
      <c r="O49" s="1167"/>
    </row>
    <row r="50" spans="1:18" ht="16.5" x14ac:dyDescent="0.2">
      <c r="A50" s="1197" t="s">
        <v>18</v>
      </c>
      <c r="B50" s="1159"/>
      <c r="C50" s="1160"/>
      <c r="D50" s="1160" t="s">
        <v>570</v>
      </c>
      <c r="E50" s="1160">
        <f>ROUND(E53*12.264%,0)</f>
        <v>14671</v>
      </c>
      <c r="F50" s="1160">
        <f>ROUND(F53*12.264%,0)</f>
        <v>14423</v>
      </c>
      <c r="G50" s="1160">
        <f>ROUND(F50*45.92,0)</f>
        <v>662304</v>
      </c>
      <c r="H50" s="1162"/>
      <c r="I50" s="1167"/>
      <c r="J50" s="1167" t="e">
        <f>+#REF!</f>
        <v>#REF!</v>
      </c>
      <c r="K50" s="1167"/>
      <c r="L50" s="1167" t="e">
        <f>ROUND(G50*J50*12/10000000,2)</f>
        <v>#REF!</v>
      </c>
      <c r="M50" s="1167"/>
      <c r="N50" s="1167"/>
      <c r="O50" s="1167"/>
    </row>
    <row r="51" spans="1:18" ht="16.5" x14ac:dyDescent="0.2">
      <c r="A51" s="1197" t="s">
        <v>18</v>
      </c>
      <c r="B51" s="1159"/>
      <c r="C51" s="1160"/>
      <c r="D51" s="1160" t="s">
        <v>571</v>
      </c>
      <c r="E51" s="1160">
        <f>ROUND(E53*1.5258%,0)</f>
        <v>1825</v>
      </c>
      <c r="F51" s="1160">
        <f>ROUND(F53*1.5258%,0)</f>
        <v>1794</v>
      </c>
      <c r="G51" s="1160">
        <f>ROUND(F51*83.45,0)</f>
        <v>149709</v>
      </c>
      <c r="H51" s="1162"/>
      <c r="I51" s="1167"/>
      <c r="J51" s="1167" t="e">
        <f>+#REF!</f>
        <v>#REF!</v>
      </c>
      <c r="K51" s="1167"/>
      <c r="L51" s="1167" t="e">
        <f>ROUND(G51*J51*12/10000000,2)</f>
        <v>#REF!</v>
      </c>
      <c r="M51" s="1167"/>
      <c r="N51" s="1167"/>
      <c r="O51" s="1167"/>
    </row>
    <row r="52" spans="1:18" ht="16.5" x14ac:dyDescent="0.2">
      <c r="A52" s="1197" t="s">
        <v>18</v>
      </c>
      <c r="B52" s="1159"/>
      <c r="C52" s="1160"/>
      <c r="D52" s="1160" t="s">
        <v>572</v>
      </c>
      <c r="E52" s="1160">
        <f>E53-E48-E49-E50-E51</f>
        <v>12</v>
      </c>
      <c r="F52" s="1160">
        <f>F53-F48-F49-F50-F51</f>
        <v>13</v>
      </c>
      <c r="G52" s="1160">
        <f>ROUND(F52*170.75,0)</f>
        <v>2220</v>
      </c>
      <c r="H52" s="1162"/>
      <c r="I52" s="1167"/>
      <c r="J52" s="1167" t="e">
        <f>+#REF!</f>
        <v>#REF!</v>
      </c>
      <c r="K52" s="1167"/>
      <c r="L52" s="1167" t="e">
        <f>ROUND(G52*J52*12/10000000,2)</f>
        <v>#REF!</v>
      </c>
      <c r="M52" s="1167"/>
      <c r="N52" s="1167"/>
      <c r="O52" s="1167"/>
    </row>
    <row r="53" spans="1:18" ht="16.5" x14ac:dyDescent="0.2">
      <c r="A53" s="1197" t="s">
        <v>18</v>
      </c>
      <c r="B53" s="1164"/>
      <c r="C53" s="1165"/>
      <c r="D53" s="1166" t="s">
        <v>486</v>
      </c>
      <c r="E53" s="1165">
        <f>ROUND(E61*47.78%,0)</f>
        <v>119626</v>
      </c>
      <c r="F53" s="1165">
        <f>ROUND(F61*47.78%,0)</f>
        <v>117608</v>
      </c>
      <c r="G53" s="1165">
        <f>SUM(G48:G52)</f>
        <v>1590227</v>
      </c>
      <c r="H53" s="1165"/>
      <c r="I53" s="1170">
        <f>ROUND(I61*67.23%,2)</f>
        <v>911.85</v>
      </c>
      <c r="J53" s="1170"/>
      <c r="K53" s="1170"/>
      <c r="L53" s="1170" t="e">
        <f>SUM(L48:L52)</f>
        <v>#REF!</v>
      </c>
      <c r="M53" s="1170" t="e">
        <f>SUM(M48:M52)</f>
        <v>#REF!</v>
      </c>
      <c r="N53" s="1170" t="e">
        <f>L53+M53</f>
        <v>#REF!</v>
      </c>
      <c r="O53" s="1177" t="e">
        <f>ROUND(N53/I53*10,2)</f>
        <v>#REF!</v>
      </c>
      <c r="R53" s="1224" t="e">
        <f>+N53-#REF!</f>
        <v>#REF!</v>
      </c>
    </row>
    <row r="54" spans="1:18" ht="16.5" x14ac:dyDescent="0.2">
      <c r="A54" s="1197" t="s">
        <v>18</v>
      </c>
      <c r="B54" s="1163"/>
      <c r="C54" s="1163"/>
      <c r="D54" s="1163"/>
      <c r="E54" s="1163"/>
      <c r="F54" s="1163"/>
      <c r="G54" s="1163"/>
      <c r="H54" s="1163"/>
      <c r="I54" s="1176"/>
      <c r="J54" s="1176"/>
      <c r="K54" s="1176"/>
      <c r="L54" s="1176"/>
      <c r="M54" s="1176"/>
      <c r="N54" s="1176"/>
      <c r="O54" s="1176"/>
    </row>
    <row r="55" spans="1:18" ht="16.5" x14ac:dyDescent="0.2">
      <c r="A55" s="1197" t="s">
        <v>18</v>
      </c>
      <c r="B55" s="1159"/>
      <c r="C55" s="1160" t="s">
        <v>11</v>
      </c>
      <c r="D55" s="1160" t="s">
        <v>568</v>
      </c>
      <c r="E55" s="1160">
        <f>ROUND(E60*49.592%,0)</f>
        <v>64838</v>
      </c>
      <c r="F55" s="1160">
        <f>ROUND(F60*49.592%,0)</f>
        <v>63744</v>
      </c>
      <c r="G55" s="1160">
        <f>ROUND(F55*1.75,0)</f>
        <v>111552</v>
      </c>
      <c r="H55" s="1162" t="s">
        <v>573</v>
      </c>
      <c r="I55" s="1167">
        <f>ROUND(I60*20%,2)</f>
        <v>88.89</v>
      </c>
      <c r="J55" s="1167">
        <v>90</v>
      </c>
      <c r="K55" s="1167">
        <v>6.05</v>
      </c>
      <c r="L55" s="1167">
        <f>ROUND(G55*J55*12/10000000,2)</f>
        <v>12.05</v>
      </c>
      <c r="M55" s="1167">
        <f>ROUND(I55*1000000*K55/10000000,2)</f>
        <v>53.78</v>
      </c>
      <c r="N55" s="1167"/>
      <c r="O55" s="1167"/>
    </row>
    <row r="56" spans="1:18" ht="16.5" x14ac:dyDescent="0.2">
      <c r="A56" s="1197" t="s">
        <v>18</v>
      </c>
      <c r="B56" s="1159"/>
      <c r="C56" s="1160"/>
      <c r="D56" s="1160" t="s">
        <v>569</v>
      </c>
      <c r="E56" s="1160">
        <f>ROUND(E60*43.795%,0)</f>
        <v>57258</v>
      </c>
      <c r="F56" s="1160">
        <f>ROUND(F60*43.795%,0)</f>
        <v>56293</v>
      </c>
      <c r="G56" s="1160">
        <f>ROUND(F56*10.5,0)</f>
        <v>591077</v>
      </c>
      <c r="H56" s="1162" t="s">
        <v>574</v>
      </c>
      <c r="I56" s="1167">
        <f>ROUND(I60*15%,2)</f>
        <v>66.67</v>
      </c>
      <c r="J56" s="1167">
        <v>100</v>
      </c>
      <c r="K56" s="1167">
        <v>7.35</v>
      </c>
      <c r="L56" s="1167">
        <f>ROUND(G56*J56*12/10000000,2)</f>
        <v>70.930000000000007</v>
      </c>
      <c r="M56" s="1167">
        <f>ROUND(I56*1000000*K56/10000000,2)</f>
        <v>49</v>
      </c>
      <c r="N56" s="1167"/>
      <c r="O56" s="1167"/>
    </row>
    <row r="57" spans="1:18" ht="16.5" x14ac:dyDescent="0.2">
      <c r="A57" s="1197" t="s">
        <v>18</v>
      </c>
      <c r="B57" s="1159"/>
      <c r="C57" s="1160"/>
      <c r="D57" s="1160" t="s">
        <v>570</v>
      </c>
      <c r="E57" s="1160">
        <f>ROUND(E60*6.1035%,0)</f>
        <v>7980</v>
      </c>
      <c r="F57" s="1160">
        <f>ROUND(F60*6.1035%,0)</f>
        <v>7845</v>
      </c>
      <c r="G57" s="1160">
        <f>ROUND(F57*46,0)</f>
        <v>360870</v>
      </c>
      <c r="H57" s="1162" t="s">
        <v>575</v>
      </c>
      <c r="I57" s="1167">
        <f>I60-I55-I56</f>
        <v>288.89999999999992</v>
      </c>
      <c r="J57" s="1167">
        <v>125</v>
      </c>
      <c r="K57" s="1167">
        <v>7.35</v>
      </c>
      <c r="L57" s="1167">
        <f>ROUND(G57*J57*12/10000000,2)</f>
        <v>54.13</v>
      </c>
      <c r="M57" s="1167">
        <f>ROUND(I57*1000000*K57/10000000,2)</f>
        <v>212.34</v>
      </c>
      <c r="N57" s="1167"/>
      <c r="O57" s="1167"/>
    </row>
    <row r="58" spans="1:18" ht="16.5" x14ac:dyDescent="0.2">
      <c r="A58" s="1197" t="s">
        <v>18</v>
      </c>
      <c r="B58" s="1159"/>
      <c r="C58" s="1160"/>
      <c r="D58" s="1160" t="s">
        <v>571</v>
      </c>
      <c r="E58" s="1160">
        <f>ROUND(E60*0.43948%,0)</f>
        <v>575</v>
      </c>
      <c r="F58" s="1160">
        <f>ROUND(F60*0.43948%,0)</f>
        <v>565</v>
      </c>
      <c r="G58" s="1160">
        <f>ROUND(F58*72,0)</f>
        <v>40680</v>
      </c>
      <c r="H58" s="1162"/>
      <c r="I58" s="1167"/>
      <c r="J58" s="1167">
        <v>190</v>
      </c>
      <c r="K58" s="1167"/>
      <c r="L58" s="1167">
        <f>ROUND(G58*J58*12/10000000,2)</f>
        <v>9.2799999999999994</v>
      </c>
      <c r="M58" s="1167"/>
      <c r="N58" s="1167"/>
      <c r="O58" s="1167"/>
    </row>
    <row r="59" spans="1:18" ht="16.5" x14ac:dyDescent="0.2">
      <c r="A59" s="1197" t="s">
        <v>18</v>
      </c>
      <c r="B59" s="1159"/>
      <c r="C59" s="1160"/>
      <c r="D59" s="1160" t="s">
        <v>572</v>
      </c>
      <c r="E59" s="1160">
        <f>E60-E55-E56-E57-E58</f>
        <v>91</v>
      </c>
      <c r="F59" s="1160">
        <f>F60-F55-F56-F57-F58</f>
        <v>90</v>
      </c>
      <c r="G59" s="1160">
        <f>ROUND(F59*126,0)</f>
        <v>11340</v>
      </c>
      <c r="H59" s="1162"/>
      <c r="I59" s="1167"/>
      <c r="J59" s="1167">
        <v>225</v>
      </c>
      <c r="K59" s="1167"/>
      <c r="L59" s="1167">
        <f>ROUND(G59*J59*12/10000000,2)</f>
        <v>3.06</v>
      </c>
      <c r="M59" s="1167"/>
      <c r="N59" s="1167"/>
      <c r="O59" s="1167"/>
    </row>
    <row r="60" spans="1:18" ht="16.5" x14ac:dyDescent="0.2">
      <c r="A60" s="1197" t="s">
        <v>18</v>
      </c>
      <c r="B60" s="1164"/>
      <c r="C60" s="1165"/>
      <c r="D60" s="1166" t="s">
        <v>486</v>
      </c>
      <c r="E60" s="1169">
        <f>E61-E53</f>
        <v>130742</v>
      </c>
      <c r="F60" s="1169">
        <f>F61-F53</f>
        <v>128537</v>
      </c>
      <c r="G60" s="1165">
        <f>SUM(G55:G59)</f>
        <v>1115519</v>
      </c>
      <c r="H60" s="1165"/>
      <c r="I60" s="1170">
        <f>I61-I53</f>
        <v>444.45999999999992</v>
      </c>
      <c r="J60" s="1170"/>
      <c r="K60" s="1170"/>
      <c r="L60" s="1170">
        <f>SUM(L55:L59)</f>
        <v>149.45000000000002</v>
      </c>
      <c r="M60" s="1170">
        <f>SUM(M55:M59)</f>
        <v>315.12</v>
      </c>
      <c r="N60" s="1170">
        <f>L60+M60</f>
        <v>464.57000000000005</v>
      </c>
      <c r="O60" s="1177">
        <f>ROUND(N60/I60*10,2)</f>
        <v>10.45</v>
      </c>
      <c r="R60" s="1224" t="e">
        <f>+N60-#REF!</f>
        <v>#REF!</v>
      </c>
    </row>
    <row r="61" spans="1:18" ht="16.5" x14ac:dyDescent="0.2">
      <c r="A61" s="1197" t="s">
        <v>18</v>
      </c>
      <c r="B61" s="1164">
        <v>6</v>
      </c>
      <c r="C61" s="1165" t="s">
        <v>567</v>
      </c>
      <c r="D61" s="1165"/>
      <c r="E61" s="1169">
        <f>Sales_FY24!$P$18</f>
        <v>250368</v>
      </c>
      <c r="F61" s="1169">
        <f>Sales_FY24!$V$18</f>
        <v>246145</v>
      </c>
      <c r="G61" s="1169">
        <f>G53+G60</f>
        <v>2705746</v>
      </c>
      <c r="H61" s="1165"/>
      <c r="I61" s="1170">
        <f>Sales_FY24!$Q$18</f>
        <v>1356.31</v>
      </c>
      <c r="J61" s="1170"/>
      <c r="K61" s="1170"/>
      <c r="L61" s="1170" t="e">
        <f>L53+L60</f>
        <v>#REF!</v>
      </c>
      <c r="M61" s="1170" t="e">
        <f>M53+M60</f>
        <v>#REF!</v>
      </c>
      <c r="N61" s="1170" t="e">
        <f>L61+M61</f>
        <v>#REF!</v>
      </c>
      <c r="O61" s="1177" t="e">
        <f>ROUND(N61/I61*10,2)</f>
        <v>#REF!</v>
      </c>
    </row>
    <row r="62" spans="1:18" ht="16.5" x14ac:dyDescent="0.2">
      <c r="A62" s="1197" t="s">
        <v>18</v>
      </c>
      <c r="B62" s="1163"/>
      <c r="C62" s="1163"/>
      <c r="D62" s="1163"/>
      <c r="E62" s="1163"/>
      <c r="F62" s="1163"/>
      <c r="G62" s="1163"/>
      <c r="H62" s="1163"/>
      <c r="I62" s="1176"/>
      <c r="J62" s="1176"/>
      <c r="K62" s="1176"/>
      <c r="L62" s="1176"/>
      <c r="M62" s="1176"/>
      <c r="N62" s="1176"/>
      <c r="O62" s="1176"/>
    </row>
    <row r="63" spans="1:18" ht="16.5" x14ac:dyDescent="0.2">
      <c r="A63" s="1197" t="s">
        <v>18</v>
      </c>
      <c r="B63" s="1159"/>
      <c r="C63" s="1160" t="s">
        <v>512</v>
      </c>
      <c r="D63" s="1160" t="s">
        <v>578</v>
      </c>
      <c r="E63" s="1168">
        <f>Sales_FY24!$P$19</f>
        <v>97187</v>
      </c>
      <c r="F63" s="1168">
        <f>Sales_FY24!$V$19</f>
        <v>95247</v>
      </c>
      <c r="G63" s="1160">
        <f>ROUND(F63*19.5,0)</f>
        <v>1857317</v>
      </c>
      <c r="H63" s="1162" t="s">
        <v>561</v>
      </c>
      <c r="I63" s="1167">
        <f>Sales_FY24!$Q$19</f>
        <v>1626.41</v>
      </c>
      <c r="J63" s="1167" t="e">
        <f>+#REF!</f>
        <v>#REF!</v>
      </c>
      <c r="K63" s="1167" t="e">
        <f>+#REF!</f>
        <v>#REF!</v>
      </c>
      <c r="L63" s="1167" t="e">
        <f t="shared" ref="L63:L69" si="0">ROUND(G63*J63*12/10000000,2)</f>
        <v>#REF!</v>
      </c>
      <c r="M63" s="1167" t="e">
        <f t="shared" ref="M63:M69" si="1">ROUND(I63*1000000*K63/10000000,2)</f>
        <v>#REF!</v>
      </c>
      <c r="N63" s="1167" t="e">
        <f>L63+M63</f>
        <v>#REF!</v>
      </c>
      <c r="O63" s="1192"/>
    </row>
    <row r="64" spans="1:18" ht="16.5" x14ac:dyDescent="0.2">
      <c r="A64" s="1197" t="s">
        <v>18</v>
      </c>
      <c r="B64" s="1159"/>
      <c r="C64" s="1160"/>
      <c r="D64" s="1160" t="s">
        <v>579</v>
      </c>
      <c r="E64" s="1168"/>
      <c r="F64" s="1168"/>
      <c r="G64" s="1160"/>
      <c r="H64" s="1162"/>
      <c r="I64" s="1167"/>
      <c r="J64" s="1167" t="e">
        <f>+#REF!</f>
        <v>#REF!</v>
      </c>
      <c r="K64" s="1167"/>
      <c r="L64" s="1167"/>
      <c r="M64" s="1167"/>
      <c r="N64" s="1167"/>
      <c r="O64" s="1192"/>
    </row>
    <row r="65" spans="1:15" ht="16.5" x14ac:dyDescent="0.2">
      <c r="A65" s="1197" t="s">
        <v>18</v>
      </c>
      <c r="B65" s="1164"/>
      <c r="C65" s="1165"/>
      <c r="D65" s="1166" t="s">
        <v>486</v>
      </c>
      <c r="E65" s="1169">
        <f>SUM(E63:E64)</f>
        <v>97187</v>
      </c>
      <c r="F65" s="1169">
        <f>SUM(F63:F64)</f>
        <v>95247</v>
      </c>
      <c r="G65" s="1169">
        <f>SUM(G63:G64)</f>
        <v>1857317</v>
      </c>
      <c r="H65" s="1165"/>
      <c r="I65" s="1170">
        <f>SUM(I63:I64)</f>
        <v>1626.41</v>
      </c>
      <c r="J65" s="1170"/>
      <c r="K65" s="1170"/>
      <c r="L65" s="1170" t="e">
        <f>SUM(L63:L64)</f>
        <v>#REF!</v>
      </c>
      <c r="M65" s="1170" t="e">
        <f>SUM(M63:M64)</f>
        <v>#REF!</v>
      </c>
      <c r="N65" s="1170" t="e">
        <f>L65+M65</f>
        <v>#REF!</v>
      </c>
      <c r="O65" s="1177" t="e">
        <f>ROUND(N65/I65*10,2)</f>
        <v>#REF!</v>
      </c>
    </row>
    <row r="66" spans="1:15" ht="16.5" x14ac:dyDescent="0.2">
      <c r="A66" s="1197" t="s">
        <v>18</v>
      </c>
      <c r="B66" s="1163"/>
      <c r="C66" s="1163"/>
      <c r="D66" s="1163"/>
      <c r="E66" s="1163"/>
      <c r="F66" s="1163"/>
      <c r="G66" s="1163"/>
      <c r="H66" s="1163"/>
      <c r="I66" s="1176"/>
      <c r="J66" s="1176"/>
      <c r="K66" s="1176"/>
      <c r="L66" s="1176"/>
      <c r="M66" s="1176"/>
      <c r="N66" s="1176"/>
      <c r="O66" s="1176"/>
    </row>
    <row r="67" spans="1:15" ht="16.5" x14ac:dyDescent="0.2">
      <c r="A67" s="1197" t="s">
        <v>18</v>
      </c>
      <c r="B67" s="1159"/>
      <c r="C67" s="1160" t="s">
        <v>513</v>
      </c>
      <c r="D67" s="1160" t="s">
        <v>580</v>
      </c>
      <c r="E67" s="1168">
        <f>Sales_FY24!$P$20</f>
        <v>88814</v>
      </c>
      <c r="F67" s="1168">
        <f>Sales_FY24!$V$20</f>
        <v>86076</v>
      </c>
      <c r="G67" s="1160">
        <f>ROUND(F67*6.5,0)</f>
        <v>559494</v>
      </c>
      <c r="H67" s="1162" t="s">
        <v>561</v>
      </c>
      <c r="I67" s="1167">
        <f>Sales_FY24!$Q$20</f>
        <v>676.6</v>
      </c>
      <c r="J67" s="1167" t="e">
        <f>+#REF!</f>
        <v>#REF!</v>
      </c>
      <c r="K67" s="1167" t="e">
        <f>+#REF!</f>
        <v>#REF!</v>
      </c>
      <c r="L67" s="1167" t="e">
        <f t="shared" si="0"/>
        <v>#REF!</v>
      </c>
      <c r="M67" s="1167" t="e">
        <f t="shared" si="1"/>
        <v>#REF!</v>
      </c>
      <c r="N67" s="1167" t="e">
        <f>L67+M67</f>
        <v>#REF!</v>
      </c>
      <c r="O67" s="1192" t="e">
        <f>ROUND(N67/I67*10,2)</f>
        <v>#REF!</v>
      </c>
    </row>
    <row r="68" spans="1:15" ht="16.5" x14ac:dyDescent="0.2">
      <c r="A68" s="1197" t="s">
        <v>18</v>
      </c>
      <c r="B68" s="1163"/>
      <c r="C68" s="1163"/>
      <c r="D68" s="1163"/>
      <c r="E68" s="1163"/>
      <c r="F68" s="1163"/>
      <c r="G68" s="1163"/>
      <c r="H68" s="1163"/>
      <c r="I68" s="1176"/>
      <c r="J68" s="1176"/>
      <c r="K68" s="1176"/>
      <c r="L68" s="1176"/>
      <c r="M68" s="1176"/>
      <c r="N68" s="1176"/>
      <c r="O68" s="1176"/>
    </row>
    <row r="69" spans="1:15" ht="16.5" x14ac:dyDescent="0.2">
      <c r="A69" s="1197" t="s">
        <v>18</v>
      </c>
      <c r="B69" s="1159"/>
      <c r="C69" s="1160" t="s">
        <v>526</v>
      </c>
      <c r="D69" s="1160" t="s">
        <v>581</v>
      </c>
      <c r="E69" s="1168">
        <f>Sales_FY24!$P$21</f>
        <v>510</v>
      </c>
      <c r="F69" s="1168">
        <f>Sales_FY24!$V$21</f>
        <v>383</v>
      </c>
      <c r="G69" s="1160">
        <f>ROUND(F69*6.21,0)</f>
        <v>2378</v>
      </c>
      <c r="H69" s="1162" t="s">
        <v>561</v>
      </c>
      <c r="I69" s="1167">
        <f>Sales_FY24!$Q$21</f>
        <v>11.72</v>
      </c>
      <c r="J69" s="1167" t="e">
        <f>+#REF!</f>
        <v>#REF!</v>
      </c>
      <c r="K69" s="1167" t="e">
        <f>+#REF!</f>
        <v>#REF!</v>
      </c>
      <c r="L69" s="1167" t="e">
        <f t="shared" si="0"/>
        <v>#REF!</v>
      </c>
      <c r="M69" s="1167" t="e">
        <f t="shared" si="1"/>
        <v>#REF!</v>
      </c>
      <c r="N69" s="1167" t="e">
        <f>L69+M69</f>
        <v>#REF!</v>
      </c>
      <c r="O69" s="1192"/>
    </row>
    <row r="70" spans="1:15" ht="16.5" x14ac:dyDescent="0.2">
      <c r="A70" s="1197" t="s">
        <v>18</v>
      </c>
      <c r="B70" s="1159"/>
      <c r="C70" s="1160"/>
      <c r="D70" s="1160" t="s">
        <v>582</v>
      </c>
      <c r="E70" s="1168"/>
      <c r="F70" s="1168"/>
      <c r="G70" s="1160"/>
      <c r="H70" s="1162"/>
      <c r="I70" s="1167"/>
      <c r="J70" s="1167" t="e">
        <f>+#REF!</f>
        <v>#REF!</v>
      </c>
      <c r="K70" s="1167"/>
      <c r="L70" s="1167"/>
      <c r="M70" s="1167"/>
      <c r="N70" s="1167"/>
      <c r="O70" s="1192"/>
    </row>
    <row r="71" spans="1:15" ht="16.5" x14ac:dyDescent="0.2">
      <c r="A71" s="1197" t="s">
        <v>18</v>
      </c>
      <c r="B71" s="1159"/>
      <c r="C71" s="1160"/>
      <c r="D71" s="1160" t="s">
        <v>583</v>
      </c>
      <c r="E71" s="1168"/>
      <c r="F71" s="1168"/>
      <c r="G71" s="1160"/>
      <c r="H71" s="1162"/>
      <c r="I71" s="1167"/>
      <c r="J71" s="1167" t="e">
        <f>+#REF!</f>
        <v>#REF!</v>
      </c>
      <c r="K71" s="1167"/>
      <c r="L71" s="1167"/>
      <c r="M71" s="1167"/>
      <c r="N71" s="1167"/>
      <c r="O71" s="1192"/>
    </row>
    <row r="72" spans="1:15" ht="16.5" x14ac:dyDescent="0.2">
      <c r="A72" s="1197" t="s">
        <v>18</v>
      </c>
      <c r="B72" s="1164"/>
      <c r="C72" s="1165"/>
      <c r="D72" s="1166" t="s">
        <v>486</v>
      </c>
      <c r="E72" s="1169">
        <f>SUM(E69:E71)</f>
        <v>510</v>
      </c>
      <c r="F72" s="1169">
        <f>SUM(F69:F71)</f>
        <v>383</v>
      </c>
      <c r="G72" s="1169">
        <f>SUM(G69:G71)</f>
        <v>2378</v>
      </c>
      <c r="H72" s="1165"/>
      <c r="I72" s="1170">
        <f>SUM(I69:I71)</f>
        <v>11.72</v>
      </c>
      <c r="J72" s="1170"/>
      <c r="K72" s="1170"/>
      <c r="L72" s="1170" t="e">
        <f>SUM(L69:L71)</f>
        <v>#REF!</v>
      </c>
      <c r="M72" s="1170" t="e">
        <f>SUM(M69:M71)</f>
        <v>#REF!</v>
      </c>
      <c r="N72" s="1170" t="e">
        <f>L72+M72</f>
        <v>#REF!</v>
      </c>
      <c r="O72" s="1177" t="e">
        <f>ROUND(N72/I72*10,2)</f>
        <v>#REF!</v>
      </c>
    </row>
    <row r="73" spans="1:15" ht="16.5" x14ac:dyDescent="0.2">
      <c r="A73" s="1197" t="s">
        <v>18</v>
      </c>
      <c r="B73" s="1164">
        <v>7</v>
      </c>
      <c r="C73" s="1165" t="s">
        <v>577</v>
      </c>
      <c r="D73" s="1165"/>
      <c r="E73" s="1169">
        <f>E65+E67+E72</f>
        <v>186511</v>
      </c>
      <c r="F73" s="1169">
        <f>F65+F67+F72</f>
        <v>181706</v>
      </c>
      <c r="G73" s="1169">
        <f>G65+G67+G72</f>
        <v>2419189</v>
      </c>
      <c r="H73" s="1165"/>
      <c r="I73" s="1170">
        <f>I65+I67+I72</f>
        <v>2314.73</v>
      </c>
      <c r="J73" s="1170"/>
      <c r="K73" s="1170"/>
      <c r="L73" s="1170" t="e">
        <f>L65+L67+L72</f>
        <v>#REF!</v>
      </c>
      <c r="M73" s="1170" t="e">
        <f>M65+M67+M72</f>
        <v>#REF!</v>
      </c>
      <c r="N73" s="1170" t="e">
        <f>L73+M73</f>
        <v>#REF!</v>
      </c>
      <c r="O73" s="1177" t="e">
        <f>ROUND(N73/I73*10,2)</f>
        <v>#REF!</v>
      </c>
    </row>
    <row r="74" spans="1:15" ht="16.5" x14ac:dyDescent="0.2">
      <c r="A74" s="1197" t="s">
        <v>18</v>
      </c>
      <c r="B74" s="1163"/>
      <c r="C74" s="1163"/>
      <c r="D74" s="1163"/>
      <c r="E74" s="1163"/>
      <c r="F74" s="1163"/>
      <c r="G74" s="1163"/>
      <c r="H74" s="1163"/>
      <c r="I74" s="1176"/>
      <c r="J74" s="1176"/>
      <c r="K74" s="1176"/>
      <c r="L74" s="1176"/>
      <c r="M74" s="1176"/>
      <c r="N74" s="1176"/>
      <c r="O74" s="1176"/>
    </row>
    <row r="75" spans="1:15" ht="16.5" x14ac:dyDescent="0.2">
      <c r="A75" s="1197" t="s">
        <v>18</v>
      </c>
      <c r="B75" s="1159"/>
      <c r="C75" s="1160" t="s">
        <v>584</v>
      </c>
      <c r="D75" s="1160" t="s">
        <v>586</v>
      </c>
      <c r="E75" s="1160">
        <f>ROUND(E77*99.54274%,0)</f>
        <v>1078507</v>
      </c>
      <c r="F75" s="1160">
        <f>ROUND(F77*99.54274%,0)</f>
        <v>1034476</v>
      </c>
      <c r="G75" s="1160">
        <f>ROUND(F75*6.355,0)</f>
        <v>6574095</v>
      </c>
      <c r="H75" s="1162" t="s">
        <v>561</v>
      </c>
      <c r="I75" s="1167">
        <f>ROUND(I77*99.62112%,2)</f>
        <v>345.23</v>
      </c>
      <c r="J75" s="1167" t="e">
        <f>+#REF!</f>
        <v>#REF!</v>
      </c>
      <c r="K75" s="1167" t="e">
        <f>+#REF!</f>
        <v>#REF!</v>
      </c>
      <c r="L75" s="1167" t="e">
        <f>ROUND(G75*J75*4/10000000,2)</f>
        <v>#REF!</v>
      </c>
      <c r="M75" s="1198" t="e">
        <f>ROUND(I75*1000000*K75/10000000,2)-ROUND(I75*1000000*K75/10000000,2)</f>
        <v>#REF!</v>
      </c>
      <c r="N75" s="1167" t="e">
        <f>L75+M75</f>
        <v>#REF!</v>
      </c>
      <c r="O75" s="1192"/>
    </row>
    <row r="76" spans="1:15" ht="16.5" x14ac:dyDescent="0.2">
      <c r="A76" s="1197" t="s">
        <v>18</v>
      </c>
      <c r="B76" s="1159"/>
      <c r="C76" s="1160" t="s">
        <v>585</v>
      </c>
      <c r="D76" s="1160" t="s">
        <v>586</v>
      </c>
      <c r="E76" s="1168">
        <f>E77-E75</f>
        <v>4954</v>
      </c>
      <c r="F76" s="1168">
        <f>F77-F75</f>
        <v>4752</v>
      </c>
      <c r="G76" s="1160">
        <f>ROUND(F76*6.35,0)</f>
        <v>30175</v>
      </c>
      <c r="H76" s="1162" t="s">
        <v>561</v>
      </c>
      <c r="I76" s="1167">
        <f>I77-I75</f>
        <v>1.3100000000000023</v>
      </c>
      <c r="J76" s="1167" t="e">
        <f>+#REF!</f>
        <v>#REF!</v>
      </c>
      <c r="K76" s="1167" t="e">
        <f>+#REF!</f>
        <v>#REF!</v>
      </c>
      <c r="L76" s="1167" t="e">
        <f>ROUND(G76*J76*12/10000000,2)</f>
        <v>#REF!</v>
      </c>
      <c r="M76" s="1167" t="e">
        <f>ROUND(I76*1000000*K76/10000000,2)</f>
        <v>#REF!</v>
      </c>
      <c r="N76" s="1167" t="e">
        <f>L76+M76</f>
        <v>#REF!</v>
      </c>
      <c r="O76" s="1192"/>
    </row>
    <row r="77" spans="1:15" ht="16.5" x14ac:dyDescent="0.2">
      <c r="A77" s="1197" t="s">
        <v>18</v>
      </c>
      <c r="B77" s="1164">
        <v>8</v>
      </c>
      <c r="C77" s="1165" t="s">
        <v>587</v>
      </c>
      <c r="D77" s="1165"/>
      <c r="E77" s="1169">
        <f>Sales_FY24!$P$22</f>
        <v>1083461</v>
      </c>
      <c r="F77" s="1169">
        <f>Sales_FY24!$V$22</f>
        <v>1039228</v>
      </c>
      <c r="G77" s="1169">
        <f>SUM(G75:G76)</f>
        <v>6604270</v>
      </c>
      <c r="H77" s="1165"/>
      <c r="I77" s="1170">
        <f>Sales_FY24!$Q$22</f>
        <v>346.54</v>
      </c>
      <c r="J77" s="1170"/>
      <c r="K77" s="1170"/>
      <c r="L77" s="1170" t="e">
        <f>SUM(L75:L76)</f>
        <v>#REF!</v>
      </c>
      <c r="M77" s="1170" t="e">
        <f>SUM(M75:M76)</f>
        <v>#REF!</v>
      </c>
      <c r="N77" s="1170" t="e">
        <f>L77+M77</f>
        <v>#REF!</v>
      </c>
      <c r="O77" s="1177" t="e">
        <f>ROUND(N77/I77*10,2)</f>
        <v>#REF!</v>
      </c>
    </row>
    <row r="78" spans="1:15" ht="16.5" x14ac:dyDescent="0.2">
      <c r="A78" s="1197" t="s">
        <v>18</v>
      </c>
      <c r="B78" s="1163"/>
      <c r="C78" s="1163"/>
      <c r="D78" s="1163"/>
      <c r="E78" s="1163"/>
      <c r="F78" s="1163"/>
      <c r="G78" s="1163"/>
      <c r="H78" s="1163"/>
      <c r="I78" s="1176"/>
      <c r="J78" s="1176"/>
      <c r="K78" s="1176"/>
      <c r="L78" s="1176"/>
      <c r="M78" s="1176"/>
      <c r="N78" s="1176"/>
      <c r="O78" s="1176"/>
    </row>
    <row r="79" spans="1:15" ht="16.5" x14ac:dyDescent="0.2">
      <c r="A79" s="1197" t="s">
        <v>18</v>
      </c>
      <c r="B79" s="1194"/>
      <c r="C79" s="1195" t="s">
        <v>588</v>
      </c>
      <c r="D79" s="1195"/>
      <c r="E79" s="1196">
        <f>E8+E21+E32+E41+E46+E61+E73+E77</f>
        <v>14424722</v>
      </c>
      <c r="F79" s="1196">
        <f>F8+F21+F32+F41+F46+F61+F73+F77</f>
        <v>14144977</v>
      </c>
      <c r="G79" s="1196">
        <f>G8+G21+G32+G41+G46+G61+G73+G77</f>
        <v>37243072</v>
      </c>
      <c r="H79" s="1195"/>
      <c r="I79" s="1193">
        <f>I8+I21+I32+I41+I46+I61+I73+I77</f>
        <v>20853.480000000003</v>
      </c>
      <c r="J79" s="1193"/>
      <c r="K79" s="1193"/>
      <c r="L79" s="1193" t="e">
        <f>L8+L21+L32+L41+L46+L61+L73+L77</f>
        <v>#REF!</v>
      </c>
      <c r="M79" s="1193" t="e">
        <f>M8+M21+M32+M41+M46+M61+M73+M77</f>
        <v>#REF!</v>
      </c>
      <c r="N79" s="1193" t="e">
        <f>L79+M79</f>
        <v>#REF!</v>
      </c>
      <c r="O79" s="1193" t="e">
        <f>ROUND(N79/I79*10,2)</f>
        <v>#REF!</v>
      </c>
    </row>
    <row r="80" spans="1:15" ht="16.5" x14ac:dyDescent="0.2">
      <c r="A80" s="1197" t="s">
        <v>18</v>
      </c>
      <c r="B80" s="1163"/>
      <c r="C80" s="1163"/>
      <c r="D80" s="1163"/>
      <c r="E80" s="1163"/>
      <c r="F80" s="1163"/>
      <c r="G80" s="1163"/>
      <c r="H80" s="1163"/>
      <c r="I80" s="1176"/>
      <c r="J80" s="1176"/>
      <c r="K80" s="1176"/>
      <c r="L80" s="1176"/>
      <c r="M80" s="1176"/>
      <c r="N80" s="1176"/>
      <c r="O80" s="1176"/>
    </row>
    <row r="81" spans="1:18" ht="16.5" x14ac:dyDescent="0.2">
      <c r="A81" s="1197" t="s">
        <v>18</v>
      </c>
      <c r="B81" s="1159">
        <v>9</v>
      </c>
      <c r="C81" s="1160" t="s">
        <v>16</v>
      </c>
      <c r="D81" s="1160" t="s">
        <v>589</v>
      </c>
      <c r="E81" s="1168">
        <f>Sales_FY24!$P$25</f>
        <v>320</v>
      </c>
      <c r="F81" s="1168">
        <f>Sales_FY24!$V$25</f>
        <v>312</v>
      </c>
      <c r="G81" s="1160">
        <f>ROUND(F81*714,0)</f>
        <v>222768</v>
      </c>
      <c r="H81" s="1162" t="s">
        <v>561</v>
      </c>
      <c r="I81" s="1167">
        <f>Sales_FY24!$Q$25</f>
        <v>916.09</v>
      </c>
      <c r="J81" s="1167" t="e">
        <f>+#REF!</f>
        <v>#REF!</v>
      </c>
      <c r="K81" s="1167" t="e">
        <f>+#REF!</f>
        <v>#REF!</v>
      </c>
      <c r="L81" s="1167" t="e">
        <f>ROUND((G81*85%)*J81*12/10000000,2)</f>
        <v>#REF!</v>
      </c>
      <c r="M81" s="1167" t="e">
        <f>ROUND(I81*1000000*K81/10000000,2)</f>
        <v>#REF!</v>
      </c>
      <c r="N81" s="1167" t="e">
        <f>L81+M81</f>
        <v>#REF!</v>
      </c>
      <c r="O81" s="1192" t="e">
        <f>ROUND(N81/I81*10,2)</f>
        <v>#REF!</v>
      </c>
    </row>
    <row r="82" spans="1:18" ht="16.5" x14ac:dyDescent="0.2">
      <c r="A82" s="1197" t="s">
        <v>18</v>
      </c>
      <c r="B82" s="1163"/>
      <c r="C82" s="1163"/>
      <c r="D82" s="1163"/>
      <c r="E82" s="1163"/>
      <c r="F82" s="1163"/>
      <c r="G82" s="1163"/>
      <c r="H82" s="1163"/>
      <c r="I82" s="1176"/>
      <c r="J82" s="1176"/>
      <c r="K82" s="1176"/>
      <c r="L82" s="1176"/>
      <c r="M82" s="1176"/>
      <c r="N82" s="1176"/>
      <c r="O82" s="1176"/>
    </row>
    <row r="83" spans="1:18" ht="16.5" x14ac:dyDescent="0.2">
      <c r="A83" s="1197" t="s">
        <v>18</v>
      </c>
      <c r="B83" s="1159"/>
      <c r="C83" s="1160" t="s">
        <v>593</v>
      </c>
      <c r="D83" s="1160" t="s">
        <v>589</v>
      </c>
      <c r="E83" s="1168">
        <f>E85</f>
        <v>4500</v>
      </c>
      <c r="F83" s="1168">
        <f>F85</f>
        <v>4410</v>
      </c>
      <c r="G83" s="1160">
        <f>ROUND(F83*450,0)</f>
        <v>1984500</v>
      </c>
      <c r="H83" s="1162" t="s">
        <v>591</v>
      </c>
      <c r="I83" s="1167">
        <f>ROUND(I85*36.7%,2)</f>
        <v>1023.81</v>
      </c>
      <c r="J83" s="1167" t="e">
        <f>+#REF!</f>
        <v>#REF!</v>
      </c>
      <c r="K83" s="1167" t="e">
        <f>+#REF!</f>
        <v>#REF!</v>
      </c>
      <c r="L83" s="1167" t="e">
        <f>ROUND((G83*85%)*J83*12/10000000,2)</f>
        <v>#REF!</v>
      </c>
      <c r="M83" s="1167" t="e">
        <f t="shared" ref="M83:M88" si="2">ROUND(I83*1000000*K83/10000000,2)</f>
        <v>#REF!</v>
      </c>
      <c r="N83" s="1167"/>
      <c r="O83" s="1192"/>
    </row>
    <row r="84" spans="1:18" ht="16.5" x14ac:dyDescent="0.2">
      <c r="A84" s="1197" t="s">
        <v>18</v>
      </c>
      <c r="B84" s="1159"/>
      <c r="C84" s="1160"/>
      <c r="D84" s="1160"/>
      <c r="E84" s="1168"/>
      <c r="F84" s="1168"/>
      <c r="G84" s="1160"/>
      <c r="H84" s="1162" t="s">
        <v>590</v>
      </c>
      <c r="I84" s="1167">
        <f>I85-I83</f>
        <v>1765.8600000000001</v>
      </c>
      <c r="J84" s="1167"/>
      <c r="K84" s="1167" t="e">
        <f>+#REF!</f>
        <v>#REF!</v>
      </c>
      <c r="L84" s="1167"/>
      <c r="M84" s="1167" t="e">
        <f t="shared" si="2"/>
        <v>#REF!</v>
      </c>
      <c r="N84" s="1167"/>
      <c r="O84" s="1192"/>
    </row>
    <row r="85" spans="1:18" ht="16.5" x14ac:dyDescent="0.2">
      <c r="A85" s="1197" t="s">
        <v>18</v>
      </c>
      <c r="B85" s="1164"/>
      <c r="C85" s="1165"/>
      <c r="D85" s="1166" t="s">
        <v>486</v>
      </c>
      <c r="E85" s="1169">
        <f>ROUND(E90*52.1%,0)</f>
        <v>4500</v>
      </c>
      <c r="F85" s="1169">
        <f>ROUND(F90*52.1%,0)</f>
        <v>4410</v>
      </c>
      <c r="G85" s="1169">
        <f>SUM(G83:G84)</f>
        <v>1984500</v>
      </c>
      <c r="H85" s="1165"/>
      <c r="I85" s="1170">
        <f>ROUND(I90*54.5%,2)</f>
        <v>2789.67</v>
      </c>
      <c r="J85" s="1170"/>
      <c r="K85" s="1170"/>
      <c r="L85" s="1170" t="e">
        <f>SUM(L83:L84)</f>
        <v>#REF!</v>
      </c>
      <c r="M85" s="1170" t="e">
        <f>SUM(M83:M84)</f>
        <v>#REF!</v>
      </c>
      <c r="N85" s="1170" t="e">
        <f>L85+M85</f>
        <v>#REF!</v>
      </c>
      <c r="O85" s="1177" t="e">
        <f>ROUND(N85/I85*10,2)</f>
        <v>#REF!</v>
      </c>
      <c r="R85" s="1224" t="e">
        <f>+N85-#REF!</f>
        <v>#REF!</v>
      </c>
    </row>
    <row r="86" spans="1:18" ht="16.5" x14ac:dyDescent="0.2">
      <c r="A86" s="1197" t="s">
        <v>18</v>
      </c>
      <c r="B86" s="1163"/>
      <c r="C86" s="1163"/>
      <c r="D86" s="1163"/>
      <c r="E86" s="1163"/>
      <c r="F86" s="1163"/>
      <c r="G86" s="1163"/>
      <c r="H86" s="1163"/>
      <c r="I86" s="1176"/>
      <c r="J86" s="1176"/>
      <c r="K86" s="1176"/>
      <c r="L86" s="1176"/>
      <c r="M86" s="1176"/>
      <c r="N86" s="1176"/>
      <c r="O86" s="1176"/>
    </row>
    <row r="87" spans="1:18" ht="16.5" x14ac:dyDescent="0.2">
      <c r="A87" s="1197" t="s">
        <v>18</v>
      </c>
      <c r="B87" s="1159"/>
      <c r="C87" s="1160" t="s">
        <v>594</v>
      </c>
      <c r="D87" s="1160" t="s">
        <v>589</v>
      </c>
      <c r="E87" s="1168">
        <f>E89</f>
        <v>4137</v>
      </c>
      <c r="F87" s="1168">
        <f>F89</f>
        <v>4055</v>
      </c>
      <c r="G87" s="1160">
        <f>ROUND(F87*456,0)</f>
        <v>1849080</v>
      </c>
      <c r="H87" s="1162" t="s">
        <v>591</v>
      </c>
      <c r="I87" s="1167">
        <f>ROUND(I89*39.5%,2)</f>
        <v>919.95</v>
      </c>
      <c r="J87" s="1167">
        <v>275</v>
      </c>
      <c r="K87" s="1167">
        <v>7.5</v>
      </c>
      <c r="L87" s="1167">
        <f>ROUND((G87*85%)*J87*12/10000000,2)</f>
        <v>518.66999999999996</v>
      </c>
      <c r="M87" s="1167">
        <f t="shared" si="2"/>
        <v>689.96</v>
      </c>
      <c r="N87" s="1167"/>
      <c r="O87" s="1192"/>
    </row>
    <row r="88" spans="1:18" ht="16.5" x14ac:dyDescent="0.2">
      <c r="A88" s="1197" t="s">
        <v>18</v>
      </c>
      <c r="B88" s="1159"/>
      <c r="C88" s="1160"/>
      <c r="D88" s="1160"/>
      <c r="E88" s="1168"/>
      <c r="F88" s="1168"/>
      <c r="G88" s="1160"/>
      <c r="H88" s="1162" t="s">
        <v>590</v>
      </c>
      <c r="I88" s="1167">
        <f>I89-I87</f>
        <v>1409.0399999999997</v>
      </c>
      <c r="J88" s="1167"/>
      <c r="K88" s="1167">
        <v>7.8</v>
      </c>
      <c r="L88" s="1167"/>
      <c r="M88" s="1167">
        <f t="shared" si="2"/>
        <v>1099.05</v>
      </c>
      <c r="N88" s="1167"/>
      <c r="O88" s="1192"/>
    </row>
    <row r="89" spans="1:18" ht="16.5" x14ac:dyDescent="0.2">
      <c r="A89" s="1197" t="s">
        <v>18</v>
      </c>
      <c r="B89" s="1164"/>
      <c r="C89" s="1165"/>
      <c r="D89" s="1166" t="s">
        <v>486</v>
      </c>
      <c r="E89" s="1169">
        <f>E90-E85</f>
        <v>4137</v>
      </c>
      <c r="F89" s="1169">
        <f>F90-F85</f>
        <v>4055</v>
      </c>
      <c r="G89" s="1169">
        <f>SUM(G87:G88)</f>
        <v>1849080</v>
      </c>
      <c r="H89" s="1165"/>
      <c r="I89" s="1170">
        <f>I90-I85</f>
        <v>2328.9899999999998</v>
      </c>
      <c r="J89" s="1170"/>
      <c r="K89" s="1170"/>
      <c r="L89" s="1170">
        <f>SUM(L87:L88)</f>
        <v>518.66999999999996</v>
      </c>
      <c r="M89" s="1170">
        <f>SUM(M87:M88)</f>
        <v>1789.01</v>
      </c>
      <c r="N89" s="1170">
        <f>L89+M89</f>
        <v>2307.6799999999998</v>
      </c>
      <c r="O89" s="1177">
        <f>ROUND(N89/I89*10,2)</f>
        <v>9.91</v>
      </c>
      <c r="R89" s="1224" t="e">
        <f>+N89-#REF!</f>
        <v>#REF!</v>
      </c>
    </row>
    <row r="90" spans="1:18" ht="16.5" x14ac:dyDescent="0.2">
      <c r="A90" s="1197" t="s">
        <v>18</v>
      </c>
      <c r="B90" s="1164">
        <v>10</v>
      </c>
      <c r="C90" s="1165" t="s">
        <v>592</v>
      </c>
      <c r="D90" s="1165"/>
      <c r="E90" s="1169">
        <f>Sales_FY24!$P$26</f>
        <v>8637</v>
      </c>
      <c r="F90" s="1169">
        <f>Sales_FY24!$V$26</f>
        <v>8465</v>
      </c>
      <c r="G90" s="1169">
        <f>G85+G89</f>
        <v>3833580</v>
      </c>
      <c r="H90" s="1165"/>
      <c r="I90" s="1170">
        <f>Sales_FY24!$Q$26</f>
        <v>5118.66</v>
      </c>
      <c r="J90" s="1170"/>
      <c r="K90" s="1170"/>
      <c r="L90" s="1169" t="e">
        <f>L85+L89</f>
        <v>#REF!</v>
      </c>
      <c r="M90" s="1169" t="e">
        <f>M85+M89</f>
        <v>#REF!</v>
      </c>
      <c r="N90" s="1170" t="e">
        <f>L90+M90</f>
        <v>#REF!</v>
      </c>
      <c r="O90" s="1177" t="e">
        <f>ROUND(N90/I90*10,2)</f>
        <v>#REF!</v>
      </c>
    </row>
    <row r="91" spans="1:18" ht="16.5" x14ac:dyDescent="0.2">
      <c r="A91" s="1197" t="s">
        <v>18</v>
      </c>
      <c r="B91" s="1163"/>
      <c r="C91" s="1163"/>
      <c r="D91" s="1163"/>
      <c r="E91" s="1163"/>
      <c r="F91" s="1163"/>
      <c r="G91" s="1163"/>
      <c r="H91" s="1163"/>
      <c r="I91" s="1176"/>
      <c r="J91" s="1176"/>
      <c r="K91" s="1176"/>
      <c r="L91" s="1176"/>
      <c r="M91" s="1176"/>
      <c r="N91" s="1176"/>
      <c r="O91" s="1176"/>
    </row>
    <row r="92" spans="1:18" ht="16.5" x14ac:dyDescent="0.2">
      <c r="A92" s="1197" t="s">
        <v>18</v>
      </c>
      <c r="B92" s="1159"/>
      <c r="C92" s="1160" t="s">
        <v>596</v>
      </c>
      <c r="D92" s="1160" t="s">
        <v>589</v>
      </c>
      <c r="E92" s="1168">
        <f>E94</f>
        <v>8183</v>
      </c>
      <c r="F92" s="1168">
        <f>F94</f>
        <v>7994</v>
      </c>
      <c r="G92" s="1160">
        <f>ROUND(F92*335,0)</f>
        <v>2677990</v>
      </c>
      <c r="H92" s="1162" t="s">
        <v>598</v>
      </c>
      <c r="I92" s="1167">
        <f>ROUND(I94*65.5%,2)</f>
        <v>1327.28</v>
      </c>
      <c r="J92" s="1167" t="e">
        <f>+#REF!</f>
        <v>#REF!</v>
      </c>
      <c r="K92" s="1167" t="e">
        <f>+#REF!</f>
        <v>#REF!</v>
      </c>
      <c r="L92" s="1167" t="e">
        <f>ROUND((G92*85%)*J92*12/10000000,2)</f>
        <v>#REF!</v>
      </c>
      <c r="M92" s="1167" t="e">
        <f>ROUND(I92*1000000*K92/10000000,2)</f>
        <v>#REF!</v>
      </c>
      <c r="N92" s="1167"/>
      <c r="O92" s="1192"/>
    </row>
    <row r="93" spans="1:18" ht="16.5" x14ac:dyDescent="0.2">
      <c r="A93" s="1197" t="s">
        <v>18</v>
      </c>
      <c r="B93" s="1159"/>
      <c r="C93" s="1160"/>
      <c r="D93" s="1160"/>
      <c r="E93" s="1168"/>
      <c r="F93" s="1168"/>
      <c r="G93" s="1160"/>
      <c r="H93" s="1162" t="s">
        <v>599</v>
      </c>
      <c r="I93" s="1167">
        <f>I94-I92</f>
        <v>699.10000000000014</v>
      </c>
      <c r="J93" s="1167"/>
      <c r="K93" s="1167" t="e">
        <f>+#REF!</f>
        <v>#REF!</v>
      </c>
      <c r="L93" s="1167"/>
      <c r="M93" s="1167" t="e">
        <f>ROUND(I93*1000000*K93/10000000,2)</f>
        <v>#REF!</v>
      </c>
      <c r="N93" s="1167"/>
      <c r="O93" s="1192"/>
    </row>
    <row r="94" spans="1:18" ht="16.5" x14ac:dyDescent="0.2">
      <c r="A94" s="1197" t="s">
        <v>18</v>
      </c>
      <c r="B94" s="1164"/>
      <c r="C94" s="1165"/>
      <c r="D94" s="1166" t="s">
        <v>486</v>
      </c>
      <c r="E94" s="1169">
        <f>ROUND(E99*90.68%,0)</f>
        <v>8183</v>
      </c>
      <c r="F94" s="1169">
        <f>ROUND(F99*90.68%,0)</f>
        <v>7994</v>
      </c>
      <c r="G94" s="1169">
        <f>SUM(G92:G93)</f>
        <v>2677990</v>
      </c>
      <c r="H94" s="1165"/>
      <c r="I94" s="1170">
        <f>ROUND(I99*91.75%,2)</f>
        <v>2026.38</v>
      </c>
      <c r="J94" s="1170"/>
      <c r="K94" s="1170"/>
      <c r="L94" s="1170" t="e">
        <f>SUM(L92:L93)</f>
        <v>#REF!</v>
      </c>
      <c r="M94" s="1170" t="e">
        <f>SUM(M92:M93)</f>
        <v>#REF!</v>
      </c>
      <c r="N94" s="1170" t="e">
        <f>L94+M94</f>
        <v>#REF!</v>
      </c>
      <c r="O94" s="1177" t="e">
        <f>ROUND(N94/I94*10,2)</f>
        <v>#REF!</v>
      </c>
      <c r="R94" s="1224" t="e">
        <f>+N94-#REF!</f>
        <v>#REF!</v>
      </c>
    </row>
    <row r="95" spans="1:18" ht="16.5" x14ac:dyDescent="0.2">
      <c r="A95" s="1197" t="s">
        <v>18</v>
      </c>
      <c r="B95" s="1163"/>
      <c r="C95" s="1163"/>
      <c r="D95" s="1163"/>
      <c r="E95" s="1163"/>
      <c r="F95" s="1163"/>
      <c r="G95" s="1163"/>
      <c r="H95" s="1163"/>
      <c r="I95" s="1176"/>
      <c r="J95" s="1176"/>
      <c r="K95" s="1176"/>
      <c r="L95" s="1176"/>
      <c r="M95" s="1176"/>
      <c r="N95" s="1176"/>
      <c r="O95" s="1176"/>
    </row>
    <row r="96" spans="1:18" ht="16.5" x14ac:dyDescent="0.2">
      <c r="A96" s="1197" t="s">
        <v>18</v>
      </c>
      <c r="B96" s="1159"/>
      <c r="C96" s="1160" t="s">
        <v>597</v>
      </c>
      <c r="D96" s="1160" t="s">
        <v>589</v>
      </c>
      <c r="E96" s="1168">
        <f>E98</f>
        <v>841</v>
      </c>
      <c r="F96" s="1168">
        <f>F98</f>
        <v>822</v>
      </c>
      <c r="G96" s="1160">
        <f>ROUND(F96*205,0)</f>
        <v>168510</v>
      </c>
      <c r="H96" s="1162" t="s">
        <v>598</v>
      </c>
      <c r="I96" s="1167">
        <f>ROUND(I98*87%,2)</f>
        <v>158.52000000000001</v>
      </c>
      <c r="J96" s="1167">
        <v>300</v>
      </c>
      <c r="K96" s="1167">
        <v>9.3000000000000007</v>
      </c>
      <c r="L96" s="1167">
        <f>ROUND((G96*85%)*J96*12/10000000,2)</f>
        <v>51.56</v>
      </c>
      <c r="M96" s="1167">
        <f>ROUND(I96*1000000*K96/10000000,2)</f>
        <v>147.41999999999999</v>
      </c>
      <c r="N96" s="1167"/>
      <c r="O96" s="1192"/>
    </row>
    <row r="97" spans="1:18" ht="16.5" x14ac:dyDescent="0.2">
      <c r="A97" s="1197" t="s">
        <v>18</v>
      </c>
      <c r="B97" s="1159"/>
      <c r="C97" s="1160"/>
      <c r="D97" s="1160"/>
      <c r="E97" s="1168"/>
      <c r="F97" s="1168"/>
      <c r="G97" s="1160"/>
      <c r="H97" s="1162" t="s">
        <v>599</v>
      </c>
      <c r="I97" s="1167">
        <f>I98-I96</f>
        <v>23.690000000000026</v>
      </c>
      <c r="J97" s="1167"/>
      <c r="K97" s="1167">
        <v>9.4</v>
      </c>
      <c r="L97" s="1167"/>
      <c r="M97" s="1167">
        <f>ROUND(I97*1000000*K97/10000000,2)</f>
        <v>22.27</v>
      </c>
      <c r="N97" s="1167"/>
      <c r="O97" s="1192"/>
    </row>
    <row r="98" spans="1:18" ht="16.5" x14ac:dyDescent="0.2">
      <c r="A98" s="1197" t="s">
        <v>18</v>
      </c>
      <c r="B98" s="1164"/>
      <c r="C98" s="1165"/>
      <c r="D98" s="1166" t="s">
        <v>486</v>
      </c>
      <c r="E98" s="1169">
        <f>E99-E94</f>
        <v>841</v>
      </c>
      <c r="F98" s="1169">
        <f>F99-F94</f>
        <v>822</v>
      </c>
      <c r="G98" s="1169">
        <f>SUM(G96:G97)</f>
        <v>168510</v>
      </c>
      <c r="H98" s="1165"/>
      <c r="I98" s="1170">
        <f>I99-I94</f>
        <v>182.21000000000004</v>
      </c>
      <c r="J98" s="1170"/>
      <c r="K98" s="1170"/>
      <c r="L98" s="1170">
        <f>SUM(L96:L97)</f>
        <v>51.56</v>
      </c>
      <c r="M98" s="1170">
        <f>SUM(M96:M97)</f>
        <v>169.69</v>
      </c>
      <c r="N98" s="1170">
        <f>L98+M98</f>
        <v>221.25</v>
      </c>
      <c r="O98" s="1177">
        <f>ROUND(N98/I98*10,2)</f>
        <v>12.14</v>
      </c>
      <c r="R98" s="1224" t="e">
        <f>+N98-#REF!</f>
        <v>#REF!</v>
      </c>
    </row>
    <row r="99" spans="1:18" ht="16.5" x14ac:dyDescent="0.2">
      <c r="A99" s="1197" t="s">
        <v>18</v>
      </c>
      <c r="B99" s="1164">
        <v>11</v>
      </c>
      <c r="C99" s="1165" t="s">
        <v>595</v>
      </c>
      <c r="D99" s="1165"/>
      <c r="E99" s="1169">
        <f>Sales_FY24!$P$27</f>
        <v>9024</v>
      </c>
      <c r="F99" s="1169">
        <f>Sales_FY24!$V$27</f>
        <v>8816</v>
      </c>
      <c r="G99" s="1169">
        <f>G94+G98</f>
        <v>2846500</v>
      </c>
      <c r="H99" s="1165"/>
      <c r="I99" s="1170">
        <f>Sales_FY24!$Q$27</f>
        <v>2208.59</v>
      </c>
      <c r="J99" s="1170"/>
      <c r="K99" s="1170"/>
      <c r="L99" s="1170" t="e">
        <f>L94+L98</f>
        <v>#REF!</v>
      </c>
      <c r="M99" s="1170" t="e">
        <f>M94+M98</f>
        <v>#REF!</v>
      </c>
      <c r="N99" s="1170" t="e">
        <f>L99+M99</f>
        <v>#REF!</v>
      </c>
      <c r="O99" s="1177" t="e">
        <f>ROUND(N99/I99*10,2)</f>
        <v>#REF!</v>
      </c>
    </row>
    <row r="100" spans="1:18" ht="16.5" x14ac:dyDescent="0.2">
      <c r="A100" s="1197" t="s">
        <v>18</v>
      </c>
      <c r="B100" s="1163"/>
      <c r="C100" s="1163"/>
      <c r="D100" s="1163"/>
      <c r="E100" s="1163"/>
      <c r="F100" s="1163"/>
      <c r="G100" s="1163"/>
      <c r="H100" s="1163"/>
      <c r="I100" s="1176"/>
      <c r="J100" s="1176"/>
      <c r="K100" s="1176"/>
      <c r="L100" s="1176"/>
      <c r="M100" s="1176"/>
      <c r="N100" s="1176"/>
      <c r="O100" s="1176"/>
    </row>
    <row r="101" spans="1:18" ht="16.5" x14ac:dyDescent="0.2">
      <c r="A101" s="1197" t="s">
        <v>18</v>
      </c>
      <c r="B101" s="1159"/>
      <c r="C101" s="1160" t="s">
        <v>601</v>
      </c>
      <c r="D101" s="1160" t="s">
        <v>589</v>
      </c>
      <c r="E101" s="1168">
        <f>E103</f>
        <v>457</v>
      </c>
      <c r="F101" s="1168">
        <f>F103</f>
        <v>438</v>
      </c>
      <c r="G101" s="1160">
        <f>ROUND(F101*195,0)</f>
        <v>85410</v>
      </c>
      <c r="H101" s="1162" t="s">
        <v>591</v>
      </c>
      <c r="I101" s="1167">
        <f>ROUND(I103*32%,2)</f>
        <v>59.1</v>
      </c>
      <c r="J101" s="1167" t="e">
        <f>+#REF!</f>
        <v>#REF!</v>
      </c>
      <c r="K101" s="1167" t="e">
        <f>+#REF!</f>
        <v>#REF!</v>
      </c>
      <c r="L101" s="1167" t="e">
        <f>ROUND((G101*85%)*J101*12/10000000,2)</f>
        <v>#REF!</v>
      </c>
      <c r="M101" s="1167" t="e">
        <f>ROUND(I101*1000000*K101/10000000,2)</f>
        <v>#REF!</v>
      </c>
      <c r="N101" s="1167"/>
      <c r="O101" s="1192"/>
    </row>
    <row r="102" spans="1:18" ht="16.5" x14ac:dyDescent="0.2">
      <c r="A102" s="1197" t="s">
        <v>18</v>
      </c>
      <c r="B102" s="1159"/>
      <c r="C102" s="1160"/>
      <c r="D102" s="1160"/>
      <c r="E102" s="1168"/>
      <c r="F102" s="1168"/>
      <c r="G102" s="1160"/>
      <c r="H102" s="1162" t="s">
        <v>590</v>
      </c>
      <c r="I102" s="1167">
        <f>I103-I101</f>
        <v>125.58000000000001</v>
      </c>
      <c r="J102" s="1167"/>
      <c r="K102" s="1167" t="e">
        <f>+#REF!</f>
        <v>#REF!</v>
      </c>
      <c r="L102" s="1167"/>
      <c r="M102" s="1167" t="e">
        <f>ROUND(I102*1000000*K102/10000000,2)</f>
        <v>#REF!</v>
      </c>
      <c r="N102" s="1167"/>
      <c r="O102" s="1192"/>
    </row>
    <row r="103" spans="1:18" ht="16.5" x14ac:dyDescent="0.2">
      <c r="A103" s="1197" t="s">
        <v>18</v>
      </c>
      <c r="B103" s="1164"/>
      <c r="C103" s="1165"/>
      <c r="D103" s="1166" t="s">
        <v>486</v>
      </c>
      <c r="E103" s="1169">
        <f>ROUND(E108*39.75%,0)</f>
        <v>457</v>
      </c>
      <c r="F103" s="1169">
        <f>ROUND(F108*39.75%,0)</f>
        <v>438</v>
      </c>
      <c r="G103" s="1169">
        <f>SUM(G101:G102)</f>
        <v>85410</v>
      </c>
      <c r="H103" s="1165"/>
      <c r="I103" s="1170">
        <f>ROUND(I108*50.1%,2)</f>
        <v>184.68</v>
      </c>
      <c r="J103" s="1170"/>
      <c r="K103" s="1170"/>
      <c r="L103" s="1170" t="e">
        <f>SUM(L101:L102)</f>
        <v>#REF!</v>
      </c>
      <c r="M103" s="1170" t="e">
        <f>SUM(M101:M102)</f>
        <v>#REF!</v>
      </c>
      <c r="N103" s="1170" t="e">
        <f>L103+M103</f>
        <v>#REF!</v>
      </c>
      <c r="O103" s="1177" t="e">
        <f>ROUND(N103/I103*10,2)</f>
        <v>#REF!</v>
      </c>
    </row>
    <row r="104" spans="1:18" ht="16.5" x14ac:dyDescent="0.2">
      <c r="A104" s="1197" t="s">
        <v>18</v>
      </c>
      <c r="B104" s="1163"/>
      <c r="C104" s="1163"/>
      <c r="D104" s="1163"/>
      <c r="E104" s="1163"/>
      <c r="F104" s="1163"/>
      <c r="G104" s="1163"/>
      <c r="H104" s="1163"/>
      <c r="I104" s="1176"/>
      <c r="J104" s="1176"/>
      <c r="K104" s="1176"/>
      <c r="L104" s="1176"/>
      <c r="M104" s="1176"/>
      <c r="N104" s="1176"/>
      <c r="O104" s="1176"/>
    </row>
    <row r="105" spans="1:18" ht="16.5" x14ac:dyDescent="0.2">
      <c r="A105" s="1197" t="s">
        <v>18</v>
      </c>
      <c r="B105" s="1159"/>
      <c r="C105" s="1160" t="s">
        <v>602</v>
      </c>
      <c r="D105" s="1160" t="s">
        <v>589</v>
      </c>
      <c r="E105" s="1168">
        <f>E107</f>
        <v>692</v>
      </c>
      <c r="F105" s="1168">
        <f>F107</f>
        <v>665</v>
      </c>
      <c r="G105" s="1160">
        <f>ROUND(F105*230,0)</f>
        <v>152950</v>
      </c>
      <c r="H105" s="1162" t="s">
        <v>591</v>
      </c>
      <c r="I105" s="1167">
        <f>ROUND(I107*65%,2)</f>
        <v>119.56</v>
      </c>
      <c r="J105" s="1167" t="e">
        <f>+#REF!</f>
        <v>#REF!</v>
      </c>
      <c r="K105" s="1167" t="e">
        <f>+#REF!</f>
        <v>#REF!</v>
      </c>
      <c r="L105" s="1167" t="e">
        <f>ROUND((G105*85%)*J105*12/10000000,2)</f>
        <v>#REF!</v>
      </c>
      <c r="M105" s="1167" t="e">
        <f>ROUND(I105*1000000*K105/10000000,2)</f>
        <v>#REF!</v>
      </c>
      <c r="N105" s="1167"/>
      <c r="O105" s="1192"/>
    </row>
    <row r="106" spans="1:18" ht="16.5" x14ac:dyDescent="0.2">
      <c r="A106" s="1197" t="s">
        <v>18</v>
      </c>
      <c r="B106" s="1159"/>
      <c r="C106" s="1160"/>
      <c r="D106" s="1160"/>
      <c r="E106" s="1168"/>
      <c r="F106" s="1168"/>
      <c r="G106" s="1160"/>
      <c r="H106" s="1162" t="s">
        <v>590</v>
      </c>
      <c r="I106" s="1167">
        <f>I107-I105</f>
        <v>64.38</v>
      </c>
      <c r="J106" s="1167"/>
      <c r="K106" s="1167" t="e">
        <f>+#REF!</f>
        <v>#REF!</v>
      </c>
      <c r="L106" s="1167"/>
      <c r="M106" s="1167" t="e">
        <f>ROUND(I106*1000000*K106/10000000,2)</f>
        <v>#REF!</v>
      </c>
      <c r="N106" s="1167"/>
      <c r="O106" s="1192"/>
    </row>
    <row r="107" spans="1:18" ht="16.5" x14ac:dyDescent="0.2">
      <c r="A107" s="1197" t="s">
        <v>18</v>
      </c>
      <c r="B107" s="1164"/>
      <c r="C107" s="1165"/>
      <c r="D107" s="1166" t="s">
        <v>486</v>
      </c>
      <c r="E107" s="1169">
        <f>E108-E103</f>
        <v>692</v>
      </c>
      <c r="F107" s="1169">
        <f>F108-F103</f>
        <v>665</v>
      </c>
      <c r="G107" s="1169">
        <f>SUM(G105:G106)</f>
        <v>152950</v>
      </c>
      <c r="H107" s="1165"/>
      <c r="I107" s="1170">
        <f>I108-I103</f>
        <v>183.94</v>
      </c>
      <c r="J107" s="1170"/>
      <c r="K107" s="1170"/>
      <c r="L107" s="1170" t="e">
        <f>SUM(L105:L106)</f>
        <v>#REF!</v>
      </c>
      <c r="M107" s="1170" t="e">
        <f>SUM(M105:M106)</f>
        <v>#REF!</v>
      </c>
      <c r="N107" s="1170" t="e">
        <f>L107+M107</f>
        <v>#REF!</v>
      </c>
      <c r="O107" s="1177" t="e">
        <f>ROUND(N107/I107*10,2)</f>
        <v>#REF!</v>
      </c>
    </row>
    <row r="108" spans="1:18" ht="16.5" x14ac:dyDescent="0.2">
      <c r="A108" s="1197" t="s">
        <v>18</v>
      </c>
      <c r="B108" s="1164">
        <v>12</v>
      </c>
      <c r="C108" s="1165" t="s">
        <v>600</v>
      </c>
      <c r="D108" s="1165"/>
      <c r="E108" s="1169">
        <f>Sales_FY24!$P$28</f>
        <v>1149</v>
      </c>
      <c r="F108" s="1169">
        <f>Sales_FY24!$V$28</f>
        <v>1103</v>
      </c>
      <c r="G108" s="1169">
        <f>G103+G107</f>
        <v>238360</v>
      </c>
      <c r="H108" s="1165"/>
      <c r="I108" s="1170">
        <f>Sales_FY24!$Q$28</f>
        <v>368.62</v>
      </c>
      <c r="J108" s="1170"/>
      <c r="K108" s="1170"/>
      <c r="L108" s="1170" t="e">
        <f>L103+L107</f>
        <v>#REF!</v>
      </c>
      <c r="M108" s="1170" t="e">
        <f>M103+M107</f>
        <v>#REF!</v>
      </c>
      <c r="N108" s="1170" t="e">
        <f>L108+M108</f>
        <v>#REF!</v>
      </c>
      <c r="O108" s="1177" t="e">
        <f>ROUND(N108/I108*10,2)</f>
        <v>#REF!</v>
      </c>
    </row>
    <row r="109" spans="1:18" ht="16.5" x14ac:dyDescent="0.2">
      <c r="A109" s="1197" t="s">
        <v>18</v>
      </c>
      <c r="B109" s="1163"/>
      <c r="C109" s="1163"/>
      <c r="D109" s="1163"/>
      <c r="E109" s="1163"/>
      <c r="F109" s="1163"/>
      <c r="G109" s="1163"/>
      <c r="H109" s="1163"/>
      <c r="I109" s="1176"/>
      <c r="J109" s="1176"/>
      <c r="K109" s="1176"/>
      <c r="L109" s="1176"/>
      <c r="M109" s="1176"/>
      <c r="N109" s="1176"/>
      <c r="O109" s="1176"/>
    </row>
    <row r="110" spans="1:18" ht="16.5" x14ac:dyDescent="0.2">
      <c r="A110" s="1197" t="s">
        <v>18</v>
      </c>
      <c r="B110" s="1159"/>
      <c r="C110" s="1160" t="s">
        <v>612</v>
      </c>
      <c r="D110" s="1160" t="s">
        <v>604</v>
      </c>
      <c r="E110" s="1168">
        <f>ROUND(E114*76.4045%,0)</f>
        <v>72</v>
      </c>
      <c r="F110" s="1168">
        <f>ROUND(F114*76.4045%,0)</f>
        <v>68</v>
      </c>
      <c r="G110" s="1160">
        <f>ROUND(F110*1365,0)</f>
        <v>92820</v>
      </c>
      <c r="H110" s="1162" t="s">
        <v>561</v>
      </c>
      <c r="I110" s="1167">
        <f>ROUND(I114*99.22522%,2)</f>
        <v>202.35</v>
      </c>
      <c r="J110" s="1167" t="e">
        <f>+#REF!</f>
        <v>#REF!</v>
      </c>
      <c r="K110" s="1167" t="e">
        <f>+#REF!</f>
        <v>#REF!</v>
      </c>
      <c r="L110" s="1167" t="e">
        <f>IF((ROUND(G110*J110*1/10000000,2))&gt;(ROUND(I110*1000000*K110/10000000,2)),(ROUND(G110*J110*1/10000000,2)),0)</f>
        <v>#REF!</v>
      </c>
      <c r="M110" s="1167" t="e">
        <f>IF((ROUND(I110*1000000*K110/10000000,2))&gt;(ROUND(G110*J110*1/10000000,2)),(ROUND(I110*1000000*K110/10000000,2)),0)</f>
        <v>#REF!</v>
      </c>
      <c r="N110" s="1167" t="e">
        <f>L110+M110</f>
        <v>#REF!</v>
      </c>
      <c r="O110" s="1192" t="e">
        <f>ROUND(N110/I110*10,2)</f>
        <v>#REF!</v>
      </c>
    </row>
    <row r="111" spans="1:18" ht="16.5" x14ac:dyDescent="0.2">
      <c r="A111" s="1197" t="s">
        <v>18</v>
      </c>
      <c r="B111" s="1159"/>
      <c r="C111" s="1160" t="s">
        <v>613</v>
      </c>
      <c r="D111" s="1160" t="s">
        <v>604</v>
      </c>
      <c r="E111" s="1168">
        <f>ROUND(E114*2.24719%,0)</f>
        <v>2</v>
      </c>
      <c r="F111" s="1168">
        <f>ROUND(F114*2.24719%,0)</f>
        <v>2</v>
      </c>
      <c r="G111" s="1160">
        <f>ROUND(F111*895,0)</f>
        <v>1790</v>
      </c>
      <c r="H111" s="1162" t="s">
        <v>561</v>
      </c>
      <c r="I111" s="1167">
        <f>ROUND(I114*0.0245%,2)</f>
        <v>0.05</v>
      </c>
      <c r="J111" s="1167" t="e">
        <f>+#REF!</f>
        <v>#REF!</v>
      </c>
      <c r="K111" s="1167" t="e">
        <f>+#REF!</f>
        <v>#REF!</v>
      </c>
      <c r="L111" s="1167" t="e">
        <f>ROUND(G111*J111*12/10000000,2)</f>
        <v>#REF!</v>
      </c>
      <c r="M111" s="1167" t="e">
        <f>ROUND(I111*1000000*K111/10000000,2)</f>
        <v>#REF!</v>
      </c>
      <c r="N111" s="1167" t="e">
        <f>L111+M111</f>
        <v>#REF!</v>
      </c>
      <c r="O111" s="1192" t="e">
        <f>ROUND(N111/I111*10,2)</f>
        <v>#REF!</v>
      </c>
    </row>
    <row r="112" spans="1:18" ht="16.5" x14ac:dyDescent="0.2">
      <c r="A112" s="1197" t="s">
        <v>18</v>
      </c>
      <c r="B112" s="1159"/>
      <c r="C112" s="1160" t="s">
        <v>614</v>
      </c>
      <c r="D112" s="1160" t="s">
        <v>604</v>
      </c>
      <c r="E112" s="1168">
        <f>ROUND(E114*1.1236%,0)</f>
        <v>1</v>
      </c>
      <c r="F112" s="1168">
        <f>ROUND(F114*1.1236%,0)</f>
        <v>1</v>
      </c>
      <c r="G112" s="1160">
        <f>ROUND(F112*500,0)</f>
        <v>500</v>
      </c>
      <c r="H112" s="1162" t="s">
        <v>561</v>
      </c>
      <c r="I112" s="1167">
        <f>ROUND(I114*0.00409036%,2)</f>
        <v>0.01</v>
      </c>
      <c r="J112" s="1167" t="e">
        <f>+#REF!</f>
        <v>#REF!</v>
      </c>
      <c r="K112" s="1167" t="e">
        <f>+#REF!</f>
        <v>#REF!</v>
      </c>
      <c r="L112" s="1167" t="e">
        <f>ROUND(G112*J112*12/10000000,2)</f>
        <v>#REF!</v>
      </c>
      <c r="M112" s="1167" t="e">
        <f>ROUND(I112*1000000*K112/10000000,2)</f>
        <v>#REF!</v>
      </c>
      <c r="N112" s="1167" t="e">
        <f>L112+M112</f>
        <v>#REF!</v>
      </c>
      <c r="O112" s="1192" t="e">
        <f>ROUND(N112/I112*10,2)</f>
        <v>#REF!</v>
      </c>
    </row>
    <row r="113" spans="1:15" ht="16.5" x14ac:dyDescent="0.2">
      <c r="A113" s="1197" t="s">
        <v>18</v>
      </c>
      <c r="B113" s="1159"/>
      <c r="C113" s="1160" t="s">
        <v>615</v>
      </c>
      <c r="D113" s="1160" t="s">
        <v>604</v>
      </c>
      <c r="E113" s="1168">
        <f>+E114-E110-E111-E112</f>
        <v>19</v>
      </c>
      <c r="F113" s="1168">
        <f>+F114-F110-F111-F112</f>
        <v>18</v>
      </c>
      <c r="G113" s="1160">
        <f>ROUND(F113*75,0)</f>
        <v>1350</v>
      </c>
      <c r="H113" s="1162" t="s">
        <v>561</v>
      </c>
      <c r="I113" s="1167">
        <f>+I114-I110-I111-I112</f>
        <v>1.5200000000000125</v>
      </c>
      <c r="J113" s="1167" t="e">
        <f>+#REF!</f>
        <v>#REF!</v>
      </c>
      <c r="K113" s="1167" t="e">
        <f>+#REF!</f>
        <v>#REF!</v>
      </c>
      <c r="L113" s="1167" t="e">
        <f>IF((ROUND(G113*J113*1/10000000,2))&gt;(ROUND(I113*1000000*K113/10000000,2)),(ROUND(G113*J113*1/10000000,2)),0)</f>
        <v>#REF!</v>
      </c>
      <c r="M113" s="1167" t="e">
        <f>IF((ROUND(I113*1000000*K113/10000000,2))&gt;(ROUND(G113*J113*1/10000000,2)),(ROUND(I113*1000000*K113/10000000,2)),0)</f>
        <v>#REF!</v>
      </c>
      <c r="N113" s="1167" t="e">
        <f>L113+M113</f>
        <v>#REF!</v>
      </c>
      <c r="O113" s="1192" t="e">
        <f>ROUND(N113/I113*10,2)</f>
        <v>#REF!</v>
      </c>
    </row>
    <row r="114" spans="1:15" ht="16.5" x14ac:dyDescent="0.2">
      <c r="A114" s="1197" t="s">
        <v>18</v>
      </c>
      <c r="B114" s="1164">
        <v>13</v>
      </c>
      <c r="C114" s="1165" t="s">
        <v>603</v>
      </c>
      <c r="D114" s="1165"/>
      <c r="E114" s="1169">
        <f>Sales_FY24!$P$29</f>
        <v>94</v>
      </c>
      <c r="F114" s="1169">
        <f>Sales_FY24!$V$29</f>
        <v>89</v>
      </c>
      <c r="G114" s="1169">
        <f>SUM(G110:G113)</f>
        <v>96460</v>
      </c>
      <c r="H114" s="1165"/>
      <c r="I114" s="1170">
        <f>Sales_FY24!$Q$29</f>
        <v>203.93</v>
      </c>
      <c r="J114" s="1170"/>
      <c r="K114" s="1170"/>
      <c r="L114" s="1170" t="e">
        <f>SUM(L110:L113)</f>
        <v>#REF!</v>
      </c>
      <c r="M114" s="1170" t="e">
        <f>SUM(M110:M113)</f>
        <v>#REF!</v>
      </c>
      <c r="N114" s="1170" t="e">
        <f>L114+M114</f>
        <v>#REF!</v>
      </c>
      <c r="O114" s="1177" t="e">
        <f>ROUND(N114/I114*10,2)</f>
        <v>#REF!</v>
      </c>
    </row>
    <row r="115" spans="1:15" ht="16.5" x14ac:dyDescent="0.2">
      <c r="A115" s="1197" t="s">
        <v>18</v>
      </c>
      <c r="B115" s="1163"/>
      <c r="C115" s="1163"/>
      <c r="D115" s="1163"/>
      <c r="E115" s="1163"/>
      <c r="F115" s="1163"/>
      <c r="G115" s="1163"/>
      <c r="H115" s="1163"/>
      <c r="I115" s="1176"/>
      <c r="J115" s="1176"/>
      <c r="K115" s="1176"/>
      <c r="L115" s="1176"/>
      <c r="M115" s="1176"/>
      <c r="N115" s="1176"/>
      <c r="O115" s="1176"/>
    </row>
    <row r="116" spans="1:15" ht="16.5" x14ac:dyDescent="0.2">
      <c r="A116" s="1197" t="s">
        <v>18</v>
      </c>
      <c r="B116" s="1159">
        <v>14</v>
      </c>
      <c r="C116" s="1160" t="s">
        <v>312</v>
      </c>
      <c r="D116" s="1160" t="s">
        <v>589</v>
      </c>
      <c r="E116" s="1168">
        <f>Sales_FY24!$P$30</f>
        <v>608</v>
      </c>
      <c r="F116" s="1168">
        <f>Sales_FY24!$V$30</f>
        <v>565</v>
      </c>
      <c r="G116" s="1160">
        <f>ROUND(F116*147,0)</f>
        <v>83055</v>
      </c>
      <c r="H116" s="1162" t="s">
        <v>561</v>
      </c>
      <c r="I116" s="1167">
        <f>Sales_FY24!$Q$30</f>
        <v>99.48</v>
      </c>
      <c r="J116" s="1167" t="e">
        <f>+#REF!</f>
        <v>#REF!</v>
      </c>
      <c r="K116" s="1167" t="e">
        <f>+#REF!</f>
        <v>#REF!</v>
      </c>
      <c r="L116" s="1167" t="e">
        <f>ROUND((G116*85%)*J116*12/10000000,2)</f>
        <v>#REF!</v>
      </c>
      <c r="M116" s="1167" t="e">
        <f>ROUND(I116*1000000*K116/10000000,2)</f>
        <v>#REF!</v>
      </c>
      <c r="N116" s="1167" t="e">
        <f>L116+M116</f>
        <v>#REF!</v>
      </c>
      <c r="O116" s="1192" t="e">
        <f>ROUND(N116/I116*10,2)</f>
        <v>#REF!</v>
      </c>
    </row>
    <row r="117" spans="1:15" ht="16.5" x14ac:dyDescent="0.2">
      <c r="A117" s="1197" t="s">
        <v>18</v>
      </c>
      <c r="B117" s="1163"/>
      <c r="C117" s="1163"/>
      <c r="D117" s="1163"/>
      <c r="E117" s="1163"/>
      <c r="F117" s="1163"/>
      <c r="G117" s="1163"/>
      <c r="H117" s="1163"/>
      <c r="I117" s="1176"/>
      <c r="J117" s="1176"/>
      <c r="K117" s="1176"/>
      <c r="L117" s="1176"/>
      <c r="M117" s="1176"/>
      <c r="N117" s="1176"/>
      <c r="O117" s="1176"/>
    </row>
    <row r="118" spans="1:15" ht="16.5" x14ac:dyDescent="0.2">
      <c r="A118" s="1197" t="s">
        <v>18</v>
      </c>
      <c r="B118" s="1159">
        <v>15</v>
      </c>
      <c r="C118" s="1160" t="s">
        <v>313</v>
      </c>
      <c r="D118" s="1160" t="s">
        <v>589</v>
      </c>
      <c r="E118" s="1168">
        <f>Sales_FY24!$P$31</f>
        <v>2675</v>
      </c>
      <c r="F118" s="1168">
        <f>Sales_FY24!$V$31</f>
        <v>2475</v>
      </c>
      <c r="G118" s="1160">
        <f>ROUND(F118*90,0)</f>
        <v>222750</v>
      </c>
      <c r="H118" s="1162" t="s">
        <v>561</v>
      </c>
      <c r="I118" s="1167">
        <f>Sales_FY24!$Q$31</f>
        <v>245.06</v>
      </c>
      <c r="J118" s="1167" t="e">
        <f>+#REF!</f>
        <v>#REF!</v>
      </c>
      <c r="K118" s="1167" t="e">
        <f>+#REF!</f>
        <v>#REF!</v>
      </c>
      <c r="L118" s="1167" t="e">
        <f>ROUND((G118*100%)*J118*12/10000000,2)</f>
        <v>#REF!</v>
      </c>
      <c r="M118" s="1167" t="e">
        <f>ROUND(I118*1000000*K118/10000000,2)</f>
        <v>#REF!</v>
      </c>
      <c r="N118" s="1167" t="e">
        <f>L118+M118</f>
        <v>#REF!</v>
      </c>
      <c r="O118" s="1192" t="e">
        <f>ROUND(N118/I118*10,2)</f>
        <v>#REF!</v>
      </c>
    </row>
    <row r="119" spans="1:15" ht="16.5" x14ac:dyDescent="0.2">
      <c r="A119" s="1197" t="s">
        <v>18</v>
      </c>
      <c r="B119" s="1163"/>
      <c r="C119" s="1163"/>
      <c r="D119" s="1163"/>
      <c r="E119" s="1163"/>
      <c r="F119" s="1163"/>
      <c r="G119" s="1163"/>
      <c r="H119" s="1163"/>
      <c r="I119" s="1176"/>
      <c r="J119" s="1176"/>
      <c r="K119" s="1176"/>
      <c r="L119" s="1176"/>
      <c r="M119" s="1176"/>
      <c r="N119" s="1176"/>
      <c r="O119" s="1176"/>
    </row>
    <row r="120" spans="1:15" ht="16.5" x14ac:dyDescent="0.2">
      <c r="A120" s="1197" t="s">
        <v>18</v>
      </c>
      <c r="B120" s="1194"/>
      <c r="C120" s="1195" t="s">
        <v>605</v>
      </c>
      <c r="D120" s="1195"/>
      <c r="E120" s="1196">
        <f>E81+E90+E99+E108+E114+E116+E118</f>
        <v>22507</v>
      </c>
      <c r="F120" s="1196">
        <f>F81+F90+F99+F108+F114+F116+F118</f>
        <v>21825</v>
      </c>
      <c r="G120" s="1196">
        <f>G81+G90+G99+G108+G114+G116+G118</f>
        <v>7543473</v>
      </c>
      <c r="H120" s="1195"/>
      <c r="I120" s="1193">
        <f>I81+I90+I99+I108+I114+I116+I118</f>
        <v>9160.43</v>
      </c>
      <c r="J120" s="1193"/>
      <c r="K120" s="1193"/>
      <c r="L120" s="1193" t="e">
        <f>L81+L90+L99+L108+L114+L116+L118</f>
        <v>#REF!</v>
      </c>
      <c r="M120" s="1193" t="e">
        <f>M81+M90+M99+M108+M114+M116+M118</f>
        <v>#REF!</v>
      </c>
      <c r="N120" s="1193" t="e">
        <f>L120+M120</f>
        <v>#REF!</v>
      </c>
      <c r="O120" s="1193" t="e">
        <f>ROUND(N120/I120*10,2)</f>
        <v>#REF!</v>
      </c>
    </row>
    <row r="121" spans="1:15" ht="16.5" x14ac:dyDescent="0.2">
      <c r="A121" s="1197" t="s">
        <v>18</v>
      </c>
      <c r="B121" s="1163"/>
      <c r="C121" s="1163"/>
      <c r="D121" s="1163"/>
      <c r="E121" s="1163"/>
      <c r="F121" s="1163"/>
      <c r="G121" s="1163"/>
      <c r="H121" s="1163"/>
      <c r="I121" s="1176"/>
      <c r="J121" s="1176"/>
      <c r="K121" s="1176"/>
      <c r="L121" s="1176"/>
      <c r="M121" s="1176"/>
      <c r="N121" s="1176"/>
      <c r="O121" s="1176"/>
    </row>
    <row r="122" spans="1:15" ht="16.5" x14ac:dyDescent="0.2">
      <c r="A122" s="1197" t="s">
        <v>18</v>
      </c>
      <c r="B122" s="1194"/>
      <c r="C122" s="1195" t="s">
        <v>606</v>
      </c>
      <c r="D122" s="1195"/>
      <c r="E122" s="1196">
        <f>E79+E120</f>
        <v>14447229</v>
      </c>
      <c r="F122" s="1196">
        <f>F79+F120</f>
        <v>14166802</v>
      </c>
      <c r="G122" s="1196">
        <f>G79+G120</f>
        <v>44786545</v>
      </c>
      <c r="H122" s="1195"/>
      <c r="I122" s="1193">
        <f>I79+I120</f>
        <v>30013.910000000003</v>
      </c>
      <c r="J122" s="1193"/>
      <c r="K122" s="1193"/>
      <c r="L122" s="1193" t="e">
        <f>L79+L120</f>
        <v>#REF!</v>
      </c>
      <c r="M122" s="1193" t="e">
        <f>M79+M120</f>
        <v>#REF!</v>
      </c>
      <c r="N122" s="1193" t="e">
        <f>L122+M122</f>
        <v>#REF!</v>
      </c>
      <c r="O122" s="1193" t="e">
        <f>ROUND(N122/I122*10,2)</f>
        <v>#REF!</v>
      </c>
    </row>
    <row r="123" spans="1:15" ht="16.5" x14ac:dyDescent="0.2">
      <c r="A123" s="1197" t="s">
        <v>18</v>
      </c>
      <c r="B123" s="1163"/>
      <c r="C123" s="1163"/>
      <c r="D123" s="1163"/>
      <c r="E123" s="1163"/>
      <c r="F123" s="1163"/>
      <c r="G123" s="1163"/>
      <c r="H123" s="1163"/>
      <c r="I123" s="1176"/>
      <c r="J123" s="1176"/>
      <c r="K123" s="1176"/>
      <c r="L123" s="1176"/>
      <c r="M123" s="1176"/>
      <c r="N123" s="1176"/>
      <c r="O123" s="1176"/>
    </row>
    <row r="124" spans="1:15" ht="16.5" x14ac:dyDescent="0.2">
      <c r="A124" s="1197" t="s">
        <v>18</v>
      </c>
      <c r="B124" s="1159">
        <v>16</v>
      </c>
      <c r="C124" s="1160"/>
      <c r="D124" s="1160"/>
      <c r="E124" s="1168"/>
      <c r="F124" s="1168"/>
      <c r="G124" s="1160"/>
      <c r="H124" s="1162"/>
      <c r="I124" s="1167"/>
      <c r="J124" s="1167"/>
      <c r="K124" s="1167"/>
      <c r="L124" s="1167"/>
      <c r="M124" s="1167"/>
      <c r="N124" s="1167"/>
      <c r="O124" s="1192"/>
    </row>
    <row r="125" spans="1:15" ht="16.5" x14ac:dyDescent="0.2">
      <c r="A125" s="1197" t="s">
        <v>18</v>
      </c>
      <c r="B125" s="1163"/>
      <c r="C125" s="1163"/>
      <c r="D125" s="1163"/>
      <c r="E125" s="1163"/>
      <c r="F125" s="1163"/>
      <c r="G125" s="1163"/>
      <c r="H125" s="1163"/>
      <c r="I125" s="1176"/>
      <c r="J125" s="1176"/>
      <c r="K125" s="1176"/>
      <c r="L125" s="1176"/>
      <c r="M125" s="1176"/>
      <c r="N125" s="1176"/>
      <c r="O125" s="1176"/>
    </row>
    <row r="126" spans="1:15" ht="16.5" x14ac:dyDescent="0.2">
      <c r="A126" s="1197" t="s">
        <v>18</v>
      </c>
      <c r="B126" s="1159">
        <v>17</v>
      </c>
      <c r="C126" s="1160"/>
      <c r="D126" s="1160"/>
      <c r="E126" s="1168"/>
      <c r="F126" s="1168"/>
      <c r="G126" s="1160"/>
      <c r="H126" s="1162"/>
      <c r="I126" s="1167"/>
      <c r="J126" s="1167"/>
      <c r="K126" s="1167"/>
      <c r="L126" s="1167"/>
      <c r="M126" s="1167"/>
      <c r="N126" s="1167"/>
      <c r="O126" s="1192"/>
    </row>
    <row r="127" spans="1:15" ht="16.5" x14ac:dyDescent="0.2">
      <c r="A127" s="1197" t="s">
        <v>18</v>
      </c>
      <c r="B127" s="1163"/>
      <c r="C127" s="1163"/>
      <c r="D127" s="1163"/>
      <c r="E127" s="1163"/>
      <c r="F127" s="1163"/>
      <c r="G127" s="1163"/>
      <c r="H127" s="1163"/>
      <c r="I127" s="1176"/>
      <c r="J127" s="1176"/>
      <c r="K127" s="1176"/>
      <c r="L127" s="1176"/>
      <c r="M127" s="1176"/>
      <c r="N127" s="1176"/>
      <c r="O127" s="1176"/>
    </row>
    <row r="128" spans="1:15" ht="16.5" x14ac:dyDescent="0.2">
      <c r="A128" s="1197" t="s">
        <v>18</v>
      </c>
      <c r="B128" s="1159">
        <v>18</v>
      </c>
      <c r="C128" s="1160"/>
      <c r="D128" s="1160" t="s">
        <v>305</v>
      </c>
      <c r="E128" s="1168"/>
      <c r="F128" s="1168"/>
      <c r="G128" s="1160"/>
      <c r="H128" s="1162"/>
      <c r="I128" s="1167"/>
      <c r="J128" s="1167"/>
      <c r="K128" s="1167"/>
      <c r="L128" s="1167">
        <v>0</v>
      </c>
      <c r="M128" s="1167">
        <f>ROUND((440.79+(440.79*13.90805%))+52.84+348.71,2)</f>
        <v>903.65</v>
      </c>
      <c r="N128" s="1167">
        <f>L128+M128</f>
        <v>903.65</v>
      </c>
      <c r="O128" s="1192"/>
    </row>
    <row r="129" spans="1:19" ht="16.5" x14ac:dyDescent="0.2">
      <c r="A129" s="1197" t="s">
        <v>18</v>
      </c>
      <c r="B129" s="1163"/>
      <c r="C129" s="1163"/>
      <c r="D129" s="1163"/>
      <c r="E129" s="1163"/>
      <c r="F129" s="1163"/>
      <c r="G129" s="1163"/>
      <c r="H129" s="1163"/>
      <c r="I129" s="1176"/>
      <c r="J129" s="1176"/>
      <c r="K129" s="1176"/>
      <c r="L129" s="1176"/>
      <c r="M129" s="1176"/>
      <c r="N129" s="1176"/>
      <c r="O129" s="1176"/>
    </row>
    <row r="130" spans="1:19" ht="16.5" x14ac:dyDescent="0.2">
      <c r="A130" s="1197" t="s">
        <v>18</v>
      </c>
      <c r="B130" s="1194"/>
      <c r="C130" s="1195" t="s">
        <v>607</v>
      </c>
      <c r="D130" s="1195"/>
      <c r="E130" s="1196">
        <f>E122+E128+E124+E126</f>
        <v>14447229</v>
      </c>
      <c r="F130" s="1196">
        <f>F122+F128+F124+F126</f>
        <v>14166802</v>
      </c>
      <c r="G130" s="1196">
        <f>G122+G128+G124+G126</f>
        <v>44786545</v>
      </c>
      <c r="H130" s="1195"/>
      <c r="I130" s="1193">
        <f>I122+I128+I124+I126</f>
        <v>30013.910000000003</v>
      </c>
      <c r="J130" s="1193"/>
      <c r="K130" s="1193"/>
      <c r="L130" s="1193" t="e">
        <f>L122+L128+L124+L126</f>
        <v>#REF!</v>
      </c>
      <c r="M130" s="1193" t="e">
        <f>M122+M128+M124+M126</f>
        <v>#REF!</v>
      </c>
      <c r="N130" s="1193" t="e">
        <f>L130+M130</f>
        <v>#REF!</v>
      </c>
      <c r="O130" s="1193" t="e">
        <f>ROUND(N130/I130*10,2)</f>
        <v>#REF!</v>
      </c>
      <c r="R130" s="1224" t="e">
        <f>+#REF!</f>
        <v>#REF!</v>
      </c>
      <c r="S130" s="1224" t="e">
        <f>+N130-R130</f>
        <v>#REF!</v>
      </c>
    </row>
    <row r="134" spans="1:19" x14ac:dyDescent="0.15">
      <c r="B134" s="1172" t="s">
        <v>609</v>
      </c>
      <c r="D134" s="1173" t="s">
        <v>608</v>
      </c>
    </row>
    <row r="135" spans="1:19" x14ac:dyDescent="0.15">
      <c r="B135" s="1187" t="s">
        <v>472</v>
      </c>
      <c r="C135" s="1187" t="s">
        <v>474</v>
      </c>
      <c r="D135" s="1188" t="s">
        <v>3</v>
      </c>
      <c r="E135" s="1187" t="s">
        <v>49</v>
      </c>
      <c r="F135" s="1187" t="s">
        <v>469</v>
      </c>
      <c r="G135" s="1187" t="s">
        <v>467</v>
      </c>
      <c r="H135" s="1188" t="s">
        <v>475</v>
      </c>
      <c r="I135" s="1188" t="s">
        <v>475</v>
      </c>
      <c r="J135" s="1187" t="s">
        <v>477</v>
      </c>
      <c r="K135" s="1187" t="s">
        <v>480</v>
      </c>
      <c r="L135" s="1189" t="s">
        <v>610</v>
      </c>
      <c r="M135" s="1189" t="s">
        <v>611</v>
      </c>
      <c r="N135" s="1189" t="s">
        <v>488</v>
      </c>
      <c r="O135" s="1189" t="s">
        <v>489</v>
      </c>
    </row>
    <row r="136" spans="1:19" x14ac:dyDescent="0.15">
      <c r="B136" s="1190" t="s">
        <v>473</v>
      </c>
      <c r="C136" s="1190" t="s">
        <v>31</v>
      </c>
      <c r="D136" s="1191"/>
      <c r="E136" s="1190" t="s">
        <v>33</v>
      </c>
      <c r="F136" s="1190" t="s">
        <v>33</v>
      </c>
      <c r="G136" s="1190" t="s">
        <v>468</v>
      </c>
      <c r="H136" s="1191" t="s">
        <v>487</v>
      </c>
      <c r="I136" s="1191" t="s">
        <v>476</v>
      </c>
      <c r="J136" s="1190" t="s">
        <v>479</v>
      </c>
      <c r="K136" s="1190" t="s">
        <v>478</v>
      </c>
      <c r="L136" s="1190" t="s">
        <v>481</v>
      </c>
      <c r="M136" s="1190" t="s">
        <v>481</v>
      </c>
      <c r="N136" s="1190" t="s">
        <v>481</v>
      </c>
      <c r="O136" s="1190" t="s">
        <v>478</v>
      </c>
    </row>
    <row r="137" spans="1:19" ht="16.5" x14ac:dyDescent="0.2">
      <c r="A137" s="1197" t="s">
        <v>525</v>
      </c>
      <c r="B137" s="1159"/>
      <c r="C137" s="1160" t="s">
        <v>38</v>
      </c>
      <c r="D137" s="1160" t="s">
        <v>482</v>
      </c>
      <c r="E137" s="1168">
        <f>Sales_FY24!$P$47</f>
        <v>149171</v>
      </c>
      <c r="F137" s="1168">
        <f>Sales_FY24!$V$47</f>
        <v>149171</v>
      </c>
      <c r="G137" s="1160">
        <f>ROUND(E137*0.0517,0)</f>
        <v>7712</v>
      </c>
      <c r="H137" s="1167"/>
      <c r="I137" s="1167">
        <f>Sales_FY24!$Q$47</f>
        <v>33.549999999999997</v>
      </c>
      <c r="J137" s="1167" t="e">
        <f>+#REF!</f>
        <v>#REF!</v>
      </c>
      <c r="K137" s="1167" t="e">
        <f>+#REF!</f>
        <v>#REF!</v>
      </c>
      <c r="L137" s="1167"/>
      <c r="M137" s="1167" t="e">
        <f>ROUND(I137*1000000*K137/10000000,2)</f>
        <v>#REF!</v>
      </c>
      <c r="N137" s="1175" t="e">
        <f>+L137+M137</f>
        <v>#REF!</v>
      </c>
      <c r="O137" s="1171" t="e">
        <f>ROUND(N137/I137*10,2)</f>
        <v>#REF!</v>
      </c>
    </row>
    <row r="138" spans="1:19" ht="16.5" x14ac:dyDescent="0.2">
      <c r="A138" s="1197" t="s">
        <v>525</v>
      </c>
      <c r="B138" s="1159"/>
      <c r="C138" s="1160" t="s">
        <v>38</v>
      </c>
      <c r="D138" s="1161" t="s">
        <v>483</v>
      </c>
      <c r="E138" s="1168">
        <f>Sales_FY24!$P$48</f>
        <v>21939</v>
      </c>
      <c r="F138" s="1168">
        <f>Sales_FY24!$V$48</f>
        <v>21939</v>
      </c>
      <c r="G138" s="1160">
        <f>ROUND(E138*0.0517,0)</f>
        <v>1134</v>
      </c>
      <c r="H138" s="1162" t="s">
        <v>426</v>
      </c>
      <c r="I138" s="1167">
        <f>ROUND(F138*50*12/1000000,2)</f>
        <v>13.16</v>
      </c>
      <c r="J138" s="1167">
        <v>100</v>
      </c>
      <c r="K138" s="1167">
        <f>+K149</f>
        <v>4.0999999999999996</v>
      </c>
      <c r="L138" s="1167">
        <f>ROUND((F138*J138*12)/10000000,2)</f>
        <v>2.63</v>
      </c>
      <c r="M138" s="1167">
        <f>ROUND(I138*1000000*K138/10000000,2)</f>
        <v>5.4</v>
      </c>
      <c r="N138" s="1167"/>
      <c r="O138" s="1167"/>
    </row>
    <row r="139" spans="1:19" ht="16.5" x14ac:dyDescent="0.2">
      <c r="A139" s="1197" t="s">
        <v>525</v>
      </c>
      <c r="B139" s="1159"/>
      <c r="C139" s="1160"/>
      <c r="D139" s="1161"/>
      <c r="E139" s="1160"/>
      <c r="F139" s="1160"/>
      <c r="G139" s="1160"/>
      <c r="H139" s="1162" t="s">
        <v>432</v>
      </c>
      <c r="I139" s="1167">
        <f>I140-I138</f>
        <v>7.43</v>
      </c>
      <c r="J139" s="1167"/>
      <c r="K139" s="1167">
        <f>+K150</f>
        <v>5.6</v>
      </c>
      <c r="L139" s="1167"/>
      <c r="M139" s="1167">
        <f>ROUND(I139*1000000*K139/10000000,2)</f>
        <v>4.16</v>
      </c>
      <c r="N139" s="1167"/>
      <c r="O139" s="1167"/>
    </row>
    <row r="140" spans="1:19" ht="16.5" x14ac:dyDescent="0.2">
      <c r="A140" s="1197" t="s">
        <v>525</v>
      </c>
      <c r="B140" s="1172"/>
      <c r="C140" s="1173"/>
      <c r="D140" s="1174" t="s">
        <v>486</v>
      </c>
      <c r="E140" s="1173">
        <f>SUM(E138:E139)</f>
        <v>21939</v>
      </c>
      <c r="F140" s="1173">
        <f>SUM(F138:F139)</f>
        <v>21939</v>
      </c>
      <c r="G140" s="1173">
        <f>SUM(G138:G139)</f>
        <v>1134</v>
      </c>
      <c r="H140" s="1173"/>
      <c r="I140" s="1175">
        <f>Sales_FY24!$Q$48</f>
        <v>20.59</v>
      </c>
      <c r="J140" s="1175"/>
      <c r="K140" s="1175"/>
      <c r="L140" s="1175">
        <f>SUM(L138:L139)</f>
        <v>2.63</v>
      </c>
      <c r="M140" s="1175">
        <f>SUM(M138:M139)</f>
        <v>9.56</v>
      </c>
      <c r="N140" s="1175">
        <f>+L140+M140</f>
        <v>12.190000000000001</v>
      </c>
      <c r="O140" s="1171">
        <f>ROUND(N140/I140*10,2)</f>
        <v>5.92</v>
      </c>
    </row>
    <row r="141" spans="1:19" ht="16.5" x14ac:dyDescent="0.2">
      <c r="A141" s="1197" t="s">
        <v>525</v>
      </c>
      <c r="B141" s="1164">
        <v>1</v>
      </c>
      <c r="C141" s="1165" t="s">
        <v>484</v>
      </c>
      <c r="D141" s="1165"/>
      <c r="E141" s="1169">
        <f>+E137+E140</f>
        <v>171110</v>
      </c>
      <c r="F141" s="1169">
        <f>+F137+F140</f>
        <v>171110</v>
      </c>
      <c r="G141" s="1169">
        <f>+G137+G140</f>
        <v>8846</v>
      </c>
      <c r="H141" s="1165"/>
      <c r="I141" s="1170">
        <f>+I137+I140</f>
        <v>54.14</v>
      </c>
      <c r="J141" s="1170"/>
      <c r="K141" s="1170"/>
      <c r="L141" s="1170">
        <f>+L137+L140</f>
        <v>2.63</v>
      </c>
      <c r="M141" s="1170" t="e">
        <f>+M137+M140</f>
        <v>#REF!</v>
      </c>
      <c r="N141" s="1170" t="e">
        <f>L141+M141</f>
        <v>#REF!</v>
      </c>
      <c r="O141" s="1170"/>
      <c r="R141" s="1224" t="e">
        <f>+N141-#REF!</f>
        <v>#REF!</v>
      </c>
    </row>
    <row r="142" spans="1:19" ht="16.5" x14ac:dyDescent="0.2">
      <c r="A142" s="1197" t="s">
        <v>525</v>
      </c>
      <c r="B142" s="1163"/>
      <c r="C142" s="1163"/>
      <c r="D142" s="1163"/>
      <c r="E142" s="1163"/>
      <c r="F142" s="1163"/>
      <c r="G142" s="1163"/>
      <c r="H142" s="1163"/>
      <c r="I142" s="1176"/>
      <c r="J142" s="1176"/>
      <c r="K142" s="1176"/>
      <c r="L142" s="1176"/>
      <c r="M142" s="1176"/>
      <c r="N142" s="1176"/>
      <c r="O142" s="1176"/>
    </row>
    <row r="143" spans="1:19" ht="16.5" x14ac:dyDescent="0.2">
      <c r="A143" s="1197" t="s">
        <v>525</v>
      </c>
      <c r="B143" s="1159"/>
      <c r="C143" s="1160" t="s">
        <v>485</v>
      </c>
      <c r="D143" s="1160" t="s">
        <v>43</v>
      </c>
      <c r="E143" s="1160">
        <f>ROUND(E147*27.59%,0)</f>
        <v>205864</v>
      </c>
      <c r="F143" s="1160">
        <f>ROUND(F147*27.59%,0)</f>
        <v>203751</v>
      </c>
      <c r="G143" s="1160">
        <f>ROUND(F143*0.63,0)</f>
        <v>128363</v>
      </c>
      <c r="H143" s="1162" t="s">
        <v>426</v>
      </c>
      <c r="I143" s="1167">
        <f>ROUND(I147*36.13%,2)</f>
        <v>328.04</v>
      </c>
      <c r="J143" s="1167" t="e">
        <f>+#REF!</f>
        <v>#REF!</v>
      </c>
      <c r="K143" s="1167" t="e">
        <f>+#REF!</f>
        <v>#REF!</v>
      </c>
      <c r="L143" s="1167" t="e">
        <f>ROUND((F143*J143*12)/10000000,2)</f>
        <v>#REF!</v>
      </c>
      <c r="M143" s="1167" t="e">
        <f>ROUND(I143*1000000*K143/10000000,2)</f>
        <v>#REF!</v>
      </c>
      <c r="N143" s="1167"/>
      <c r="O143" s="1171"/>
    </row>
    <row r="144" spans="1:19" ht="16.5" x14ac:dyDescent="0.2">
      <c r="A144" s="1197" t="s">
        <v>525</v>
      </c>
      <c r="B144" s="1159"/>
      <c r="C144" s="1160"/>
      <c r="D144" s="1160" t="s">
        <v>451</v>
      </c>
      <c r="E144" s="1160">
        <f>ROUND(E147*72.41%,0)</f>
        <v>540290</v>
      </c>
      <c r="F144" s="1160">
        <f>ROUND(F147*72.41%,0)</f>
        <v>534746</v>
      </c>
      <c r="G144" s="1160">
        <f>ROUND(F144*2.45,0)</f>
        <v>1310128</v>
      </c>
      <c r="H144" s="1162" t="s">
        <v>432</v>
      </c>
      <c r="I144" s="1167">
        <f>ROUND(I147*24.42%,2)</f>
        <v>221.72</v>
      </c>
      <c r="J144" s="1167" t="e">
        <f>+#REF!</f>
        <v>#REF!</v>
      </c>
      <c r="K144" s="1167" t="e">
        <f>+#REF!</f>
        <v>#REF!</v>
      </c>
      <c r="L144" s="1167" t="e">
        <f>ROUND(((F144*J143*12)+((G144-F144)*J144*12))/10000000,2)</f>
        <v>#REF!</v>
      </c>
      <c r="M144" s="1167" t="e">
        <f>ROUND(I144*1000000*K144/10000000,2)</f>
        <v>#REF!</v>
      </c>
      <c r="N144" s="1167"/>
      <c r="O144" s="1167"/>
    </row>
    <row r="145" spans="1:18" ht="16.5" x14ac:dyDescent="0.2">
      <c r="A145" s="1197" t="s">
        <v>525</v>
      </c>
      <c r="B145" s="1159"/>
      <c r="C145" s="1160"/>
      <c r="D145" s="1160" t="s">
        <v>444</v>
      </c>
      <c r="E145" s="1160">
        <f>+E147-E143-E144</f>
        <v>0</v>
      </c>
      <c r="F145" s="1160">
        <f>+F147-F143-F144</f>
        <v>0</v>
      </c>
      <c r="G145" s="1160">
        <f>ROUND(F145*0,0)</f>
        <v>0</v>
      </c>
      <c r="H145" s="1162" t="s">
        <v>380</v>
      </c>
      <c r="I145" s="1167">
        <f>ROUND(I147*23.94%,2)</f>
        <v>217.36</v>
      </c>
      <c r="J145" s="1167" t="e">
        <f>+#REF!</f>
        <v>#REF!</v>
      </c>
      <c r="K145" s="1167" t="e">
        <f>+#REF!</f>
        <v>#REF!</v>
      </c>
      <c r="L145" s="1167" t="e">
        <f>ROUND(((F145*J143*12)+(F145*49*12*J144)+((G145-(F145*50))*12*J145))/10000000,2)</f>
        <v>#REF!</v>
      </c>
      <c r="M145" s="1167" t="e">
        <f>ROUND(I145*1000000*K145/10000000,2)</f>
        <v>#REF!</v>
      </c>
      <c r="N145" s="1167"/>
      <c r="O145" s="1167"/>
    </row>
    <row r="146" spans="1:18" ht="16.5" x14ac:dyDescent="0.2">
      <c r="A146" s="1197" t="s">
        <v>525</v>
      </c>
      <c r="B146" s="1159"/>
      <c r="C146" s="1160"/>
      <c r="D146" s="1160"/>
      <c r="E146" s="1160"/>
      <c r="F146" s="1160"/>
      <c r="G146" s="1160"/>
      <c r="H146" s="1162" t="s">
        <v>411</v>
      </c>
      <c r="I146" s="1167">
        <f>+I147-I143-I144-I145</f>
        <v>140.82000000000005</v>
      </c>
      <c r="J146" s="1167"/>
      <c r="K146" s="1167" t="e">
        <f>+#REF!</f>
        <v>#REF!</v>
      </c>
      <c r="L146" s="1167"/>
      <c r="M146" s="1167" t="e">
        <f>ROUND(I146*1000000*K146/10000000,2)</f>
        <v>#REF!</v>
      </c>
      <c r="N146" s="1167"/>
      <c r="O146" s="1167"/>
    </row>
    <row r="147" spans="1:18" ht="16.5" x14ac:dyDescent="0.2">
      <c r="A147" s="1197" t="s">
        <v>525</v>
      </c>
      <c r="B147" s="1164"/>
      <c r="C147" s="1165"/>
      <c r="D147" s="1166" t="s">
        <v>486</v>
      </c>
      <c r="E147" s="1165">
        <f>ROUND(E154*42.89435%,0)</f>
        <v>746154</v>
      </c>
      <c r="F147" s="1165">
        <f>ROUND(F154*42.89435%,0)</f>
        <v>738497</v>
      </c>
      <c r="G147" s="1165">
        <f>SUM(G143:G146)</f>
        <v>1438491</v>
      </c>
      <c r="H147" s="1165"/>
      <c r="I147" s="1170">
        <f>ROUND(I154*53.45%,2)</f>
        <v>907.94</v>
      </c>
      <c r="J147" s="1170"/>
      <c r="K147" s="1170"/>
      <c r="L147" s="1170" t="e">
        <f>SUM(L143:L146)</f>
        <v>#REF!</v>
      </c>
      <c r="M147" s="1170" t="e">
        <f>SUM(M143:M146)</f>
        <v>#REF!</v>
      </c>
      <c r="N147" s="1170" t="e">
        <f>L147+M147</f>
        <v>#REF!</v>
      </c>
      <c r="O147" s="1177" t="e">
        <f>ROUND(N147/I147*10,2)</f>
        <v>#REF!</v>
      </c>
      <c r="R147" s="1224" t="e">
        <f>+N147-#REF!</f>
        <v>#REF!</v>
      </c>
    </row>
    <row r="148" spans="1:18" ht="16.5" x14ac:dyDescent="0.2">
      <c r="A148" s="1197" t="s">
        <v>525</v>
      </c>
      <c r="B148" s="1163"/>
      <c r="C148" s="1163"/>
      <c r="D148" s="1163"/>
      <c r="E148" s="1163"/>
      <c r="F148" s="1163"/>
      <c r="G148" s="1163"/>
      <c r="H148" s="1163"/>
      <c r="I148" s="1176"/>
      <c r="J148" s="1176"/>
      <c r="K148" s="1176"/>
      <c r="L148" s="1176"/>
      <c r="M148" s="1176"/>
      <c r="N148" s="1176"/>
      <c r="O148" s="1176"/>
    </row>
    <row r="149" spans="1:18" ht="16.5" x14ac:dyDescent="0.2">
      <c r="A149" s="1197" t="s">
        <v>525</v>
      </c>
      <c r="B149" s="1159"/>
      <c r="C149" s="1160" t="s">
        <v>555</v>
      </c>
      <c r="D149" s="1160" t="s">
        <v>43</v>
      </c>
      <c r="E149" s="1160">
        <f>ROUND(E153*29.585%,0)</f>
        <v>293886</v>
      </c>
      <c r="F149" s="1160">
        <f>ROUND(F153*29.585%,0)</f>
        <v>290870</v>
      </c>
      <c r="G149" s="1160">
        <f>ROUND(F149*0.62,0)</f>
        <v>180339</v>
      </c>
      <c r="H149" s="1162" t="s">
        <v>426</v>
      </c>
      <c r="I149" s="1167">
        <f>ROUND(I153*46.08%,2)</f>
        <v>364.37</v>
      </c>
      <c r="J149" s="1167">
        <v>100</v>
      </c>
      <c r="K149" s="1167">
        <v>4.0999999999999996</v>
      </c>
      <c r="L149" s="1167">
        <f>ROUND((F149*J149*12)/10000000,2)</f>
        <v>34.9</v>
      </c>
      <c r="M149" s="1167">
        <f>ROUND(I149*1000000*K149/10000000,2)</f>
        <v>149.38999999999999</v>
      </c>
      <c r="N149" s="1167"/>
      <c r="O149" s="1167"/>
    </row>
    <row r="150" spans="1:18" ht="16.5" x14ac:dyDescent="0.2">
      <c r="A150" s="1197" t="s">
        <v>525</v>
      </c>
      <c r="B150" s="1159"/>
      <c r="C150" s="1160"/>
      <c r="D150" s="1160" t="s">
        <v>451</v>
      </c>
      <c r="E150" s="1160">
        <f>ROUND(E153*70.415%,0)</f>
        <v>699476</v>
      </c>
      <c r="F150" s="1160">
        <f>ROUND(F153*70.415%,0)</f>
        <v>692298</v>
      </c>
      <c r="G150" s="1160">
        <f>ROUND(F150*1.55,0)</f>
        <v>1073062</v>
      </c>
      <c r="H150" s="1162" t="s">
        <v>432</v>
      </c>
      <c r="I150" s="1167">
        <f>ROUND(I153*25.24%,2)</f>
        <v>199.58</v>
      </c>
      <c r="J150" s="1167">
        <v>110</v>
      </c>
      <c r="K150" s="1167">
        <v>5.6</v>
      </c>
      <c r="L150" s="1167">
        <f>ROUND(((F150*J149*12)+((G150-F150)*J150*12))/10000000,2)</f>
        <v>133.34</v>
      </c>
      <c r="M150" s="1167">
        <f>ROUND(I150*1000000*K150/10000000,2)</f>
        <v>111.76</v>
      </c>
      <c r="N150" s="1167"/>
      <c r="O150" s="1167"/>
    </row>
    <row r="151" spans="1:18" ht="16.5" x14ac:dyDescent="0.2">
      <c r="A151" s="1197" t="s">
        <v>525</v>
      </c>
      <c r="B151" s="1159"/>
      <c r="C151" s="1160"/>
      <c r="D151" s="1160" t="s">
        <v>444</v>
      </c>
      <c r="E151" s="1160">
        <f>+E153-E149-E150</f>
        <v>0</v>
      </c>
      <c r="F151" s="1160">
        <f>+F153-F149-F150</f>
        <v>0</v>
      </c>
      <c r="G151" s="1160">
        <f>ROUND(F151*0,0)</f>
        <v>0</v>
      </c>
      <c r="H151" s="1162" t="s">
        <v>380</v>
      </c>
      <c r="I151" s="1167">
        <f>ROUND(I153*18.93%,2)</f>
        <v>149.69</v>
      </c>
      <c r="J151" s="1167">
        <v>175</v>
      </c>
      <c r="K151" s="1167">
        <v>7.15</v>
      </c>
      <c r="L151" s="1167">
        <f>ROUND(((F151*J149*12)+(F151*49*12*J150)+((G151-(F151*50))*12*J151))/10000000,2)</f>
        <v>0</v>
      </c>
      <c r="M151" s="1167">
        <f>ROUND(I151*1000000*K151/10000000,2)</f>
        <v>107.03</v>
      </c>
      <c r="N151" s="1167"/>
      <c r="O151" s="1167"/>
    </row>
    <row r="152" spans="1:18" ht="16.5" x14ac:dyDescent="0.2">
      <c r="A152" s="1197" t="s">
        <v>525</v>
      </c>
      <c r="B152" s="1159"/>
      <c r="C152" s="1160"/>
      <c r="D152" s="1160"/>
      <c r="E152" s="1160"/>
      <c r="F152" s="1160"/>
      <c r="G152" s="1160"/>
      <c r="H152" s="1162" t="s">
        <v>411</v>
      </c>
      <c r="I152" s="1167">
        <f>+I153-I149-I150-I151</f>
        <v>77.09</v>
      </c>
      <c r="J152" s="1167"/>
      <c r="K152" s="1167">
        <v>8.1999999999999993</v>
      </c>
      <c r="L152" s="1167"/>
      <c r="M152" s="1167">
        <f>ROUND(I152*1000000*K152/10000000,2)</f>
        <v>63.21</v>
      </c>
      <c r="N152" s="1167"/>
      <c r="O152" s="1167"/>
    </row>
    <row r="153" spans="1:18" ht="16.5" x14ac:dyDescent="0.2">
      <c r="A153" s="1197" t="s">
        <v>525</v>
      </c>
      <c r="B153" s="1164"/>
      <c r="C153" s="1165"/>
      <c r="D153" s="1166" t="s">
        <v>486</v>
      </c>
      <c r="E153" s="1169">
        <f>E154-E147</f>
        <v>993362</v>
      </c>
      <c r="F153" s="1169">
        <f>F154-F147</f>
        <v>983168</v>
      </c>
      <c r="G153" s="1165">
        <f>SUM(G149:G152)</f>
        <v>1253401</v>
      </c>
      <c r="H153" s="1165"/>
      <c r="I153" s="1170">
        <f>I154-I147</f>
        <v>790.73</v>
      </c>
      <c r="J153" s="1170"/>
      <c r="K153" s="1170"/>
      <c r="L153" s="1170">
        <f>SUM(L149:L152)</f>
        <v>168.24</v>
      </c>
      <c r="M153" s="1170">
        <f>SUM(M149:M152)</f>
        <v>431.38999999999993</v>
      </c>
      <c r="N153" s="1170">
        <f>L153+M153</f>
        <v>599.62999999999988</v>
      </c>
      <c r="O153" s="1177">
        <f>ROUND(N153/I153*10,2)</f>
        <v>7.58</v>
      </c>
      <c r="R153" s="1224" t="e">
        <f>+N153-#REF!</f>
        <v>#REF!</v>
      </c>
    </row>
    <row r="154" spans="1:18" ht="16.5" x14ac:dyDescent="0.2">
      <c r="A154" s="1197" t="s">
        <v>525</v>
      </c>
      <c r="B154" s="1164">
        <v>2</v>
      </c>
      <c r="C154" s="1165" t="s">
        <v>490</v>
      </c>
      <c r="D154" s="1165"/>
      <c r="E154" s="1169">
        <f>Sales_FY24!$P$49</f>
        <v>1739516</v>
      </c>
      <c r="F154" s="1169">
        <f>Sales_FY24!$V$49</f>
        <v>1721665</v>
      </c>
      <c r="G154" s="1169">
        <f>G147+G153</f>
        <v>2691892</v>
      </c>
      <c r="H154" s="1165"/>
      <c r="I154" s="1170">
        <f>Sales_FY24!$Q$49</f>
        <v>1698.67</v>
      </c>
      <c r="J154" s="1170"/>
      <c r="K154" s="1170"/>
      <c r="L154" s="1170" t="e">
        <f>L147+L153</f>
        <v>#REF!</v>
      </c>
      <c r="M154" s="1170" t="e">
        <f>M147+M153</f>
        <v>#REF!</v>
      </c>
      <c r="N154" s="1170" t="e">
        <f>L154+M154</f>
        <v>#REF!</v>
      </c>
      <c r="O154" s="1177" t="e">
        <f>ROUND(N154/I154*10,2)</f>
        <v>#REF!</v>
      </c>
      <c r="R154" s="1224"/>
    </row>
    <row r="155" spans="1:18" ht="16.5" x14ac:dyDescent="0.2">
      <c r="A155" s="1197" t="s">
        <v>525</v>
      </c>
      <c r="B155" s="1163"/>
      <c r="C155" s="1163"/>
      <c r="D155" s="1163"/>
      <c r="E155" s="1163"/>
      <c r="F155" s="1163"/>
      <c r="G155" s="1163"/>
      <c r="H155" s="1163"/>
      <c r="I155" s="1176"/>
      <c r="J155" s="1176"/>
      <c r="K155" s="1176"/>
      <c r="L155" s="1176"/>
      <c r="M155" s="1176"/>
      <c r="N155" s="1176"/>
      <c r="O155" s="1176"/>
    </row>
    <row r="156" spans="1:18" ht="16.5" x14ac:dyDescent="0.2">
      <c r="A156" s="1197" t="s">
        <v>525</v>
      </c>
      <c r="B156" s="1159"/>
      <c r="C156" s="1160" t="s">
        <v>491</v>
      </c>
      <c r="D156" s="1160" t="s">
        <v>492</v>
      </c>
      <c r="E156" s="1160">
        <f>ROUND(E159*100%,0)</f>
        <v>1977</v>
      </c>
      <c r="F156" s="1160">
        <f>ROUND(F159*100%,0)</f>
        <v>1960</v>
      </c>
      <c r="G156" s="1160">
        <f>ROUND(F156*6.91,0)</f>
        <v>13544</v>
      </c>
      <c r="H156" s="1162" t="s">
        <v>493</v>
      </c>
      <c r="I156" s="1167">
        <f>ROUND(I159*67.9%,2)</f>
        <v>4.51</v>
      </c>
      <c r="J156" s="1167" t="e">
        <f>+#REF!</f>
        <v>#REF!</v>
      </c>
      <c r="K156" s="1167" t="e">
        <f>+#REF!</f>
        <v>#REF!</v>
      </c>
      <c r="L156" s="1167" t="e">
        <f>ROUND(G156*J156*12/10000000,2)</f>
        <v>#REF!</v>
      </c>
      <c r="M156" s="1167" t="e">
        <f>ROUND(I156*1000000*K156/10000000,2)</f>
        <v>#REF!</v>
      </c>
      <c r="N156" s="1167"/>
      <c r="O156" s="1167"/>
    </row>
    <row r="157" spans="1:18" ht="16.5" x14ac:dyDescent="0.2">
      <c r="A157" s="1197" t="s">
        <v>525</v>
      </c>
      <c r="B157" s="1159"/>
      <c r="C157" s="1160"/>
      <c r="D157" s="1160" t="s">
        <v>444</v>
      </c>
      <c r="E157" s="1160">
        <f>E159-E156</f>
        <v>0</v>
      </c>
      <c r="F157" s="1160">
        <f>F159-F156</f>
        <v>0</v>
      </c>
      <c r="G157" s="1160">
        <f>ROUND(F157*0,0)</f>
        <v>0</v>
      </c>
      <c r="H157" s="1162" t="s">
        <v>411</v>
      </c>
      <c r="I157" s="1167">
        <f>I159-I156</f>
        <v>2.13</v>
      </c>
      <c r="J157" s="1167" t="e">
        <f>+#REF!</f>
        <v>#REF!</v>
      </c>
      <c r="K157" s="1167" t="e">
        <f>+#REF!</f>
        <v>#REF!</v>
      </c>
      <c r="L157" s="1167" t="e">
        <f>ROUND(((F157*J156*50*12)+((G157-(F157*50))*J157*12))/10000000,2)</f>
        <v>#REF!</v>
      </c>
      <c r="M157" s="1167" t="e">
        <f>ROUND(I157*1000000*K157/10000000,2)</f>
        <v>#REF!</v>
      </c>
      <c r="N157" s="1167"/>
      <c r="O157" s="1167"/>
    </row>
    <row r="158" spans="1:18" ht="16.5" x14ac:dyDescent="0.2">
      <c r="A158" s="1197" t="s">
        <v>525</v>
      </c>
      <c r="B158" s="1159"/>
      <c r="C158" s="1160"/>
      <c r="D158" s="1160" t="s">
        <v>556</v>
      </c>
      <c r="E158" s="1160"/>
      <c r="F158" s="1160"/>
      <c r="G158" s="1160"/>
      <c r="H158" s="1162"/>
      <c r="I158" s="1167"/>
      <c r="J158" s="1186" t="e">
        <f>+#REF!</f>
        <v>#REF!</v>
      </c>
      <c r="K158" s="1167"/>
      <c r="L158" s="1167"/>
      <c r="M158" s="1167"/>
      <c r="N158" s="1167"/>
      <c r="O158" s="1167"/>
    </row>
    <row r="159" spans="1:18" ht="16.5" x14ac:dyDescent="0.2">
      <c r="A159" s="1197" t="s">
        <v>525</v>
      </c>
      <c r="B159" s="1164"/>
      <c r="C159" s="1165"/>
      <c r="D159" s="1166" t="s">
        <v>486</v>
      </c>
      <c r="E159" s="1165">
        <f>ROUND(E165*52.11%,0)</f>
        <v>1977</v>
      </c>
      <c r="F159" s="1165">
        <f>ROUND(F165*52.11%,0)</f>
        <v>1960</v>
      </c>
      <c r="G159" s="1165">
        <f>SUM(G156:G157)</f>
        <v>13544</v>
      </c>
      <c r="H159" s="1165"/>
      <c r="I159" s="1170">
        <f>ROUND(I165*57.75%,2)</f>
        <v>6.64</v>
      </c>
      <c r="J159" s="1170"/>
      <c r="K159" s="1170"/>
      <c r="L159" s="1170" t="e">
        <f>SUM(L156:L157)</f>
        <v>#REF!</v>
      </c>
      <c r="M159" s="1170" t="e">
        <f>SUM(M156:M157)</f>
        <v>#REF!</v>
      </c>
      <c r="N159" s="1170" t="e">
        <f>L159+M159</f>
        <v>#REF!</v>
      </c>
      <c r="O159" s="1177" t="e">
        <f>ROUND(N159/I159*10,2)</f>
        <v>#REF!</v>
      </c>
      <c r="R159" s="1224" t="e">
        <f>+N159-#REF!</f>
        <v>#REF!</v>
      </c>
    </row>
    <row r="160" spans="1:18" ht="16.5" x14ac:dyDescent="0.2">
      <c r="A160" s="1197" t="s">
        <v>525</v>
      </c>
      <c r="B160" s="1163"/>
      <c r="C160" s="1163"/>
      <c r="D160" s="1163"/>
      <c r="E160" s="1163"/>
      <c r="F160" s="1163"/>
      <c r="G160" s="1163"/>
      <c r="H160" s="1163"/>
      <c r="I160" s="1176"/>
      <c r="J160" s="1176"/>
      <c r="K160" s="1176"/>
      <c r="L160" s="1176"/>
      <c r="M160" s="1176"/>
      <c r="N160" s="1176"/>
      <c r="O160" s="1176"/>
    </row>
    <row r="161" spans="1:18" ht="16.5" x14ac:dyDescent="0.2">
      <c r="A161" s="1197" t="s">
        <v>525</v>
      </c>
      <c r="B161" s="1159"/>
      <c r="C161" s="1160" t="s">
        <v>554</v>
      </c>
      <c r="D161" s="1160" t="s">
        <v>492</v>
      </c>
      <c r="E161" s="1160">
        <f>ROUND(E164*100%,0)</f>
        <v>1817</v>
      </c>
      <c r="F161" s="1160">
        <f>ROUND(F164*100%,0)</f>
        <v>1801</v>
      </c>
      <c r="G161" s="1160">
        <f>ROUND(F161*4.99,0)</f>
        <v>8987</v>
      </c>
      <c r="H161" s="1162" t="s">
        <v>493</v>
      </c>
      <c r="I161" s="1167">
        <f>ROUND(I164*87%,2)</f>
        <v>4.2300000000000004</v>
      </c>
      <c r="J161" s="1167" t="e">
        <f>+#REF!</f>
        <v>#REF!</v>
      </c>
      <c r="K161" s="1167" t="e">
        <f>+#REF!</f>
        <v>#REF!</v>
      </c>
      <c r="L161" s="1167" t="e">
        <f>ROUND(G161*J161*12/10000000,2)</f>
        <v>#REF!</v>
      </c>
      <c r="M161" s="1167" t="e">
        <f>ROUND(I161*1000000*K161/10000000,2)</f>
        <v>#REF!</v>
      </c>
      <c r="N161" s="1167"/>
      <c r="O161" s="1167"/>
    </row>
    <row r="162" spans="1:18" ht="16.5" x14ac:dyDescent="0.2">
      <c r="A162" s="1197" t="s">
        <v>525</v>
      </c>
      <c r="B162" s="1159"/>
      <c r="C162" s="1160"/>
      <c r="D162" s="1160" t="s">
        <v>444</v>
      </c>
      <c r="E162" s="1160">
        <f>E164-E161</f>
        <v>0</v>
      </c>
      <c r="F162" s="1160">
        <f>F164-F161</f>
        <v>0</v>
      </c>
      <c r="G162" s="1160">
        <f>ROUND(F162*0,0)</f>
        <v>0</v>
      </c>
      <c r="H162" s="1162" t="s">
        <v>411</v>
      </c>
      <c r="I162" s="1167">
        <f>I164-I161</f>
        <v>0.62999999999999989</v>
      </c>
      <c r="J162" s="1167" t="e">
        <f>+#REF!</f>
        <v>#REF!</v>
      </c>
      <c r="K162" s="1167" t="e">
        <f>+#REF!</f>
        <v>#REF!</v>
      </c>
      <c r="L162" s="1167" t="e">
        <f>ROUND(((F162*J161*50*12)+((G162-(F162*50))*J162*12))/10000000,2)</f>
        <v>#REF!</v>
      </c>
      <c r="M162" s="1167" t="e">
        <f>ROUND(I162*1000000*K162/10000000,2)</f>
        <v>#REF!</v>
      </c>
      <c r="N162" s="1167"/>
      <c r="O162" s="1167"/>
    </row>
    <row r="163" spans="1:18" ht="16.5" x14ac:dyDescent="0.2">
      <c r="A163" s="1197" t="s">
        <v>525</v>
      </c>
      <c r="B163" s="1159"/>
      <c r="C163" s="1160"/>
      <c r="D163" s="1160" t="s">
        <v>556</v>
      </c>
      <c r="E163" s="1160"/>
      <c r="F163" s="1160"/>
      <c r="G163" s="1160"/>
      <c r="H163" s="1162"/>
      <c r="I163" s="1167"/>
      <c r="J163" s="1186" t="e">
        <f>+#REF!</f>
        <v>#REF!</v>
      </c>
      <c r="K163" s="1167"/>
      <c r="L163" s="1167"/>
      <c r="M163" s="1167"/>
      <c r="N163" s="1167"/>
      <c r="O163" s="1167"/>
    </row>
    <row r="164" spans="1:18" ht="16.5" x14ac:dyDescent="0.2">
      <c r="A164" s="1197" t="s">
        <v>525</v>
      </c>
      <c r="B164" s="1164"/>
      <c r="C164" s="1165"/>
      <c r="D164" s="1166" t="s">
        <v>486</v>
      </c>
      <c r="E164" s="1169">
        <f>E165-E159</f>
        <v>1817</v>
      </c>
      <c r="F164" s="1169">
        <f>F165-F159</f>
        <v>1801</v>
      </c>
      <c r="G164" s="1165">
        <f>SUM(G161:G162)</f>
        <v>8987</v>
      </c>
      <c r="H164" s="1165"/>
      <c r="I164" s="1170">
        <f>I165-I159</f>
        <v>4.8600000000000003</v>
      </c>
      <c r="J164" s="1170"/>
      <c r="K164" s="1170"/>
      <c r="L164" s="1170" t="e">
        <f>SUM(L161:L162)</f>
        <v>#REF!</v>
      </c>
      <c r="M164" s="1170" t="e">
        <f>SUM(M161:M162)</f>
        <v>#REF!</v>
      </c>
      <c r="N164" s="1170" t="e">
        <f>L164+M164</f>
        <v>#REF!</v>
      </c>
      <c r="O164" s="1177" t="e">
        <f>ROUND(N164/I164*10,2)</f>
        <v>#REF!</v>
      </c>
      <c r="R164" s="1224" t="e">
        <f>+N164-#REF!</f>
        <v>#REF!</v>
      </c>
    </row>
    <row r="165" spans="1:18" ht="16.5" x14ac:dyDescent="0.2">
      <c r="A165" s="1197" t="s">
        <v>525</v>
      </c>
      <c r="B165" s="1164">
        <v>3</v>
      </c>
      <c r="C165" s="1165" t="s">
        <v>553</v>
      </c>
      <c r="D165" s="1165"/>
      <c r="E165" s="1169">
        <f>Sales_FY24!$P$50</f>
        <v>3794</v>
      </c>
      <c r="F165" s="1169">
        <f>Sales_FY24!$V$50</f>
        <v>3761</v>
      </c>
      <c r="G165" s="1169">
        <f>G156+G164</f>
        <v>22531</v>
      </c>
      <c r="H165" s="1165"/>
      <c r="I165" s="1170">
        <f>Sales_FY24!$Q$50</f>
        <v>11.5</v>
      </c>
      <c r="J165" s="1170"/>
      <c r="K165" s="1170"/>
      <c r="L165" s="1170" t="e">
        <f>L159+L164</f>
        <v>#REF!</v>
      </c>
      <c r="M165" s="1170" t="e">
        <f>M159+M164</f>
        <v>#REF!</v>
      </c>
      <c r="N165" s="1170" t="e">
        <f>L165+M165</f>
        <v>#REF!</v>
      </c>
      <c r="O165" s="1177" t="e">
        <f>ROUND(N165/I165*10,2)</f>
        <v>#REF!</v>
      </c>
    </row>
    <row r="166" spans="1:18" ht="16.5" x14ac:dyDescent="0.2">
      <c r="A166" s="1197" t="s">
        <v>525</v>
      </c>
      <c r="B166" s="1163"/>
      <c r="C166" s="1163"/>
      <c r="D166" s="1163"/>
      <c r="E166" s="1163"/>
      <c r="F166" s="1163"/>
      <c r="G166" s="1163"/>
      <c r="H166" s="1163"/>
      <c r="I166" s="1176"/>
      <c r="J166" s="1176"/>
      <c r="K166" s="1176"/>
      <c r="L166" s="1176"/>
      <c r="M166" s="1176"/>
      <c r="N166" s="1176"/>
      <c r="O166" s="1176"/>
    </row>
    <row r="167" spans="1:18" ht="16.5" x14ac:dyDescent="0.2">
      <c r="A167" s="1197" t="s">
        <v>525</v>
      </c>
      <c r="B167" s="1159"/>
      <c r="C167" s="1160" t="s">
        <v>69</v>
      </c>
      <c r="D167" s="1160" t="s">
        <v>492</v>
      </c>
      <c r="E167" s="1160">
        <f>ROUND(E169*100%,0)</f>
        <v>152462</v>
      </c>
      <c r="F167" s="1160">
        <f>ROUND(F169*100%,0)</f>
        <v>149839</v>
      </c>
      <c r="G167" s="1160">
        <f>ROUND(F167*2.25,0)</f>
        <v>337138</v>
      </c>
      <c r="H167" s="1162" t="s">
        <v>426</v>
      </c>
      <c r="I167" s="1167">
        <f>ROUND(I169*8.23%,2)</f>
        <v>20.23</v>
      </c>
      <c r="J167" s="1167" t="e">
        <f>+#REF!</f>
        <v>#REF!</v>
      </c>
      <c r="K167" s="1167" t="e">
        <f>+#REF!</f>
        <v>#REF!</v>
      </c>
      <c r="L167" s="1167" t="e">
        <f>ROUND(G167*J167*12/10000000,2)</f>
        <v>#REF!</v>
      </c>
      <c r="M167" s="1167" t="e">
        <f>ROUND(I167*1000000*K167/10000000,2)</f>
        <v>#REF!</v>
      </c>
      <c r="N167" s="1167"/>
      <c r="O167" s="1167"/>
    </row>
    <row r="168" spans="1:18" ht="16.5" x14ac:dyDescent="0.2">
      <c r="A168" s="1197" t="s">
        <v>525</v>
      </c>
      <c r="B168" s="1159"/>
      <c r="C168" s="1160"/>
      <c r="D168" s="1160" t="s">
        <v>444</v>
      </c>
      <c r="E168" s="1160">
        <f>E169-E167</f>
        <v>0</v>
      </c>
      <c r="F168" s="1160">
        <f>F169-F167</f>
        <v>0</v>
      </c>
      <c r="G168" s="1160">
        <f>ROUND(F168*0,0)</f>
        <v>0</v>
      </c>
      <c r="H168" s="1162" t="s">
        <v>558</v>
      </c>
      <c r="I168" s="1167">
        <f>I169-I167</f>
        <v>225.59</v>
      </c>
      <c r="J168" s="1167" t="e">
        <f>+#REF!</f>
        <v>#REF!</v>
      </c>
      <c r="K168" s="1167" t="e">
        <f>+#REF!</f>
        <v>#REF!</v>
      </c>
      <c r="L168" s="1167" t="e">
        <f>ROUND(((F168*J167*50*12)+((G168-(F168*50))*J168*12))/10000000,2)</f>
        <v>#REF!</v>
      </c>
      <c r="M168" s="1167" t="e">
        <f>ROUND(I168*1000000*K168/10000000,2)</f>
        <v>#REF!</v>
      </c>
      <c r="N168" s="1167"/>
      <c r="O168" s="1167"/>
    </row>
    <row r="169" spans="1:18" ht="16.5" x14ac:dyDescent="0.2">
      <c r="A169" s="1197" t="s">
        <v>525</v>
      </c>
      <c r="B169" s="1164"/>
      <c r="C169" s="1165"/>
      <c r="D169" s="1166" t="s">
        <v>486</v>
      </c>
      <c r="E169" s="1165">
        <f>ROUND(E174*60.41%,0)</f>
        <v>152462</v>
      </c>
      <c r="F169" s="1165">
        <f>ROUND(F174*60.41%,0)</f>
        <v>149839</v>
      </c>
      <c r="G169" s="1165">
        <f>SUM(G167:G168)</f>
        <v>337138</v>
      </c>
      <c r="H169" s="1165"/>
      <c r="I169" s="1170">
        <f>ROUND(I174*61.65%,2)</f>
        <v>245.82</v>
      </c>
      <c r="J169" s="1170"/>
      <c r="K169" s="1170"/>
      <c r="L169" s="1170" t="e">
        <f>SUM(L167:L168)</f>
        <v>#REF!</v>
      </c>
      <c r="M169" s="1170" t="e">
        <f>SUM(M167:M168)</f>
        <v>#REF!</v>
      </c>
      <c r="N169" s="1170" t="e">
        <f>L169+M169</f>
        <v>#REF!</v>
      </c>
      <c r="O169" s="1177" t="e">
        <f>ROUND(N169/I169*10,2)</f>
        <v>#REF!</v>
      </c>
      <c r="R169" s="1224" t="e">
        <f>+N169-#REF!</f>
        <v>#REF!</v>
      </c>
    </row>
    <row r="170" spans="1:18" ht="16.5" x14ac:dyDescent="0.2">
      <c r="A170" s="1197" t="s">
        <v>525</v>
      </c>
      <c r="B170" s="1163"/>
      <c r="C170" s="1163"/>
      <c r="D170" s="1163"/>
      <c r="E170" s="1163"/>
      <c r="F170" s="1163"/>
      <c r="G170" s="1163"/>
      <c r="H170" s="1163"/>
      <c r="I170" s="1176"/>
      <c r="J170" s="1176"/>
      <c r="K170" s="1176"/>
      <c r="L170" s="1176"/>
      <c r="M170" s="1176"/>
      <c r="N170" s="1176"/>
      <c r="O170" s="1176"/>
    </row>
    <row r="171" spans="1:18" ht="16.5" x14ac:dyDescent="0.2">
      <c r="A171" s="1197" t="s">
        <v>525</v>
      </c>
      <c r="B171" s="1159"/>
      <c r="C171" s="1160" t="s">
        <v>76</v>
      </c>
      <c r="D171" s="1160" t="s">
        <v>492</v>
      </c>
      <c r="E171" s="1160">
        <f>ROUND(E173*100%,0)</f>
        <v>99916</v>
      </c>
      <c r="F171" s="1160">
        <f>ROUND(F173*100%,0)</f>
        <v>98197</v>
      </c>
      <c r="G171" s="1160">
        <f>ROUND(F171*1.78,0)</f>
        <v>174791</v>
      </c>
      <c r="H171" s="1162" t="s">
        <v>426</v>
      </c>
      <c r="I171" s="1167">
        <f>ROUND(I173*7.48%,2)</f>
        <v>11.44</v>
      </c>
      <c r="J171" s="1167" t="e">
        <f>+#REF!</f>
        <v>#REF!</v>
      </c>
      <c r="K171" s="1167" t="e">
        <f>+#REF!</f>
        <v>#REF!</v>
      </c>
      <c r="L171" s="1167" t="e">
        <f>ROUND(G171*J171*12/10000000,2)</f>
        <v>#REF!</v>
      </c>
      <c r="M171" s="1167" t="e">
        <f>ROUND(I171*1000000*K171/10000000,2)</f>
        <v>#REF!</v>
      </c>
      <c r="N171" s="1167"/>
      <c r="O171" s="1167"/>
    </row>
    <row r="172" spans="1:18" ht="16.5" x14ac:dyDescent="0.2">
      <c r="A172" s="1197" t="s">
        <v>525</v>
      </c>
      <c r="B172" s="1159"/>
      <c r="C172" s="1160"/>
      <c r="D172" s="1160" t="s">
        <v>444</v>
      </c>
      <c r="E172" s="1160">
        <f>E173-E171</f>
        <v>0</v>
      </c>
      <c r="F172" s="1160">
        <f>F173-F171</f>
        <v>0</v>
      </c>
      <c r="G172" s="1160">
        <f>ROUND(F172*0,0)</f>
        <v>0</v>
      </c>
      <c r="H172" s="1162" t="s">
        <v>558</v>
      </c>
      <c r="I172" s="1167">
        <f>I173-I171</f>
        <v>141.48000000000002</v>
      </c>
      <c r="J172" s="1167" t="e">
        <f>+#REF!</f>
        <v>#REF!</v>
      </c>
      <c r="K172" s="1167" t="e">
        <f>+#REF!</f>
        <v>#REF!</v>
      </c>
      <c r="L172" s="1167" t="e">
        <f>ROUND(((F172*J171*50*12)+((G172-(F172*50))*J172*12))/10000000,2)</f>
        <v>#REF!</v>
      </c>
      <c r="M172" s="1167" t="e">
        <f>ROUND(I172*1000000*K172/10000000,2)</f>
        <v>#REF!</v>
      </c>
      <c r="N172" s="1167"/>
      <c r="O172" s="1167"/>
    </row>
    <row r="173" spans="1:18" ht="16.5" x14ac:dyDescent="0.2">
      <c r="A173" s="1197" t="s">
        <v>525</v>
      </c>
      <c r="B173" s="1164"/>
      <c r="C173" s="1165"/>
      <c r="D173" s="1166" t="s">
        <v>486</v>
      </c>
      <c r="E173" s="1169">
        <f>E174-E169</f>
        <v>99916</v>
      </c>
      <c r="F173" s="1169">
        <f>F174-F169</f>
        <v>98197</v>
      </c>
      <c r="G173" s="1165">
        <f>SUM(G171:G172)</f>
        <v>174791</v>
      </c>
      <c r="H173" s="1165"/>
      <c r="I173" s="1170">
        <f>I174-I169</f>
        <v>152.92000000000002</v>
      </c>
      <c r="J173" s="1170"/>
      <c r="K173" s="1170"/>
      <c r="L173" s="1170" t="e">
        <f>SUM(L171:L172)</f>
        <v>#REF!</v>
      </c>
      <c r="M173" s="1170" t="e">
        <f>SUM(M171:M172)</f>
        <v>#REF!</v>
      </c>
      <c r="N173" s="1170" t="e">
        <f>L173+M173</f>
        <v>#REF!</v>
      </c>
      <c r="O173" s="1177" t="e">
        <f>ROUND(N173/I173*10,2)</f>
        <v>#REF!</v>
      </c>
      <c r="R173" s="1224" t="e">
        <f>+N173-#REF!</f>
        <v>#REF!</v>
      </c>
    </row>
    <row r="174" spans="1:18" ht="16.5" x14ac:dyDescent="0.2">
      <c r="A174" s="1197" t="s">
        <v>525</v>
      </c>
      <c r="B174" s="1164">
        <v>4</v>
      </c>
      <c r="C174" s="1165" t="s">
        <v>557</v>
      </c>
      <c r="D174" s="1165"/>
      <c r="E174" s="1169">
        <f>Sales_FY24!$P$51</f>
        <v>252378</v>
      </c>
      <c r="F174" s="1169">
        <f>Sales_FY24!$V$51</f>
        <v>248036</v>
      </c>
      <c r="G174" s="1169">
        <f>G169+G173</f>
        <v>511929</v>
      </c>
      <c r="H174" s="1165"/>
      <c r="I174" s="1170">
        <f>Sales_FY24!$Q$51</f>
        <v>398.74</v>
      </c>
      <c r="J174" s="1170"/>
      <c r="K174" s="1170"/>
      <c r="L174" s="1170" t="e">
        <f>L169+L173</f>
        <v>#REF!</v>
      </c>
      <c r="M174" s="1170" t="e">
        <f>M169+M173</f>
        <v>#REF!</v>
      </c>
      <c r="N174" s="1170" t="e">
        <f>L174+M174</f>
        <v>#REF!</v>
      </c>
      <c r="O174" s="1177" t="e">
        <f>ROUND(N174/I174*10,2)</f>
        <v>#REF!</v>
      </c>
    </row>
    <row r="175" spans="1:18" ht="16.5" x14ac:dyDescent="0.2">
      <c r="A175" s="1197" t="s">
        <v>525</v>
      </c>
      <c r="B175" s="1163"/>
      <c r="C175" s="1163"/>
      <c r="D175" s="1163"/>
      <c r="E175" s="1163"/>
      <c r="F175" s="1163"/>
      <c r="G175" s="1163"/>
      <c r="H175" s="1163"/>
      <c r="I175" s="1176"/>
      <c r="J175" s="1176"/>
      <c r="K175" s="1176"/>
      <c r="L175" s="1176"/>
      <c r="M175" s="1176"/>
      <c r="N175" s="1176"/>
      <c r="O175" s="1176"/>
    </row>
    <row r="176" spans="1:18" ht="16.5" x14ac:dyDescent="0.2">
      <c r="A176" s="1197" t="s">
        <v>525</v>
      </c>
      <c r="B176" s="1159"/>
      <c r="C176" s="1160" t="s">
        <v>559</v>
      </c>
      <c r="D176" s="1160" t="s">
        <v>560</v>
      </c>
      <c r="E176" s="1160">
        <f>Sales_FY24!$P$52</f>
        <v>415739</v>
      </c>
      <c r="F176" s="1160">
        <f>Sales_FY24!$V$52</f>
        <v>405685</v>
      </c>
      <c r="G176" s="1160">
        <f>ROUND(F176*3.553,0)</f>
        <v>1441399</v>
      </c>
      <c r="H176" s="1162" t="s">
        <v>561</v>
      </c>
      <c r="I176" s="1167">
        <f>Sales_FY24!$Q$52</f>
        <v>1634.91</v>
      </c>
      <c r="J176" s="1167"/>
      <c r="K176" s="1167" t="e">
        <f>+#REF!</f>
        <v>#REF!</v>
      </c>
      <c r="L176" s="1167">
        <f>ROUND(G176*J176*12/10000000,2)</f>
        <v>0</v>
      </c>
      <c r="M176" s="1167" t="e">
        <f>ROUND(I176*1000000*K176/10000000,2)</f>
        <v>#REF!</v>
      </c>
      <c r="N176" s="1167" t="e">
        <f>L176+M176</f>
        <v>#REF!</v>
      </c>
      <c r="O176" s="1192" t="e">
        <f>ROUND(N176/I176*10,2)</f>
        <v>#REF!</v>
      </c>
    </row>
    <row r="177" spans="1:18" ht="16.5" x14ac:dyDescent="0.2">
      <c r="A177" s="1197" t="s">
        <v>525</v>
      </c>
      <c r="B177" s="1159"/>
      <c r="C177" s="1160" t="s">
        <v>562</v>
      </c>
      <c r="D177" s="1160" t="s">
        <v>563</v>
      </c>
      <c r="E177" s="1168">
        <f>Sales_FY24!$P$53</f>
        <v>143</v>
      </c>
      <c r="F177" s="1160">
        <f>Sales_FY24!$V$53</f>
        <v>143</v>
      </c>
      <c r="G177" s="1160">
        <f>ROUND(F177*33.36,0)</f>
        <v>4770</v>
      </c>
      <c r="H177" s="1162" t="s">
        <v>561</v>
      </c>
      <c r="I177" s="1167">
        <f>Sales_FY24!$Q$53</f>
        <v>0.66</v>
      </c>
      <c r="J177" s="1167" t="e">
        <f>+#REF!</f>
        <v>#REF!</v>
      </c>
      <c r="K177" s="1167" t="e">
        <f>+#REF!</f>
        <v>#REF!</v>
      </c>
      <c r="L177" s="1167" t="e">
        <f>ROUND(G177*J177*12/10000000,2)</f>
        <v>#REF!</v>
      </c>
      <c r="M177" s="1167" t="e">
        <f>ROUND(I177*1000000*K177/10000000,2)</f>
        <v>#REF!</v>
      </c>
      <c r="N177" s="1167" t="e">
        <f>L177+M177</f>
        <v>#REF!</v>
      </c>
      <c r="O177" s="1192" t="e">
        <f>ROUND(N177/I177*10,2)</f>
        <v>#REF!</v>
      </c>
    </row>
    <row r="178" spans="1:18" ht="16.5" x14ac:dyDescent="0.2">
      <c r="A178" s="1197" t="s">
        <v>525</v>
      </c>
      <c r="B178" s="1159"/>
      <c r="C178" s="1160" t="s">
        <v>564</v>
      </c>
      <c r="D178" s="1160" t="s">
        <v>565</v>
      </c>
      <c r="E178" s="1168">
        <f>Sales_FY24!$P$54</f>
        <v>5803</v>
      </c>
      <c r="F178" s="1160">
        <f>Sales_FY24!$V$54</f>
        <v>5623</v>
      </c>
      <c r="G178" s="1160">
        <f>ROUND(F178*8.25,0)</f>
        <v>46390</v>
      </c>
      <c r="H178" s="1162" t="s">
        <v>561</v>
      </c>
      <c r="I178" s="1167">
        <f>Sales_FY24!$Q$54</f>
        <v>7.5</v>
      </c>
      <c r="J178" s="1167" t="e">
        <f>+#REF!</f>
        <v>#REF!</v>
      </c>
      <c r="K178" s="1167" t="e">
        <f>+#REF!</f>
        <v>#REF!</v>
      </c>
      <c r="L178" s="1167" t="e">
        <f>ROUND(G178*J178*12/10000000,2)</f>
        <v>#REF!</v>
      </c>
      <c r="M178" s="1167" t="e">
        <f>ROUND(I178*1000000*K178/10000000,2)</f>
        <v>#REF!</v>
      </c>
      <c r="N178" s="1167" t="e">
        <f>L178+M178</f>
        <v>#REF!</v>
      </c>
      <c r="O178" s="1192" t="e">
        <f>ROUND(N178/I178*10,2)</f>
        <v>#REF!</v>
      </c>
    </row>
    <row r="179" spans="1:18" ht="16.5" x14ac:dyDescent="0.2">
      <c r="A179" s="1197" t="s">
        <v>525</v>
      </c>
      <c r="B179" s="1164">
        <v>5</v>
      </c>
      <c r="C179" s="1165" t="s">
        <v>566</v>
      </c>
      <c r="D179" s="1165"/>
      <c r="E179" s="1169">
        <f>SUM(E176:E178)</f>
        <v>421685</v>
      </c>
      <c r="F179" s="1169">
        <f>SUM(F176:F178)</f>
        <v>411451</v>
      </c>
      <c r="G179" s="1169">
        <f>SUM(G176:G178)</f>
        <v>1492559</v>
      </c>
      <c r="H179" s="1165"/>
      <c r="I179" s="1170">
        <f>SUM(I176:I178)</f>
        <v>1643.0700000000002</v>
      </c>
      <c r="J179" s="1170"/>
      <c r="K179" s="1170"/>
      <c r="L179" s="1170" t="e">
        <f>SUM(L176:L178)</f>
        <v>#REF!</v>
      </c>
      <c r="M179" s="1170" t="e">
        <f>SUM(M176:M178)</f>
        <v>#REF!</v>
      </c>
      <c r="N179" s="1170" t="e">
        <f>SUM(N176:N178)</f>
        <v>#REF!</v>
      </c>
      <c r="O179" s="1177" t="e">
        <f>ROUND(N179/I179*10,2)</f>
        <v>#REF!</v>
      </c>
    </row>
    <row r="180" spans="1:18" ht="16.5" x14ac:dyDescent="0.2">
      <c r="A180" s="1197" t="s">
        <v>525</v>
      </c>
      <c r="B180" s="1163"/>
      <c r="C180" s="1163"/>
      <c r="D180" s="1163"/>
      <c r="E180" s="1163"/>
      <c r="F180" s="1163"/>
      <c r="G180" s="1163"/>
      <c r="H180" s="1163"/>
      <c r="I180" s="1176"/>
      <c r="J180" s="1176"/>
      <c r="K180" s="1176"/>
      <c r="L180" s="1176"/>
      <c r="M180" s="1176"/>
      <c r="N180" s="1176"/>
      <c r="O180" s="1176"/>
    </row>
    <row r="181" spans="1:18" ht="16.5" x14ac:dyDescent="0.2">
      <c r="A181" s="1197" t="s">
        <v>525</v>
      </c>
      <c r="B181" s="1159"/>
      <c r="C181" s="1160" t="s">
        <v>9</v>
      </c>
      <c r="D181" s="1160" t="s">
        <v>568</v>
      </c>
      <c r="E181" s="1160">
        <f>ROUND(E186*28.09%,0)</f>
        <v>1694</v>
      </c>
      <c r="F181" s="1160">
        <f>ROUND(F186*28.09%,0)</f>
        <v>1659</v>
      </c>
      <c r="G181" s="1160">
        <f>ROUND(F181*3.07487,0)</f>
        <v>5101</v>
      </c>
      <c r="H181" s="1162" t="s">
        <v>573</v>
      </c>
      <c r="I181" s="1167">
        <f>ROUND(I186*26%,2)</f>
        <v>11.95</v>
      </c>
      <c r="J181" s="1167" t="e">
        <f>+#REF!</f>
        <v>#REF!</v>
      </c>
      <c r="K181" s="1167" t="e">
        <f>+#REF!</f>
        <v>#REF!</v>
      </c>
      <c r="L181" s="1167" t="e">
        <f>ROUND(G181*J181*12/10000000,2)</f>
        <v>#REF!</v>
      </c>
      <c r="M181" s="1167" t="e">
        <f>ROUND(I181*1000000*K181/10000000,2)</f>
        <v>#REF!</v>
      </c>
      <c r="N181" s="1167"/>
      <c r="O181" s="1167"/>
    </row>
    <row r="182" spans="1:18" ht="16.5" x14ac:dyDescent="0.2">
      <c r="A182" s="1197" t="s">
        <v>525</v>
      </c>
      <c r="B182" s="1159"/>
      <c r="C182" s="1160"/>
      <c r="D182" s="1160" t="s">
        <v>569</v>
      </c>
      <c r="E182" s="1160">
        <f>ROUND(E186*60.5%,0)</f>
        <v>3648</v>
      </c>
      <c r="F182" s="1160">
        <f>ROUND(F186*60.5%,0)</f>
        <v>3573</v>
      </c>
      <c r="G182" s="1160">
        <f>ROUND(F182*12.40911,0)</f>
        <v>44338</v>
      </c>
      <c r="H182" s="1162" t="s">
        <v>574</v>
      </c>
      <c r="I182" s="1167">
        <f>ROUND(I186*42.92%,2)</f>
        <v>19.72</v>
      </c>
      <c r="J182" s="1167" t="e">
        <f>+#REF!</f>
        <v>#REF!</v>
      </c>
      <c r="K182" s="1167" t="e">
        <f>+#REF!</f>
        <v>#REF!</v>
      </c>
      <c r="L182" s="1167" t="e">
        <f>ROUND(G182*J182*12/10000000,2)</f>
        <v>#REF!</v>
      </c>
      <c r="M182" s="1167" t="e">
        <f>ROUND(I182*1000000*K182/10000000,2)</f>
        <v>#REF!</v>
      </c>
      <c r="N182" s="1167"/>
      <c r="O182" s="1167"/>
    </row>
    <row r="183" spans="1:18" ht="16.5" x14ac:dyDescent="0.2">
      <c r="A183" s="1197" t="s">
        <v>525</v>
      </c>
      <c r="B183" s="1159"/>
      <c r="C183" s="1160"/>
      <c r="D183" s="1160" t="s">
        <v>570</v>
      </c>
      <c r="E183" s="1160">
        <f>ROUND(E186*9.9037%,0)</f>
        <v>597</v>
      </c>
      <c r="F183" s="1160">
        <f>ROUND(F186*9.9037%,0)</f>
        <v>585</v>
      </c>
      <c r="G183" s="1160">
        <f>ROUND(F183*40.54432,0)</f>
        <v>23718</v>
      </c>
      <c r="H183" s="1162" t="s">
        <v>575</v>
      </c>
      <c r="I183" s="1167">
        <f>I186-I181-I182</f>
        <v>14.280000000000001</v>
      </c>
      <c r="J183" s="1167" t="e">
        <f>+#REF!</f>
        <v>#REF!</v>
      </c>
      <c r="K183" s="1167" t="e">
        <f>+#REF!</f>
        <v>#REF!</v>
      </c>
      <c r="L183" s="1167" t="e">
        <f>ROUND(G183*J183*12/10000000,2)</f>
        <v>#REF!</v>
      </c>
      <c r="M183" s="1167" t="e">
        <f>ROUND(I183*1000000*K183/10000000,2)</f>
        <v>#REF!</v>
      </c>
      <c r="N183" s="1167"/>
      <c r="O183" s="1167"/>
    </row>
    <row r="184" spans="1:18" ht="16.5" x14ac:dyDescent="0.2">
      <c r="A184" s="1197" t="s">
        <v>525</v>
      </c>
      <c r="B184" s="1159"/>
      <c r="C184" s="1160"/>
      <c r="D184" s="1160" t="s">
        <v>571</v>
      </c>
      <c r="E184" s="1160">
        <f>ROUND(E186*1.405344444444%,0)</f>
        <v>85</v>
      </c>
      <c r="F184" s="1160">
        <f>ROUND(F186*1.405344444444%,0)</f>
        <v>83</v>
      </c>
      <c r="G184" s="1160">
        <f>ROUND(F184*92.77083,0)</f>
        <v>7700</v>
      </c>
      <c r="H184" s="1162"/>
      <c r="I184" s="1167"/>
      <c r="J184" s="1167" t="e">
        <f>+#REF!</f>
        <v>#REF!</v>
      </c>
      <c r="K184" s="1167"/>
      <c r="L184" s="1167" t="e">
        <f>ROUND(G184*J184*12/10000000,2)</f>
        <v>#REF!</v>
      </c>
      <c r="M184" s="1167"/>
      <c r="N184" s="1167"/>
      <c r="O184" s="1167"/>
    </row>
    <row r="185" spans="1:18" ht="16.5" x14ac:dyDescent="0.2">
      <c r="A185" s="1197" t="s">
        <v>525</v>
      </c>
      <c r="B185" s="1159"/>
      <c r="C185" s="1160"/>
      <c r="D185" s="1160" t="s">
        <v>572</v>
      </c>
      <c r="E185" s="1160">
        <f>E186-E181-E182-E183-E184</f>
        <v>5</v>
      </c>
      <c r="F185" s="1160">
        <f>F186-F181-F182-F183-F184</f>
        <v>6</v>
      </c>
      <c r="G185" s="1160">
        <f>ROUND(F185*112,0)</f>
        <v>672</v>
      </c>
      <c r="H185" s="1162"/>
      <c r="I185" s="1167"/>
      <c r="J185" s="1167" t="e">
        <f>+#REF!</f>
        <v>#REF!</v>
      </c>
      <c r="K185" s="1167"/>
      <c r="L185" s="1167" t="e">
        <f>ROUND(G185*J185*12/10000000,2)</f>
        <v>#REF!</v>
      </c>
      <c r="M185" s="1167"/>
      <c r="N185" s="1167"/>
      <c r="O185" s="1167"/>
    </row>
    <row r="186" spans="1:18" ht="16.5" x14ac:dyDescent="0.2">
      <c r="A186" s="1197" t="s">
        <v>525</v>
      </c>
      <c r="B186" s="1164"/>
      <c r="C186" s="1165"/>
      <c r="D186" s="1166" t="s">
        <v>486</v>
      </c>
      <c r="E186" s="1165">
        <f>ROUND(E194*15.8%,0)</f>
        <v>6029</v>
      </c>
      <c r="F186" s="1165">
        <f>ROUND(F194*15.8%,0)</f>
        <v>5906</v>
      </c>
      <c r="G186" s="1165">
        <f>SUM(G181:G185)</f>
        <v>81529</v>
      </c>
      <c r="H186" s="1165"/>
      <c r="I186" s="1170">
        <f>ROUND(I194*30.12%,2)</f>
        <v>45.95</v>
      </c>
      <c r="J186" s="1170"/>
      <c r="K186" s="1170"/>
      <c r="L186" s="1170" t="e">
        <f>SUM(L181:L185)</f>
        <v>#REF!</v>
      </c>
      <c r="M186" s="1170" t="e">
        <f>SUM(M181:M185)</f>
        <v>#REF!</v>
      </c>
      <c r="N186" s="1170" t="e">
        <f>L186+M186</f>
        <v>#REF!</v>
      </c>
      <c r="O186" s="1177" t="e">
        <f>ROUND(N186/I186*10,2)</f>
        <v>#REF!</v>
      </c>
      <c r="R186" s="1224" t="e">
        <f>+N186-#REF!</f>
        <v>#REF!</v>
      </c>
    </row>
    <row r="187" spans="1:18" ht="16.5" x14ac:dyDescent="0.2">
      <c r="A187" s="1197" t="s">
        <v>525</v>
      </c>
      <c r="B187" s="1163"/>
      <c r="C187" s="1163"/>
      <c r="D187" s="1163"/>
      <c r="E187" s="1163"/>
      <c r="F187" s="1163"/>
      <c r="G187" s="1163"/>
      <c r="H187" s="1163"/>
      <c r="I187" s="1176"/>
      <c r="J187" s="1176"/>
      <c r="K187" s="1176"/>
      <c r="L187" s="1176"/>
      <c r="M187" s="1176"/>
      <c r="N187" s="1176"/>
      <c r="O187" s="1176"/>
    </row>
    <row r="188" spans="1:18" ht="16.5" x14ac:dyDescent="0.2">
      <c r="A188" s="1197" t="s">
        <v>525</v>
      </c>
      <c r="B188" s="1159"/>
      <c r="C188" s="1160" t="s">
        <v>11</v>
      </c>
      <c r="D188" s="1160" t="s">
        <v>568</v>
      </c>
      <c r="E188" s="1160">
        <f>ROUND(E193*49.59%,0)</f>
        <v>15932</v>
      </c>
      <c r="F188" s="1160">
        <f>ROUND(F193*49.59%,0)</f>
        <v>15608</v>
      </c>
      <c r="G188" s="1160">
        <f>ROUND(F188*3.1,0)</f>
        <v>48385</v>
      </c>
      <c r="H188" s="1162" t="s">
        <v>573</v>
      </c>
      <c r="I188" s="1167">
        <f>ROUND(I193*48.58%,2)</f>
        <v>51.78</v>
      </c>
      <c r="J188" s="1167" t="e">
        <f>+#REF!</f>
        <v>#REF!</v>
      </c>
      <c r="K188" s="1167" t="e">
        <f>+#REF!</f>
        <v>#REF!</v>
      </c>
      <c r="L188" s="1167" t="e">
        <f>ROUND(G188*J188*12/10000000,2)</f>
        <v>#REF!</v>
      </c>
      <c r="M188" s="1167" t="e">
        <f>ROUND(I188*1000000*K188/10000000,2)</f>
        <v>#REF!</v>
      </c>
      <c r="N188" s="1167"/>
      <c r="O188" s="1167"/>
    </row>
    <row r="189" spans="1:18" ht="16.5" x14ac:dyDescent="0.2">
      <c r="A189" s="1197" t="s">
        <v>525</v>
      </c>
      <c r="B189" s="1159"/>
      <c r="C189" s="1160"/>
      <c r="D189" s="1160" t="s">
        <v>569</v>
      </c>
      <c r="E189" s="1160">
        <f>ROUND(E193*43.948%,0)</f>
        <v>14119</v>
      </c>
      <c r="F189" s="1160">
        <f>ROUND(F193*43.948%,0)</f>
        <v>13832</v>
      </c>
      <c r="G189" s="1160">
        <f>ROUND(F189*12.75,0)</f>
        <v>176358</v>
      </c>
      <c r="H189" s="1162" t="s">
        <v>574</v>
      </c>
      <c r="I189" s="1167">
        <f>ROUND(I193*41.62%,2)</f>
        <v>44.36</v>
      </c>
      <c r="J189" s="1167" t="e">
        <f>+#REF!</f>
        <v>#REF!</v>
      </c>
      <c r="K189" s="1167" t="e">
        <f>+#REF!</f>
        <v>#REF!</v>
      </c>
      <c r="L189" s="1167" t="e">
        <f>ROUND(G189*J189*12/10000000,2)</f>
        <v>#REF!</v>
      </c>
      <c r="M189" s="1167" t="e">
        <f>ROUND(I189*1000000*K189/10000000,2)</f>
        <v>#REF!</v>
      </c>
      <c r="N189" s="1167"/>
      <c r="O189" s="1167"/>
    </row>
    <row r="190" spans="1:18" ht="16.5" x14ac:dyDescent="0.2">
      <c r="A190" s="1197" t="s">
        <v>525</v>
      </c>
      <c r="B190" s="1159"/>
      <c r="C190" s="1160"/>
      <c r="D190" s="1160" t="s">
        <v>570</v>
      </c>
      <c r="E190" s="1160">
        <f>ROUND(E193*5.96%,0)</f>
        <v>1915</v>
      </c>
      <c r="F190" s="1160">
        <f>ROUND(F193*5.96%,0)</f>
        <v>1876</v>
      </c>
      <c r="G190" s="1160">
        <f>ROUND(F190*61.55,0)</f>
        <v>115468</v>
      </c>
      <c r="H190" s="1162" t="s">
        <v>575</v>
      </c>
      <c r="I190" s="1167">
        <f>I193-I188-I189</f>
        <v>10.449999999999989</v>
      </c>
      <c r="J190" s="1167" t="e">
        <f>+#REF!</f>
        <v>#REF!</v>
      </c>
      <c r="K190" s="1167" t="e">
        <f>+#REF!</f>
        <v>#REF!</v>
      </c>
      <c r="L190" s="1167" t="e">
        <f>ROUND(G190*J190*12/10000000,2)</f>
        <v>#REF!</v>
      </c>
      <c r="M190" s="1167" t="e">
        <f>ROUND(I190*1000000*K190/10000000,2)</f>
        <v>#REF!</v>
      </c>
      <c r="N190" s="1167"/>
      <c r="O190" s="1167"/>
    </row>
    <row r="191" spans="1:18" ht="16.5" x14ac:dyDescent="0.2">
      <c r="A191" s="1197" t="s">
        <v>525</v>
      </c>
      <c r="B191" s="1159"/>
      <c r="C191" s="1160"/>
      <c r="D191" s="1160" t="s">
        <v>571</v>
      </c>
      <c r="E191" s="1160">
        <f>ROUND(E193*0.42893%,0)</f>
        <v>138</v>
      </c>
      <c r="F191" s="1160">
        <f>ROUND(F193*0.42893%,0)</f>
        <v>135</v>
      </c>
      <c r="G191" s="1160">
        <f>ROUND(F191*96.65,0)</f>
        <v>13048</v>
      </c>
      <c r="H191" s="1162"/>
      <c r="I191" s="1167"/>
      <c r="J191" s="1167" t="e">
        <f>+#REF!</f>
        <v>#REF!</v>
      </c>
      <c r="K191" s="1167"/>
      <c r="L191" s="1167" t="e">
        <f>ROUND(G191*J191*12/10000000,2)</f>
        <v>#REF!</v>
      </c>
      <c r="M191" s="1167"/>
      <c r="N191" s="1167"/>
      <c r="O191" s="1167"/>
    </row>
    <row r="192" spans="1:18" ht="16.5" x14ac:dyDescent="0.2">
      <c r="A192" s="1197" t="s">
        <v>525</v>
      </c>
      <c r="B192" s="1159"/>
      <c r="C192" s="1160"/>
      <c r="D192" s="1160" t="s">
        <v>572</v>
      </c>
      <c r="E192" s="1160">
        <f>E193-E188-E189-E190-E191</f>
        <v>23</v>
      </c>
      <c r="F192" s="1160">
        <f>F193-F188-F189-F190-F191</f>
        <v>23</v>
      </c>
      <c r="G192" s="1160">
        <f>ROUND(F192*125,0)</f>
        <v>2875</v>
      </c>
      <c r="H192" s="1162"/>
      <c r="I192" s="1167"/>
      <c r="J192" s="1167" t="e">
        <f>+#REF!</f>
        <v>#REF!</v>
      </c>
      <c r="K192" s="1167"/>
      <c r="L192" s="1167" t="e">
        <f>ROUND(G192*J192*12/10000000,2)</f>
        <v>#REF!</v>
      </c>
      <c r="M192" s="1167"/>
      <c r="N192" s="1167"/>
      <c r="O192" s="1167"/>
    </row>
    <row r="193" spans="1:18" ht="16.5" x14ac:dyDescent="0.2">
      <c r="A193" s="1197" t="s">
        <v>525</v>
      </c>
      <c r="B193" s="1164"/>
      <c r="C193" s="1165"/>
      <c r="D193" s="1166" t="s">
        <v>486</v>
      </c>
      <c r="E193" s="1169">
        <f>E194-E186</f>
        <v>32127</v>
      </c>
      <c r="F193" s="1169">
        <f>F194-F186</f>
        <v>31474</v>
      </c>
      <c r="G193" s="1165">
        <f>SUM(G188:G192)</f>
        <v>356134</v>
      </c>
      <c r="H193" s="1165"/>
      <c r="I193" s="1170">
        <f>I194-I186</f>
        <v>106.58999999999999</v>
      </c>
      <c r="J193" s="1170"/>
      <c r="K193" s="1170"/>
      <c r="L193" s="1170" t="e">
        <f>SUM(L188:L192)</f>
        <v>#REF!</v>
      </c>
      <c r="M193" s="1170" t="e">
        <f>SUM(M188:M192)</f>
        <v>#REF!</v>
      </c>
      <c r="N193" s="1170" t="e">
        <f>L193+M193</f>
        <v>#REF!</v>
      </c>
      <c r="O193" s="1177" t="e">
        <f>ROUND(N193/I193*10,2)</f>
        <v>#REF!</v>
      </c>
      <c r="R193" s="1224" t="e">
        <f>+N193-#REF!</f>
        <v>#REF!</v>
      </c>
    </row>
    <row r="194" spans="1:18" ht="16.5" x14ac:dyDescent="0.2">
      <c r="A194" s="1197" t="s">
        <v>525</v>
      </c>
      <c r="B194" s="1164">
        <v>6</v>
      </c>
      <c r="C194" s="1165" t="s">
        <v>567</v>
      </c>
      <c r="D194" s="1165"/>
      <c r="E194" s="1169">
        <f>Sales_FY24!$P$55</f>
        <v>38156</v>
      </c>
      <c r="F194" s="1169">
        <f>Sales_FY24!$V$55</f>
        <v>37380</v>
      </c>
      <c r="G194" s="1169">
        <f>G186+G193</f>
        <v>437663</v>
      </c>
      <c r="H194" s="1165"/>
      <c r="I194" s="1170">
        <f>Sales_FY24!$Q$55</f>
        <v>152.54</v>
      </c>
      <c r="J194" s="1170"/>
      <c r="K194" s="1170"/>
      <c r="L194" s="1170" t="e">
        <f>L186+L193</f>
        <v>#REF!</v>
      </c>
      <c r="M194" s="1170" t="e">
        <f>M186+M193</f>
        <v>#REF!</v>
      </c>
      <c r="N194" s="1170" t="e">
        <f>L194+M194</f>
        <v>#REF!</v>
      </c>
      <c r="O194" s="1177" t="e">
        <f>ROUND(N194/I194*10,2)</f>
        <v>#REF!</v>
      </c>
    </row>
    <row r="195" spans="1:18" ht="16.5" x14ac:dyDescent="0.2">
      <c r="A195" s="1197" t="s">
        <v>525</v>
      </c>
      <c r="B195" s="1163"/>
      <c r="C195" s="1163"/>
      <c r="D195" s="1163"/>
      <c r="E195" s="1163"/>
      <c r="F195" s="1163"/>
      <c r="G195" s="1163"/>
      <c r="H195" s="1163"/>
      <c r="I195" s="1176"/>
      <c r="J195" s="1176"/>
      <c r="K195" s="1176"/>
      <c r="L195" s="1176"/>
      <c r="M195" s="1176"/>
      <c r="N195" s="1176"/>
      <c r="O195" s="1176"/>
    </row>
    <row r="196" spans="1:18" ht="16.5" x14ac:dyDescent="0.2">
      <c r="A196" s="1197" t="s">
        <v>525</v>
      </c>
      <c r="B196" s="1159"/>
      <c r="C196" s="1160" t="s">
        <v>512</v>
      </c>
      <c r="D196" s="1160" t="s">
        <v>578</v>
      </c>
      <c r="E196" s="1168">
        <f>Sales_FY24!$P$56</f>
        <v>18927</v>
      </c>
      <c r="F196" s="1168">
        <f>Sales_FY24!$V$56</f>
        <v>18467</v>
      </c>
      <c r="G196" s="1160">
        <f>ROUND(F196*6.52,0)</f>
        <v>120405</v>
      </c>
      <c r="H196" s="1162" t="s">
        <v>561</v>
      </c>
      <c r="I196" s="1167">
        <f>Sales_FY24!$Q$56</f>
        <v>168.47</v>
      </c>
      <c r="J196" s="1167" t="e">
        <f>+#REF!</f>
        <v>#REF!</v>
      </c>
      <c r="K196" s="1167" t="e">
        <f>+#REF!</f>
        <v>#REF!</v>
      </c>
      <c r="L196" s="1167" t="e">
        <f>ROUND(G196*J196*12/10000000,2)</f>
        <v>#REF!</v>
      </c>
      <c r="M196" s="1167" t="e">
        <f>ROUND(I196*1000000*K196/10000000,2)</f>
        <v>#REF!</v>
      </c>
      <c r="N196" s="1167" t="e">
        <f>L196+M196</f>
        <v>#REF!</v>
      </c>
      <c r="O196" s="1192"/>
    </row>
    <row r="197" spans="1:18" ht="16.5" x14ac:dyDescent="0.2">
      <c r="A197" s="1197" t="s">
        <v>525</v>
      </c>
      <c r="B197" s="1159"/>
      <c r="C197" s="1160"/>
      <c r="D197" s="1160" t="s">
        <v>579</v>
      </c>
      <c r="E197" s="1168"/>
      <c r="F197" s="1168"/>
      <c r="G197" s="1160"/>
      <c r="H197" s="1162"/>
      <c r="I197" s="1167"/>
      <c r="J197" s="1167" t="e">
        <f>+#REF!</f>
        <v>#REF!</v>
      </c>
      <c r="K197" s="1167"/>
      <c r="L197" s="1167"/>
      <c r="M197" s="1167"/>
      <c r="N197" s="1167"/>
      <c r="O197" s="1192"/>
    </row>
    <row r="198" spans="1:18" ht="16.5" x14ac:dyDescent="0.2">
      <c r="A198" s="1197" t="s">
        <v>525</v>
      </c>
      <c r="B198" s="1164"/>
      <c r="C198" s="1165"/>
      <c r="D198" s="1166" t="s">
        <v>486</v>
      </c>
      <c r="E198" s="1169">
        <f>SUM(E196:E197)</f>
        <v>18927</v>
      </c>
      <c r="F198" s="1169">
        <f>SUM(F196:F197)</f>
        <v>18467</v>
      </c>
      <c r="G198" s="1169">
        <f>SUM(G196:G197)</f>
        <v>120405</v>
      </c>
      <c r="H198" s="1165"/>
      <c r="I198" s="1170">
        <f>SUM(I196:I197)</f>
        <v>168.47</v>
      </c>
      <c r="J198" s="1170"/>
      <c r="K198" s="1170"/>
      <c r="L198" s="1170" t="e">
        <f>SUM(L196:L197)</f>
        <v>#REF!</v>
      </c>
      <c r="M198" s="1170" t="e">
        <f>SUM(M196:M197)</f>
        <v>#REF!</v>
      </c>
      <c r="N198" s="1170" t="e">
        <f>L198+M198</f>
        <v>#REF!</v>
      </c>
      <c r="O198" s="1177" t="e">
        <f>ROUND(N198/I198*10,2)</f>
        <v>#REF!</v>
      </c>
    </row>
    <row r="199" spans="1:18" ht="16.5" x14ac:dyDescent="0.2">
      <c r="A199" s="1197" t="s">
        <v>525</v>
      </c>
      <c r="B199" s="1163"/>
      <c r="C199" s="1163"/>
      <c r="D199" s="1163"/>
      <c r="E199" s="1163"/>
      <c r="F199" s="1163"/>
      <c r="G199" s="1163"/>
      <c r="H199" s="1163"/>
      <c r="I199" s="1176"/>
      <c r="J199" s="1176"/>
      <c r="K199" s="1176"/>
      <c r="L199" s="1176"/>
      <c r="M199" s="1176"/>
      <c r="N199" s="1176"/>
      <c r="O199" s="1176"/>
    </row>
    <row r="200" spans="1:18" ht="16.5" x14ac:dyDescent="0.2">
      <c r="A200" s="1197" t="s">
        <v>525</v>
      </c>
      <c r="B200" s="1159"/>
      <c r="C200" s="1160" t="s">
        <v>513</v>
      </c>
      <c r="D200" s="1160" t="s">
        <v>580</v>
      </c>
      <c r="E200" s="1168">
        <f>Sales_FY24!$P$57</f>
        <v>31655</v>
      </c>
      <c r="F200" s="1168">
        <f>Sales_FY24!$V$57</f>
        <v>30561</v>
      </c>
      <c r="G200" s="1160">
        <f>ROUND(F200*1.35,0)</f>
        <v>41257</v>
      </c>
      <c r="H200" s="1162" t="s">
        <v>561</v>
      </c>
      <c r="I200" s="1167">
        <f>Sales_FY24!$Q$57</f>
        <v>66.180000000000007</v>
      </c>
      <c r="J200" s="1167" t="e">
        <f>+#REF!</f>
        <v>#REF!</v>
      </c>
      <c r="K200" s="1167" t="e">
        <f>+#REF!</f>
        <v>#REF!</v>
      </c>
      <c r="L200" s="1167" t="e">
        <f>ROUND(G200*J200*12/10000000,2)</f>
        <v>#REF!</v>
      </c>
      <c r="M200" s="1167" t="e">
        <f>ROUND(I200*1000000*K200/10000000,2)</f>
        <v>#REF!</v>
      </c>
      <c r="N200" s="1167" t="e">
        <f>L200+M200</f>
        <v>#REF!</v>
      </c>
      <c r="O200" s="1192" t="e">
        <f>ROUND(N200/I200*10,2)</f>
        <v>#REF!</v>
      </c>
    </row>
    <row r="201" spans="1:18" ht="16.5" x14ac:dyDescent="0.2">
      <c r="A201" s="1197" t="s">
        <v>525</v>
      </c>
      <c r="B201" s="1163"/>
      <c r="C201" s="1163"/>
      <c r="D201" s="1163"/>
      <c r="E201" s="1163"/>
      <c r="F201" s="1163"/>
      <c r="G201" s="1163"/>
      <c r="H201" s="1163"/>
      <c r="I201" s="1176"/>
      <c r="J201" s="1176"/>
      <c r="K201" s="1176"/>
      <c r="L201" s="1176"/>
      <c r="M201" s="1176"/>
      <c r="N201" s="1176"/>
      <c r="O201" s="1176"/>
    </row>
    <row r="202" spans="1:18" ht="16.5" x14ac:dyDescent="0.2">
      <c r="A202" s="1197" t="s">
        <v>525</v>
      </c>
      <c r="B202" s="1159"/>
      <c r="C202" s="1160" t="s">
        <v>526</v>
      </c>
      <c r="D202" s="1160" t="s">
        <v>581</v>
      </c>
      <c r="E202" s="1168">
        <f>Sales_FY24!$P$58</f>
        <v>0</v>
      </c>
      <c r="F202" s="1168">
        <f>Sales_FY24!$V$58</f>
        <v>0</v>
      </c>
      <c r="G202" s="1160">
        <f>ROUND(F202*0,0)</f>
        <v>0</v>
      </c>
      <c r="H202" s="1162" t="s">
        <v>561</v>
      </c>
      <c r="I202" s="1167">
        <f>Sales_FY24!$Q$58</f>
        <v>0</v>
      </c>
      <c r="J202" s="1167" t="e">
        <f>+#REF!</f>
        <v>#REF!</v>
      </c>
      <c r="K202" s="1167" t="e">
        <f>+#REF!</f>
        <v>#REF!</v>
      </c>
      <c r="L202" s="1167" t="e">
        <f>ROUND(G202*J202*12/10000000,2)</f>
        <v>#REF!</v>
      </c>
      <c r="M202" s="1167" t="e">
        <f>ROUND(I202*1000000*K202/10000000,2)</f>
        <v>#REF!</v>
      </c>
      <c r="N202" s="1167" t="e">
        <f>L202+M202</f>
        <v>#REF!</v>
      </c>
      <c r="O202" s="1192"/>
    </row>
    <row r="203" spans="1:18" ht="16.5" x14ac:dyDescent="0.2">
      <c r="A203" s="1197" t="s">
        <v>525</v>
      </c>
      <c r="B203" s="1159"/>
      <c r="C203" s="1160"/>
      <c r="D203" s="1160" t="s">
        <v>582</v>
      </c>
      <c r="E203" s="1168"/>
      <c r="F203" s="1168"/>
      <c r="G203" s="1160"/>
      <c r="H203" s="1162"/>
      <c r="I203" s="1167"/>
      <c r="J203" s="1167" t="e">
        <f>+#REF!</f>
        <v>#REF!</v>
      </c>
      <c r="K203" s="1167"/>
      <c r="L203" s="1167"/>
      <c r="M203" s="1167"/>
      <c r="N203" s="1167"/>
      <c r="O203" s="1192"/>
    </row>
    <row r="204" spans="1:18" ht="16.5" x14ac:dyDescent="0.2">
      <c r="A204" s="1197" t="s">
        <v>525</v>
      </c>
      <c r="B204" s="1159"/>
      <c r="C204" s="1160"/>
      <c r="D204" s="1160" t="s">
        <v>583</v>
      </c>
      <c r="E204" s="1168"/>
      <c r="F204" s="1168"/>
      <c r="G204" s="1160"/>
      <c r="H204" s="1162"/>
      <c r="I204" s="1167"/>
      <c r="J204" s="1167" t="e">
        <f>+#REF!</f>
        <v>#REF!</v>
      </c>
      <c r="K204" s="1167"/>
      <c r="L204" s="1167"/>
      <c r="M204" s="1167"/>
      <c r="N204" s="1167"/>
      <c r="O204" s="1192"/>
    </row>
    <row r="205" spans="1:18" ht="16.5" x14ac:dyDescent="0.2">
      <c r="A205" s="1197" t="s">
        <v>525</v>
      </c>
      <c r="B205" s="1164"/>
      <c r="C205" s="1165"/>
      <c r="D205" s="1166" t="s">
        <v>486</v>
      </c>
      <c r="E205" s="1169">
        <f>SUM(E202:E204)</f>
        <v>0</v>
      </c>
      <c r="F205" s="1169">
        <f>SUM(F202:F204)</f>
        <v>0</v>
      </c>
      <c r="G205" s="1169">
        <f>SUM(G202:G204)</f>
        <v>0</v>
      </c>
      <c r="H205" s="1165"/>
      <c r="I205" s="1170">
        <f>SUM(I202:I204)</f>
        <v>0</v>
      </c>
      <c r="J205" s="1170"/>
      <c r="K205" s="1170"/>
      <c r="L205" s="1170" t="e">
        <f>SUM(L202:L204)</f>
        <v>#REF!</v>
      </c>
      <c r="M205" s="1170" t="e">
        <f>SUM(M202:M204)</f>
        <v>#REF!</v>
      </c>
      <c r="N205" s="1170" t="e">
        <f>L205+M205</f>
        <v>#REF!</v>
      </c>
      <c r="O205" s="1177"/>
    </row>
    <row r="206" spans="1:18" ht="16.5" x14ac:dyDescent="0.2">
      <c r="A206" s="1197" t="s">
        <v>525</v>
      </c>
      <c r="B206" s="1164">
        <v>7</v>
      </c>
      <c r="C206" s="1165" t="s">
        <v>577</v>
      </c>
      <c r="D206" s="1165"/>
      <c r="E206" s="1169">
        <f>E198+E200+E205</f>
        <v>50582</v>
      </c>
      <c r="F206" s="1169">
        <f>F198+F200+F205</f>
        <v>49028</v>
      </c>
      <c r="G206" s="1169">
        <f>G198+G200+G205</f>
        <v>161662</v>
      </c>
      <c r="H206" s="1165"/>
      <c r="I206" s="1170">
        <f>I198+I200+I205</f>
        <v>234.65</v>
      </c>
      <c r="J206" s="1170"/>
      <c r="K206" s="1170"/>
      <c r="L206" s="1170" t="e">
        <f>L198+L200+L205</f>
        <v>#REF!</v>
      </c>
      <c r="M206" s="1170" t="e">
        <f>M198+M200+M205</f>
        <v>#REF!</v>
      </c>
      <c r="N206" s="1170" t="e">
        <f>L206+M206</f>
        <v>#REF!</v>
      </c>
      <c r="O206" s="1177" t="e">
        <f>ROUND(N206/I206*10,2)</f>
        <v>#REF!</v>
      </c>
    </row>
    <row r="207" spans="1:18" ht="16.5" x14ac:dyDescent="0.2">
      <c r="A207" s="1197" t="s">
        <v>525</v>
      </c>
      <c r="B207" s="1163"/>
      <c r="C207" s="1163"/>
      <c r="D207" s="1163"/>
      <c r="E207" s="1163"/>
      <c r="F207" s="1163"/>
      <c r="G207" s="1163"/>
      <c r="H207" s="1163"/>
      <c r="I207" s="1176"/>
      <c r="J207" s="1176"/>
      <c r="K207" s="1176"/>
      <c r="L207" s="1176"/>
      <c r="M207" s="1176"/>
      <c r="N207" s="1176"/>
      <c r="O207" s="1176"/>
    </row>
    <row r="208" spans="1:18" ht="16.5" x14ac:dyDescent="0.2">
      <c r="A208" s="1197" t="s">
        <v>525</v>
      </c>
      <c r="B208" s="1159"/>
      <c r="C208" s="1160" t="s">
        <v>584</v>
      </c>
      <c r="D208" s="1160" t="s">
        <v>586</v>
      </c>
      <c r="E208" s="1160">
        <f>ROUND(E210*96.05716%,0)</f>
        <v>18686</v>
      </c>
      <c r="F208" s="1160">
        <f>ROUND(F210*96.05716%,0)</f>
        <v>18686</v>
      </c>
      <c r="G208" s="1160">
        <f>ROUND(F208*5.2,0)</f>
        <v>97167</v>
      </c>
      <c r="H208" s="1162" t="s">
        <v>561</v>
      </c>
      <c r="I208" s="1167">
        <f>ROUND(I210*98.08219%,2)</f>
        <v>21.48</v>
      </c>
      <c r="J208" s="1167" t="e">
        <f>+#REF!</f>
        <v>#REF!</v>
      </c>
      <c r="K208" s="1167" t="e">
        <f>+#REF!</f>
        <v>#REF!</v>
      </c>
      <c r="L208" s="1167" t="e">
        <f>IF((ROUND(G208*J208*1/10000000,2))&gt;(ROUND(I208*1000000*K208/10000000,2)),(ROUND(G208*J208*1/10000000,2)),0)</f>
        <v>#REF!</v>
      </c>
      <c r="M208" s="1167" t="e">
        <f>IF((ROUND(I208*1000000*K208/10000000,2))&gt;(ROUND(G208*J208*1/10000000,2)),(ROUND(I208*1000000*K208/10000000,2)),0)</f>
        <v>#REF!</v>
      </c>
      <c r="N208" s="1167" t="e">
        <f>L208+M208</f>
        <v>#REF!</v>
      </c>
      <c r="O208" s="1192"/>
    </row>
    <row r="209" spans="1:18" ht="16.5" x14ac:dyDescent="0.2">
      <c r="A209" s="1197" t="s">
        <v>525</v>
      </c>
      <c r="B209" s="1159"/>
      <c r="C209" s="1160" t="s">
        <v>585</v>
      </c>
      <c r="D209" s="1160" t="s">
        <v>586</v>
      </c>
      <c r="E209" s="1168">
        <f>E210-E208</f>
        <v>767</v>
      </c>
      <c r="F209" s="1168">
        <f>F210-F208</f>
        <v>767</v>
      </c>
      <c r="G209" s="1160">
        <f>ROUND(F209*1.75,0)</f>
        <v>1342</v>
      </c>
      <c r="H209" s="1162" t="s">
        <v>561</v>
      </c>
      <c r="I209" s="1167">
        <f>I210-I208</f>
        <v>0.41999999999999815</v>
      </c>
      <c r="J209" s="1167" t="e">
        <f>+#REF!</f>
        <v>#REF!</v>
      </c>
      <c r="K209" s="1167" t="e">
        <f>+#REF!</f>
        <v>#REF!</v>
      </c>
      <c r="L209" s="1167" t="e">
        <f>ROUND(G209*J209*12/10000000,2)</f>
        <v>#REF!</v>
      </c>
      <c r="M209" s="1167" t="e">
        <f>ROUND(I209*1000000*K209/10000000,2)</f>
        <v>#REF!</v>
      </c>
      <c r="N209" s="1167" t="e">
        <f>L209+M209</f>
        <v>#REF!</v>
      </c>
      <c r="O209" s="1192"/>
    </row>
    <row r="210" spans="1:18" ht="16.5" x14ac:dyDescent="0.2">
      <c r="A210" s="1197" t="s">
        <v>525</v>
      </c>
      <c r="B210" s="1164">
        <v>8</v>
      </c>
      <c r="C210" s="1165" t="s">
        <v>587</v>
      </c>
      <c r="D210" s="1165"/>
      <c r="E210" s="1169">
        <f>Sales_FY24!$P$59</f>
        <v>19453</v>
      </c>
      <c r="F210" s="1169">
        <f>Sales_FY24!$V$59</f>
        <v>19453</v>
      </c>
      <c r="G210" s="1169">
        <f>SUM(G208:G209)</f>
        <v>98509</v>
      </c>
      <c r="H210" s="1165"/>
      <c r="I210" s="1170">
        <f>Sales_FY24!$Q$59</f>
        <v>21.9</v>
      </c>
      <c r="J210" s="1170"/>
      <c r="K210" s="1170"/>
      <c r="L210" s="1170" t="e">
        <f>SUM(L208:L209)</f>
        <v>#REF!</v>
      </c>
      <c r="M210" s="1170" t="e">
        <f>SUM(M208:M209)</f>
        <v>#REF!</v>
      </c>
      <c r="N210" s="1170" t="e">
        <f>L210+M210</f>
        <v>#REF!</v>
      </c>
      <c r="O210" s="1177" t="e">
        <f>ROUND(N210/I210*10,2)</f>
        <v>#REF!</v>
      </c>
    </row>
    <row r="211" spans="1:18" ht="16.5" x14ac:dyDescent="0.2">
      <c r="A211" s="1197" t="s">
        <v>525</v>
      </c>
      <c r="B211" s="1163"/>
      <c r="C211" s="1163"/>
      <c r="D211" s="1163"/>
      <c r="E211" s="1163"/>
      <c r="F211" s="1163"/>
      <c r="G211" s="1163"/>
      <c r="H211" s="1163"/>
      <c r="I211" s="1176"/>
      <c r="J211" s="1176"/>
      <c r="K211" s="1176"/>
      <c r="L211" s="1176"/>
      <c r="M211" s="1176"/>
      <c r="N211" s="1176"/>
      <c r="O211" s="1176"/>
    </row>
    <row r="212" spans="1:18" ht="16.5" x14ac:dyDescent="0.2">
      <c r="A212" s="1197" t="s">
        <v>525</v>
      </c>
      <c r="B212" s="1194"/>
      <c r="C212" s="1195" t="s">
        <v>588</v>
      </c>
      <c r="D212" s="1195"/>
      <c r="E212" s="1196">
        <f>E141+E154+E165+E174+E179+E194+E206+E210</f>
        <v>2696674</v>
      </c>
      <c r="F212" s="1196">
        <f>F141+F154+F165+F174+F179+F194+F206+F210</f>
        <v>2661884</v>
      </c>
      <c r="G212" s="1196">
        <f>G141+G154+G165+G174+G179+G194+G206+G210</f>
        <v>5425591</v>
      </c>
      <c r="H212" s="1195"/>
      <c r="I212" s="1193">
        <f>I141+I154+I165+I174+I179+I194+I206+I210</f>
        <v>4215.21</v>
      </c>
      <c r="J212" s="1193"/>
      <c r="K212" s="1193"/>
      <c r="L212" s="1193" t="e">
        <f>L141+L154+L165+L174+L179+L194+L206+L210</f>
        <v>#REF!</v>
      </c>
      <c r="M212" s="1193" t="e">
        <f>M141+M154+M165+M174+M179+M194+M206+M210</f>
        <v>#REF!</v>
      </c>
      <c r="N212" s="1193" t="e">
        <f>L212+M212</f>
        <v>#REF!</v>
      </c>
      <c r="O212" s="1193" t="e">
        <f>ROUND(N212/I212*10,2)</f>
        <v>#REF!</v>
      </c>
    </row>
    <row r="213" spans="1:18" ht="16.5" x14ac:dyDescent="0.2">
      <c r="A213" s="1197" t="s">
        <v>525</v>
      </c>
      <c r="B213" s="1163"/>
      <c r="C213" s="1163"/>
      <c r="D213" s="1163"/>
      <c r="E213" s="1163"/>
      <c r="F213" s="1176"/>
      <c r="G213" s="1163"/>
      <c r="H213" s="1163"/>
      <c r="I213" s="1176"/>
      <c r="J213" s="1176"/>
      <c r="K213" s="1176"/>
      <c r="L213" s="1176"/>
      <c r="M213" s="1176"/>
      <c r="N213" s="1176"/>
      <c r="O213" s="1176"/>
    </row>
    <row r="214" spans="1:18" ht="16.5" x14ac:dyDescent="0.2">
      <c r="A214" s="1197" t="s">
        <v>525</v>
      </c>
      <c r="B214" s="1159">
        <v>9</v>
      </c>
      <c r="C214" s="1160" t="s">
        <v>16</v>
      </c>
      <c r="D214" s="1160" t="s">
        <v>589</v>
      </c>
      <c r="E214" s="1168">
        <f>Sales_FY24!$P$62</f>
        <v>142</v>
      </c>
      <c r="F214" s="1168">
        <f>Sales_FY24!$V$62</f>
        <v>137</v>
      </c>
      <c r="G214" s="1160">
        <f>ROUND(F214*235,0)</f>
        <v>32195</v>
      </c>
      <c r="H214" s="1162" t="s">
        <v>561</v>
      </c>
      <c r="I214" s="1167">
        <f>Sales_FY24!$Q$62</f>
        <v>114.91</v>
      </c>
      <c r="J214" s="1167" t="e">
        <f>+#REF!</f>
        <v>#REF!</v>
      </c>
      <c r="K214" s="1167" t="e">
        <f>+#REF!</f>
        <v>#REF!</v>
      </c>
      <c r="L214" s="1167" t="e">
        <f>ROUND((G214*85%)*J214*12/10000000,2)</f>
        <v>#REF!</v>
      </c>
      <c r="M214" s="1167" t="e">
        <f>ROUND(I214*1000000*K214/10000000,2)</f>
        <v>#REF!</v>
      </c>
      <c r="N214" s="1167" t="e">
        <f>L214+M214</f>
        <v>#REF!</v>
      </c>
      <c r="O214" s="1192" t="e">
        <f>ROUND(N214/I214*10,2)</f>
        <v>#REF!</v>
      </c>
    </row>
    <row r="215" spans="1:18" ht="16.5" x14ac:dyDescent="0.2">
      <c r="A215" s="1197" t="s">
        <v>525</v>
      </c>
      <c r="B215" s="1163"/>
      <c r="C215" s="1163"/>
      <c r="D215" s="1163"/>
      <c r="E215" s="1163"/>
      <c r="F215" s="1163"/>
      <c r="G215" s="1163"/>
      <c r="H215" s="1163"/>
      <c r="I215" s="1176"/>
      <c r="J215" s="1176"/>
      <c r="K215" s="1176"/>
      <c r="L215" s="1176"/>
      <c r="M215" s="1176"/>
      <c r="N215" s="1176"/>
      <c r="O215" s="1176"/>
    </row>
    <row r="216" spans="1:18" ht="16.5" x14ac:dyDescent="0.2">
      <c r="A216" s="1197" t="s">
        <v>525</v>
      </c>
      <c r="B216" s="1159"/>
      <c r="C216" s="1160" t="s">
        <v>593</v>
      </c>
      <c r="D216" s="1160" t="s">
        <v>589</v>
      </c>
      <c r="E216" s="1168">
        <f>E218</f>
        <v>0</v>
      </c>
      <c r="F216" s="1168">
        <f>F218</f>
        <v>0</v>
      </c>
      <c r="G216" s="1160">
        <f>ROUND(F216*399.47955,0)</f>
        <v>0</v>
      </c>
      <c r="H216" s="1162" t="s">
        <v>591</v>
      </c>
      <c r="I216" s="1167">
        <f>ROUND(I218*0%,2)</f>
        <v>0</v>
      </c>
      <c r="J216" s="1167" t="e">
        <f>+#REF!</f>
        <v>#REF!</v>
      </c>
      <c r="K216" s="1167" t="e">
        <f>+#REF!</f>
        <v>#REF!</v>
      </c>
      <c r="L216" s="1167" t="e">
        <f>ROUND((G216*85%)*J216*12/10000000,2)</f>
        <v>#REF!</v>
      </c>
      <c r="M216" s="1167" t="e">
        <f>ROUND(I216*1000000*K216/10000000,2)</f>
        <v>#REF!</v>
      </c>
      <c r="N216" s="1167"/>
      <c r="O216" s="1192"/>
    </row>
    <row r="217" spans="1:18" ht="16.5" x14ac:dyDescent="0.2">
      <c r="A217" s="1197" t="s">
        <v>525</v>
      </c>
      <c r="B217" s="1159"/>
      <c r="C217" s="1160"/>
      <c r="D217" s="1160"/>
      <c r="E217" s="1168"/>
      <c r="F217" s="1168"/>
      <c r="G217" s="1160"/>
      <c r="H217" s="1162" t="s">
        <v>590</v>
      </c>
      <c r="I217" s="1167">
        <f>I218-I216</f>
        <v>0</v>
      </c>
      <c r="J217" s="1167"/>
      <c r="K217" s="1167" t="e">
        <f>+#REF!</f>
        <v>#REF!</v>
      </c>
      <c r="L217" s="1167"/>
      <c r="M217" s="1167" t="e">
        <f>ROUND(I217*1000000*K217/10000000,2)</f>
        <v>#REF!</v>
      </c>
      <c r="N217" s="1167"/>
      <c r="O217" s="1192"/>
    </row>
    <row r="218" spans="1:18" ht="16.5" x14ac:dyDescent="0.2">
      <c r="A218" s="1197" t="s">
        <v>525</v>
      </c>
      <c r="B218" s="1164"/>
      <c r="C218" s="1165"/>
      <c r="D218" s="1166" t="s">
        <v>486</v>
      </c>
      <c r="E218" s="1169">
        <f>ROUND(E223*0%,0)</f>
        <v>0</v>
      </c>
      <c r="F218" s="1169">
        <f>ROUND(F223*0%,0)</f>
        <v>0</v>
      </c>
      <c r="G218" s="1169">
        <f>SUM(G216:G217)</f>
        <v>0</v>
      </c>
      <c r="H218" s="1165"/>
      <c r="I218" s="1170">
        <f>ROUND(I223*0%,2)</f>
        <v>0</v>
      </c>
      <c r="J218" s="1170"/>
      <c r="K218" s="1170"/>
      <c r="L218" s="1170" t="e">
        <f>SUM(L216:L217)</f>
        <v>#REF!</v>
      </c>
      <c r="M218" s="1170" t="e">
        <f>SUM(M216:M217)</f>
        <v>#REF!</v>
      </c>
      <c r="N218" s="1170" t="e">
        <f>L218+M218</f>
        <v>#REF!</v>
      </c>
      <c r="O218" s="1177"/>
      <c r="R218" s="1224" t="e">
        <f>+N218-#REF!</f>
        <v>#REF!</v>
      </c>
    </row>
    <row r="219" spans="1:18" ht="16.5" x14ac:dyDescent="0.2">
      <c r="A219" s="1197" t="s">
        <v>525</v>
      </c>
      <c r="B219" s="1163"/>
      <c r="C219" s="1163"/>
      <c r="D219" s="1163"/>
      <c r="E219" s="1163"/>
      <c r="F219" s="1163"/>
      <c r="G219" s="1163"/>
      <c r="H219" s="1163"/>
      <c r="I219" s="1176"/>
      <c r="J219" s="1176"/>
      <c r="K219" s="1176"/>
      <c r="L219" s="1176"/>
      <c r="M219" s="1176"/>
      <c r="N219" s="1176"/>
      <c r="O219" s="1176"/>
    </row>
    <row r="220" spans="1:18" ht="16.5" x14ac:dyDescent="0.2">
      <c r="A220" s="1197" t="s">
        <v>525</v>
      </c>
      <c r="B220" s="1159"/>
      <c r="C220" s="1160" t="s">
        <v>594</v>
      </c>
      <c r="D220" s="1160" t="s">
        <v>589</v>
      </c>
      <c r="E220" s="1168">
        <f>E222</f>
        <v>1098</v>
      </c>
      <c r="F220" s="1168">
        <f>F222</f>
        <v>1074</v>
      </c>
      <c r="G220" s="1160">
        <f>ROUND(F220*400,0)</f>
        <v>429600</v>
      </c>
      <c r="H220" s="1162" t="s">
        <v>591</v>
      </c>
      <c r="I220" s="1167">
        <f>ROUND(I222*45.25%,2)</f>
        <v>350.95</v>
      </c>
      <c r="J220" s="1167" t="e">
        <f>+#REF!</f>
        <v>#REF!</v>
      </c>
      <c r="K220" s="1167" t="e">
        <f>+#REF!</f>
        <v>#REF!</v>
      </c>
      <c r="L220" s="1167" t="e">
        <f>ROUND((G220*85%)*J220*12/10000000,2)</f>
        <v>#REF!</v>
      </c>
      <c r="M220" s="1167" t="e">
        <f>ROUND(I220*1000000*K220/10000000,2)</f>
        <v>#REF!</v>
      </c>
      <c r="N220" s="1167"/>
      <c r="O220" s="1192"/>
    </row>
    <row r="221" spans="1:18" ht="16.5" x14ac:dyDescent="0.2">
      <c r="A221" s="1197" t="s">
        <v>525</v>
      </c>
      <c r="B221" s="1159"/>
      <c r="C221" s="1160"/>
      <c r="D221" s="1160"/>
      <c r="E221" s="1168"/>
      <c r="F221" s="1168"/>
      <c r="G221" s="1160"/>
      <c r="H221" s="1162" t="s">
        <v>590</v>
      </c>
      <c r="I221" s="1167">
        <f>I222-I220</f>
        <v>424.64000000000004</v>
      </c>
      <c r="J221" s="1167"/>
      <c r="K221" s="1167" t="e">
        <f>+#REF!</f>
        <v>#REF!</v>
      </c>
      <c r="L221" s="1167"/>
      <c r="M221" s="1167" t="e">
        <f>ROUND(I221*1000000*K221/10000000,2)</f>
        <v>#REF!</v>
      </c>
      <c r="N221" s="1167"/>
      <c r="O221" s="1192"/>
    </row>
    <row r="222" spans="1:18" ht="16.5" x14ac:dyDescent="0.2">
      <c r="A222" s="1197" t="s">
        <v>525</v>
      </c>
      <c r="B222" s="1164"/>
      <c r="C222" s="1165"/>
      <c r="D222" s="1166" t="s">
        <v>486</v>
      </c>
      <c r="E222" s="1169">
        <f>E223-E218</f>
        <v>1098</v>
      </c>
      <c r="F222" s="1169">
        <f>F223-F218</f>
        <v>1074</v>
      </c>
      <c r="G222" s="1169">
        <f>SUM(G220:G221)</f>
        <v>429600</v>
      </c>
      <c r="H222" s="1165"/>
      <c r="I222" s="1170">
        <f>I223-I218</f>
        <v>775.59</v>
      </c>
      <c r="J222" s="1170"/>
      <c r="K222" s="1170"/>
      <c r="L222" s="1170" t="e">
        <f>SUM(L220:L221)</f>
        <v>#REF!</v>
      </c>
      <c r="M222" s="1170" t="e">
        <f>SUM(M220:M221)</f>
        <v>#REF!</v>
      </c>
      <c r="N222" s="1170" t="e">
        <f>L222+M222</f>
        <v>#REF!</v>
      </c>
      <c r="O222" s="1177"/>
      <c r="R222" s="1224" t="e">
        <f>+N222-#REF!</f>
        <v>#REF!</v>
      </c>
    </row>
    <row r="223" spans="1:18" ht="16.5" x14ac:dyDescent="0.2">
      <c r="A223" s="1197" t="s">
        <v>525</v>
      </c>
      <c r="B223" s="1164">
        <v>10</v>
      </c>
      <c r="C223" s="1165" t="s">
        <v>592</v>
      </c>
      <c r="D223" s="1165"/>
      <c r="E223" s="1169">
        <f>Sales_FY24!$P$63</f>
        <v>1098</v>
      </c>
      <c r="F223" s="1169">
        <f>Sales_FY24!$V$63</f>
        <v>1074</v>
      </c>
      <c r="G223" s="1169">
        <f>G218+G222</f>
        <v>429600</v>
      </c>
      <c r="H223" s="1165"/>
      <c r="I223" s="1170">
        <f>Sales_FY24!$Q$63</f>
        <v>775.59</v>
      </c>
      <c r="J223" s="1170"/>
      <c r="K223" s="1170"/>
      <c r="L223" s="1169" t="e">
        <f>L218+L222</f>
        <v>#REF!</v>
      </c>
      <c r="M223" s="1169" t="e">
        <f>M218+M222</f>
        <v>#REF!</v>
      </c>
      <c r="N223" s="1170" t="e">
        <f>L223+M223</f>
        <v>#REF!</v>
      </c>
      <c r="O223" s="1177" t="e">
        <f>ROUND(N223/I223*10,2)</f>
        <v>#REF!</v>
      </c>
    </row>
    <row r="224" spans="1:18" ht="16.5" x14ac:dyDescent="0.2">
      <c r="A224" s="1197" t="s">
        <v>525</v>
      </c>
      <c r="B224" s="1163"/>
      <c r="C224" s="1163"/>
      <c r="D224" s="1163"/>
      <c r="E224" s="1163"/>
      <c r="F224" s="1163"/>
      <c r="G224" s="1163"/>
      <c r="H224" s="1163"/>
      <c r="I224" s="1176"/>
      <c r="J224" s="1176"/>
      <c r="K224" s="1176"/>
      <c r="L224" s="1176"/>
      <c r="M224" s="1176"/>
      <c r="N224" s="1176"/>
      <c r="O224" s="1176"/>
    </row>
    <row r="225" spans="1:18" ht="16.5" x14ac:dyDescent="0.2">
      <c r="A225" s="1197" t="s">
        <v>525</v>
      </c>
      <c r="B225" s="1159"/>
      <c r="C225" s="1160" t="s">
        <v>596</v>
      </c>
      <c r="D225" s="1160" t="s">
        <v>589</v>
      </c>
      <c r="E225" s="1168">
        <f>E227</f>
        <v>0</v>
      </c>
      <c r="F225" s="1168">
        <f>F227</f>
        <v>0</v>
      </c>
      <c r="G225" s="1160">
        <f>ROUND(F225*0,0)</f>
        <v>0</v>
      </c>
      <c r="H225" s="1162" t="s">
        <v>598</v>
      </c>
      <c r="I225" s="1167">
        <f>ROUND(I227*12.08942%,2)</f>
        <v>0</v>
      </c>
      <c r="J225" s="1167" t="e">
        <f>+#REF!</f>
        <v>#REF!</v>
      </c>
      <c r="K225" s="1167" t="e">
        <f>+#REF!</f>
        <v>#REF!</v>
      </c>
      <c r="L225" s="1167" t="e">
        <f>ROUND((G225*85%)*J225*12/10000000,2)</f>
        <v>#REF!</v>
      </c>
      <c r="M225" s="1167" t="e">
        <f>ROUND(I225*1000000*K225/10000000,2)</f>
        <v>#REF!</v>
      </c>
      <c r="N225" s="1167"/>
      <c r="O225" s="1192"/>
    </row>
    <row r="226" spans="1:18" ht="16.5" x14ac:dyDescent="0.2">
      <c r="A226" s="1197" t="s">
        <v>525</v>
      </c>
      <c r="B226" s="1159"/>
      <c r="C226" s="1160"/>
      <c r="D226" s="1160"/>
      <c r="E226" s="1168"/>
      <c r="F226" s="1168"/>
      <c r="G226" s="1160"/>
      <c r="H226" s="1162" t="s">
        <v>599</v>
      </c>
      <c r="I226" s="1167">
        <f>I227-I225</f>
        <v>0</v>
      </c>
      <c r="J226" s="1167"/>
      <c r="K226" s="1167" t="e">
        <f>+#REF!</f>
        <v>#REF!</v>
      </c>
      <c r="L226" s="1167"/>
      <c r="M226" s="1167" t="e">
        <f>ROUND(I226*1000000*K226/10000000,2)</f>
        <v>#REF!</v>
      </c>
      <c r="N226" s="1167"/>
      <c r="O226" s="1192"/>
    </row>
    <row r="227" spans="1:18" ht="16.5" x14ac:dyDescent="0.2">
      <c r="A227" s="1197" t="s">
        <v>525</v>
      </c>
      <c r="B227" s="1164"/>
      <c r="C227" s="1165"/>
      <c r="D227" s="1166" t="s">
        <v>486</v>
      </c>
      <c r="E227" s="1169">
        <f>ROUND(E232*0%,0)</f>
        <v>0</v>
      </c>
      <c r="F227" s="1169">
        <f>ROUND(F232*0%,0)</f>
        <v>0</v>
      </c>
      <c r="G227" s="1169">
        <f>SUM(G225:G226)</f>
        <v>0</v>
      </c>
      <c r="H227" s="1165"/>
      <c r="I227" s="1170">
        <f>ROUND(I232*0%,2)</f>
        <v>0</v>
      </c>
      <c r="J227" s="1170"/>
      <c r="K227" s="1170"/>
      <c r="L227" s="1170" t="e">
        <f>SUM(L225:L226)</f>
        <v>#REF!</v>
      </c>
      <c r="M227" s="1170" t="e">
        <f>SUM(M225:M226)</f>
        <v>#REF!</v>
      </c>
      <c r="N227" s="1170" t="e">
        <f>L227+M227</f>
        <v>#REF!</v>
      </c>
      <c r="O227" s="1177"/>
      <c r="R227" s="1224" t="e">
        <f>+N227-#REF!</f>
        <v>#REF!</v>
      </c>
    </row>
    <row r="228" spans="1:18" ht="16.5" x14ac:dyDescent="0.2">
      <c r="A228" s="1197" t="s">
        <v>525</v>
      </c>
      <c r="B228" s="1163"/>
      <c r="C228" s="1163"/>
      <c r="D228" s="1163"/>
      <c r="E228" s="1163"/>
      <c r="F228" s="1163"/>
      <c r="G228" s="1163"/>
      <c r="H228" s="1163"/>
      <c r="I228" s="1176"/>
      <c r="J228" s="1176"/>
      <c r="K228" s="1176"/>
      <c r="L228" s="1176"/>
      <c r="M228" s="1176"/>
      <c r="N228" s="1176"/>
      <c r="O228" s="1176"/>
    </row>
    <row r="229" spans="1:18" ht="16.5" x14ac:dyDescent="0.2">
      <c r="A229" s="1197" t="s">
        <v>525</v>
      </c>
      <c r="B229" s="1159"/>
      <c r="C229" s="1160" t="s">
        <v>597</v>
      </c>
      <c r="D229" s="1160" t="s">
        <v>589</v>
      </c>
      <c r="E229" s="1168">
        <f>E231</f>
        <v>889</v>
      </c>
      <c r="F229" s="1168">
        <f>F231</f>
        <v>871</v>
      </c>
      <c r="G229" s="1160">
        <f>ROUND(F229*165,0)</f>
        <v>143715</v>
      </c>
      <c r="H229" s="1162" t="s">
        <v>598</v>
      </c>
      <c r="I229" s="1167">
        <f>ROUND(I231*52.25%,2)</f>
        <v>90.12</v>
      </c>
      <c r="J229" s="1167" t="e">
        <f>+#REF!</f>
        <v>#REF!</v>
      </c>
      <c r="K229" s="1167" t="e">
        <f>+#REF!</f>
        <v>#REF!</v>
      </c>
      <c r="L229" s="1167" t="e">
        <f>ROUND((G229*85%)*J229*12/10000000,2)</f>
        <v>#REF!</v>
      </c>
      <c r="M229" s="1167" t="e">
        <f>ROUND(I229*1000000*K229/10000000,2)</f>
        <v>#REF!</v>
      </c>
      <c r="N229" s="1167"/>
      <c r="O229" s="1192"/>
    </row>
    <row r="230" spans="1:18" ht="16.5" x14ac:dyDescent="0.2">
      <c r="A230" s="1197" t="s">
        <v>525</v>
      </c>
      <c r="B230" s="1159"/>
      <c r="C230" s="1160"/>
      <c r="D230" s="1160"/>
      <c r="E230" s="1168"/>
      <c r="F230" s="1168"/>
      <c r="G230" s="1160"/>
      <c r="H230" s="1162" t="s">
        <v>599</v>
      </c>
      <c r="I230" s="1167">
        <f>I231-I229</f>
        <v>82.359999999999985</v>
      </c>
      <c r="J230" s="1167"/>
      <c r="K230" s="1167" t="e">
        <f>+#REF!</f>
        <v>#REF!</v>
      </c>
      <c r="L230" s="1167"/>
      <c r="M230" s="1167" t="e">
        <f>ROUND(I230*1000000*K230/10000000,2)</f>
        <v>#REF!</v>
      </c>
      <c r="N230" s="1167"/>
      <c r="O230" s="1192"/>
    </row>
    <row r="231" spans="1:18" ht="16.5" x14ac:dyDescent="0.2">
      <c r="A231" s="1197" t="s">
        <v>525</v>
      </c>
      <c r="B231" s="1164"/>
      <c r="C231" s="1165"/>
      <c r="D231" s="1166" t="s">
        <v>486</v>
      </c>
      <c r="E231" s="1169">
        <f>E232-E227</f>
        <v>889</v>
      </c>
      <c r="F231" s="1169">
        <f>F232-F227</f>
        <v>871</v>
      </c>
      <c r="G231" s="1169">
        <f>SUM(G229:G230)</f>
        <v>143715</v>
      </c>
      <c r="H231" s="1165"/>
      <c r="I231" s="1170">
        <f>I232-I227</f>
        <v>172.48</v>
      </c>
      <c r="J231" s="1170"/>
      <c r="K231" s="1170"/>
      <c r="L231" s="1170" t="e">
        <f>SUM(L229:L230)</f>
        <v>#REF!</v>
      </c>
      <c r="M231" s="1170" t="e">
        <f>SUM(M229:M230)</f>
        <v>#REF!</v>
      </c>
      <c r="N231" s="1170" t="e">
        <f>L231+M231</f>
        <v>#REF!</v>
      </c>
      <c r="O231" s="1177"/>
      <c r="R231" s="1224" t="e">
        <f>+N231-#REF!</f>
        <v>#REF!</v>
      </c>
    </row>
    <row r="232" spans="1:18" ht="16.5" x14ac:dyDescent="0.2">
      <c r="A232" s="1197" t="s">
        <v>525</v>
      </c>
      <c r="B232" s="1164">
        <v>11</v>
      </c>
      <c r="C232" s="1165" t="s">
        <v>595</v>
      </c>
      <c r="D232" s="1165"/>
      <c r="E232" s="1169">
        <f>Sales_FY24!$P$64</f>
        <v>889</v>
      </c>
      <c r="F232" s="1169">
        <f>Sales_FY24!$V$64</f>
        <v>871</v>
      </c>
      <c r="G232" s="1169">
        <f>G227+G231</f>
        <v>143715</v>
      </c>
      <c r="H232" s="1165"/>
      <c r="I232" s="1170">
        <f>Sales_FY24!$Q$64</f>
        <v>172.48</v>
      </c>
      <c r="J232" s="1170"/>
      <c r="K232" s="1170"/>
      <c r="L232" s="1170" t="e">
        <f>L227+L231</f>
        <v>#REF!</v>
      </c>
      <c r="M232" s="1170" t="e">
        <f>M227+M231</f>
        <v>#REF!</v>
      </c>
      <c r="N232" s="1170" t="e">
        <f>L232+M232</f>
        <v>#REF!</v>
      </c>
      <c r="O232" s="1177" t="e">
        <f>ROUND(N232/I232*10,2)</f>
        <v>#REF!</v>
      </c>
    </row>
    <row r="233" spans="1:18" ht="16.5" x14ac:dyDescent="0.2">
      <c r="A233" s="1197" t="s">
        <v>525</v>
      </c>
      <c r="B233" s="1163"/>
      <c r="C233" s="1163"/>
      <c r="D233" s="1163"/>
      <c r="E233" s="1163"/>
      <c r="F233" s="1163"/>
      <c r="G233" s="1163"/>
      <c r="H233" s="1163"/>
      <c r="I233" s="1176"/>
      <c r="J233" s="1176"/>
      <c r="K233" s="1176"/>
      <c r="L233" s="1176"/>
      <c r="M233" s="1176"/>
      <c r="N233" s="1176"/>
      <c r="O233" s="1176"/>
    </row>
    <row r="234" spans="1:18" ht="16.5" x14ac:dyDescent="0.2">
      <c r="A234" s="1197" t="s">
        <v>525</v>
      </c>
      <c r="B234" s="1159"/>
      <c r="C234" s="1160" t="s">
        <v>601</v>
      </c>
      <c r="D234" s="1160" t="s">
        <v>589</v>
      </c>
      <c r="E234" s="1168">
        <f>E236</f>
        <v>162</v>
      </c>
      <c r="F234" s="1168">
        <f>F236</f>
        <v>159</v>
      </c>
      <c r="G234" s="1160">
        <f>ROUND(F234*185,0)</f>
        <v>29415</v>
      </c>
      <c r="H234" s="1162" t="s">
        <v>591</v>
      </c>
      <c r="I234" s="1167">
        <f>ROUND(I236*43.26%,2)</f>
        <v>19.510000000000002</v>
      </c>
      <c r="J234" s="1167" t="e">
        <f>+#REF!</f>
        <v>#REF!</v>
      </c>
      <c r="K234" s="1167" t="e">
        <f>+#REF!</f>
        <v>#REF!</v>
      </c>
      <c r="L234" s="1167" t="e">
        <f>ROUND((G234*85%)*J234*12/10000000,2)</f>
        <v>#REF!</v>
      </c>
      <c r="M234" s="1167" t="e">
        <f>ROUND(I234*1000000*K234/10000000,2)</f>
        <v>#REF!</v>
      </c>
      <c r="N234" s="1167"/>
      <c r="O234" s="1192"/>
    </row>
    <row r="235" spans="1:18" ht="16.5" x14ac:dyDescent="0.2">
      <c r="A235" s="1197" t="s">
        <v>525</v>
      </c>
      <c r="B235" s="1159"/>
      <c r="C235" s="1160"/>
      <c r="D235" s="1160"/>
      <c r="E235" s="1168"/>
      <c r="F235" s="1168"/>
      <c r="G235" s="1160"/>
      <c r="H235" s="1162" t="s">
        <v>590</v>
      </c>
      <c r="I235" s="1167">
        <f>I236-I234</f>
        <v>25.59</v>
      </c>
      <c r="J235" s="1167"/>
      <c r="K235" s="1167" t="e">
        <f>+#REF!</f>
        <v>#REF!</v>
      </c>
      <c r="L235" s="1167"/>
      <c r="M235" s="1167" t="e">
        <f>ROUND(I235*1000000*K235/10000000,2)</f>
        <v>#REF!</v>
      </c>
      <c r="N235" s="1167"/>
      <c r="O235" s="1192"/>
    </row>
    <row r="236" spans="1:18" ht="16.5" x14ac:dyDescent="0.2">
      <c r="A236" s="1197" t="s">
        <v>525</v>
      </c>
      <c r="B236" s="1164"/>
      <c r="C236" s="1165"/>
      <c r="D236" s="1166" t="s">
        <v>486</v>
      </c>
      <c r="E236" s="1169">
        <f>ROUND(E241*44.4%,0)</f>
        <v>162</v>
      </c>
      <c r="F236" s="1169">
        <f>ROUND(F241*44.4%,0)</f>
        <v>159</v>
      </c>
      <c r="G236" s="1169">
        <f>SUM(G234:G235)</f>
        <v>29415</v>
      </c>
      <c r="H236" s="1165"/>
      <c r="I236" s="1170">
        <f>ROUND(I241*36.25%,2)</f>
        <v>45.1</v>
      </c>
      <c r="J236" s="1170"/>
      <c r="K236" s="1170"/>
      <c r="L236" s="1170" t="e">
        <f>SUM(L234:L235)</f>
        <v>#REF!</v>
      </c>
      <c r="M236" s="1170" t="e">
        <f>SUM(M234:M235)</f>
        <v>#REF!</v>
      </c>
      <c r="N236" s="1170" t="e">
        <f>L236+M236</f>
        <v>#REF!</v>
      </c>
      <c r="O236" s="1177" t="e">
        <f>ROUND(N236/I236*10,2)</f>
        <v>#REF!</v>
      </c>
    </row>
    <row r="237" spans="1:18" ht="16.5" x14ac:dyDescent="0.2">
      <c r="A237" s="1197" t="s">
        <v>525</v>
      </c>
      <c r="B237" s="1163"/>
      <c r="C237" s="1163"/>
      <c r="D237" s="1163"/>
      <c r="E237" s="1163"/>
      <c r="F237" s="1163"/>
      <c r="G237" s="1163"/>
      <c r="H237" s="1163"/>
      <c r="I237" s="1176"/>
      <c r="J237" s="1176"/>
      <c r="K237" s="1176"/>
      <c r="L237" s="1176"/>
      <c r="M237" s="1176"/>
      <c r="N237" s="1176"/>
      <c r="O237" s="1176"/>
    </row>
    <row r="238" spans="1:18" ht="16.5" x14ac:dyDescent="0.2">
      <c r="A238" s="1197" t="s">
        <v>525</v>
      </c>
      <c r="B238" s="1159"/>
      <c r="C238" s="1160" t="s">
        <v>602</v>
      </c>
      <c r="D238" s="1160" t="s">
        <v>589</v>
      </c>
      <c r="E238" s="1168">
        <f>E240</f>
        <v>203</v>
      </c>
      <c r="F238" s="1168">
        <f>F240</f>
        <v>198</v>
      </c>
      <c r="G238" s="1160">
        <f>ROUND(F238*270,0)</f>
        <v>53460</v>
      </c>
      <c r="H238" s="1162" t="s">
        <v>591</v>
      </c>
      <c r="I238" s="1167">
        <f>ROUND(I240*64.36%,2)</f>
        <v>51.04</v>
      </c>
      <c r="J238" s="1167" t="e">
        <f>+#REF!</f>
        <v>#REF!</v>
      </c>
      <c r="K238" s="1167" t="e">
        <f>+#REF!</f>
        <v>#REF!</v>
      </c>
      <c r="L238" s="1167" t="e">
        <f>ROUND((G238*85%)*J238*12/10000000,2)</f>
        <v>#REF!</v>
      </c>
      <c r="M238" s="1167" t="e">
        <f>ROUND(I238*1000000*K238/10000000,2)</f>
        <v>#REF!</v>
      </c>
      <c r="N238" s="1167"/>
      <c r="O238" s="1192"/>
    </row>
    <row r="239" spans="1:18" ht="16.5" x14ac:dyDescent="0.2">
      <c r="A239" s="1197" t="s">
        <v>525</v>
      </c>
      <c r="B239" s="1159"/>
      <c r="C239" s="1160"/>
      <c r="D239" s="1160"/>
      <c r="E239" s="1168"/>
      <c r="F239" s="1168"/>
      <c r="G239" s="1160"/>
      <c r="H239" s="1162" t="s">
        <v>590</v>
      </c>
      <c r="I239" s="1167">
        <f>I240-I238</f>
        <v>28.260000000000012</v>
      </c>
      <c r="J239" s="1167"/>
      <c r="K239" s="1167" t="e">
        <f>+#REF!</f>
        <v>#REF!</v>
      </c>
      <c r="L239" s="1167"/>
      <c r="M239" s="1167" t="e">
        <f>ROUND(I239*1000000*K239/10000000,2)</f>
        <v>#REF!</v>
      </c>
      <c r="N239" s="1167"/>
      <c r="O239" s="1192"/>
    </row>
    <row r="240" spans="1:18" ht="16.5" x14ac:dyDescent="0.2">
      <c r="A240" s="1197" t="s">
        <v>525</v>
      </c>
      <c r="B240" s="1164"/>
      <c r="C240" s="1165"/>
      <c r="D240" s="1166" t="s">
        <v>486</v>
      </c>
      <c r="E240" s="1169">
        <f>E241-E236</f>
        <v>203</v>
      </c>
      <c r="F240" s="1169">
        <f>F241-F236</f>
        <v>198</v>
      </c>
      <c r="G240" s="1169">
        <f>SUM(G238:G239)</f>
        <v>53460</v>
      </c>
      <c r="H240" s="1165"/>
      <c r="I240" s="1170">
        <f>I241-I236</f>
        <v>79.300000000000011</v>
      </c>
      <c r="J240" s="1170"/>
      <c r="K240" s="1170"/>
      <c r="L240" s="1170" t="e">
        <f>SUM(L238:L239)</f>
        <v>#REF!</v>
      </c>
      <c r="M240" s="1170" t="e">
        <f>SUM(M238:M239)</f>
        <v>#REF!</v>
      </c>
      <c r="N240" s="1170" t="e">
        <f>L240+M240</f>
        <v>#REF!</v>
      </c>
      <c r="O240" s="1177" t="e">
        <f>ROUND(N240/I240*10,2)</f>
        <v>#REF!</v>
      </c>
    </row>
    <row r="241" spans="1:15" ht="16.5" x14ac:dyDescent="0.2">
      <c r="A241" s="1197" t="s">
        <v>525</v>
      </c>
      <c r="B241" s="1164">
        <v>12</v>
      </c>
      <c r="C241" s="1165" t="s">
        <v>600</v>
      </c>
      <c r="D241" s="1165"/>
      <c r="E241" s="1169">
        <f>Sales_FY24!$P$65</f>
        <v>365</v>
      </c>
      <c r="F241" s="1169">
        <f>Sales_FY24!$V$65</f>
        <v>357</v>
      </c>
      <c r="G241" s="1169">
        <f>G236+G240</f>
        <v>82875</v>
      </c>
      <c r="H241" s="1165"/>
      <c r="I241" s="1170">
        <f>Sales_FY24!$Q$65</f>
        <v>124.4</v>
      </c>
      <c r="J241" s="1170"/>
      <c r="K241" s="1170"/>
      <c r="L241" s="1170" t="e">
        <f>L236+L240</f>
        <v>#REF!</v>
      </c>
      <c r="M241" s="1170" t="e">
        <f>M236+M240</f>
        <v>#REF!</v>
      </c>
      <c r="N241" s="1170" t="e">
        <f>L241+M241</f>
        <v>#REF!</v>
      </c>
      <c r="O241" s="1177" t="e">
        <f>ROUND(N241/I241*10,2)</f>
        <v>#REF!</v>
      </c>
    </row>
    <row r="242" spans="1:15" ht="16.5" x14ac:dyDescent="0.2">
      <c r="A242" s="1197" t="s">
        <v>525</v>
      </c>
      <c r="B242" s="1163"/>
      <c r="C242" s="1163"/>
      <c r="D242" s="1163"/>
      <c r="E242" s="1163"/>
      <c r="F242" s="1163"/>
      <c r="G242" s="1163"/>
      <c r="H242" s="1163"/>
      <c r="I242" s="1176"/>
      <c r="J242" s="1176"/>
      <c r="K242" s="1176"/>
      <c r="L242" s="1176"/>
      <c r="M242" s="1176"/>
      <c r="N242" s="1176"/>
      <c r="O242" s="1176"/>
    </row>
    <row r="243" spans="1:15" ht="16.5" x14ac:dyDescent="0.2">
      <c r="A243" s="1197" t="s">
        <v>525</v>
      </c>
      <c r="B243" s="1159"/>
      <c r="C243" s="1160" t="s">
        <v>612</v>
      </c>
      <c r="D243" s="1160" t="s">
        <v>604</v>
      </c>
      <c r="E243" s="1168">
        <f>ROUND(E247*93.02325%,0)</f>
        <v>47</v>
      </c>
      <c r="F243" s="1168">
        <f>ROUND(F247*93.02325%,0)</f>
        <v>46</v>
      </c>
      <c r="G243" s="1160">
        <f>ROUND(F243*943.85,0)</f>
        <v>43417</v>
      </c>
      <c r="H243" s="1162" t="s">
        <v>561</v>
      </c>
      <c r="I243" s="1167">
        <f>ROUND(I247*99.88984%,2)</f>
        <v>104.34</v>
      </c>
      <c r="J243" s="1167" t="e">
        <f>+#REF!</f>
        <v>#REF!</v>
      </c>
      <c r="K243" s="1167" t="e">
        <f>+#REF!</f>
        <v>#REF!</v>
      </c>
      <c r="L243" s="1167" t="e">
        <f>IF((ROUND(G243*J243*1/10000000,2))&gt;(ROUND(I243*1000000*K243/10000000,2)),(ROUND(G243*J243*1/10000000,2)),0)</f>
        <v>#REF!</v>
      </c>
      <c r="M243" s="1167" t="e">
        <f>IF((ROUND(I243*1000000*K243/10000000,2))&gt;(ROUND(G243*J243*1/10000000,2)),(ROUND(I243*1000000*K243/10000000,2)),0)</f>
        <v>#REF!</v>
      </c>
      <c r="N243" s="1167" t="e">
        <f>L243+M243</f>
        <v>#REF!</v>
      </c>
      <c r="O243" s="1192" t="e">
        <f>ROUND(N243/I243*10,2)</f>
        <v>#REF!</v>
      </c>
    </row>
    <row r="244" spans="1:15" ht="16.5" x14ac:dyDescent="0.2">
      <c r="A244" s="1197" t="s">
        <v>525</v>
      </c>
      <c r="B244" s="1159"/>
      <c r="C244" s="1160" t="s">
        <v>613</v>
      </c>
      <c r="D244" s="1160" t="s">
        <v>604</v>
      </c>
      <c r="E244" s="1168">
        <f>ROUND(E247*0%,0)</f>
        <v>0</v>
      </c>
      <c r="F244" s="1168">
        <f>ROUND(F247*0%,0)</f>
        <v>0</v>
      </c>
      <c r="G244" s="1160">
        <f>ROUND(F244*895,0)</f>
        <v>0</v>
      </c>
      <c r="H244" s="1162" t="s">
        <v>561</v>
      </c>
      <c r="I244" s="1167">
        <f>ROUND(I247*0%,2)</f>
        <v>0</v>
      </c>
      <c r="J244" s="1167" t="e">
        <f>+#REF!</f>
        <v>#REF!</v>
      </c>
      <c r="K244" s="1167" t="e">
        <f>+#REF!</f>
        <v>#REF!</v>
      </c>
      <c r="L244" s="1167" t="e">
        <f>ROUND(G244*J244*12/10000000,2)</f>
        <v>#REF!</v>
      </c>
      <c r="M244" s="1167" t="e">
        <f>ROUND(I244*1000000*K244/10000000,2)</f>
        <v>#REF!</v>
      </c>
      <c r="N244" s="1167" t="e">
        <f>L244+M244</f>
        <v>#REF!</v>
      </c>
      <c r="O244" s="1192"/>
    </row>
    <row r="245" spans="1:15" ht="16.5" x14ac:dyDescent="0.2">
      <c r="A245" s="1197" t="s">
        <v>525</v>
      </c>
      <c r="B245" s="1159"/>
      <c r="C245" s="1160" t="s">
        <v>614</v>
      </c>
      <c r="D245" s="1160" t="s">
        <v>604</v>
      </c>
      <c r="E245" s="1168">
        <f>ROUND(E247*0%,0)</f>
        <v>0</v>
      </c>
      <c r="F245" s="1168">
        <f>ROUND(F247*0%,0)</f>
        <v>0</v>
      </c>
      <c r="G245" s="1160">
        <f>ROUND(F245*0,0)</f>
        <v>0</v>
      </c>
      <c r="H245" s="1162" t="s">
        <v>561</v>
      </c>
      <c r="I245" s="1167">
        <f>ROUND(I247*0%,2)</f>
        <v>0</v>
      </c>
      <c r="J245" s="1167" t="e">
        <f>+#REF!</f>
        <v>#REF!</v>
      </c>
      <c r="K245" s="1167" t="e">
        <f>+#REF!</f>
        <v>#REF!</v>
      </c>
      <c r="L245" s="1167" t="e">
        <f>ROUND(G245*J245*12/10000000,2)</f>
        <v>#REF!</v>
      </c>
      <c r="M245" s="1167" t="e">
        <f>ROUND(I245*1000000*K245/10000000,2)</f>
        <v>#REF!</v>
      </c>
      <c r="N245" s="1167" t="e">
        <f>L245+M245</f>
        <v>#REF!</v>
      </c>
      <c r="O245" s="1192"/>
    </row>
    <row r="246" spans="1:15" ht="16.5" x14ac:dyDescent="0.2">
      <c r="A246" s="1197" t="s">
        <v>525</v>
      </c>
      <c r="B246" s="1159"/>
      <c r="C246" s="1160" t="s">
        <v>615</v>
      </c>
      <c r="D246" s="1160" t="s">
        <v>604</v>
      </c>
      <c r="E246" s="1168">
        <f>ROUND(E247*6.97674%,0)</f>
        <v>4</v>
      </c>
      <c r="F246" s="1168">
        <f>ROUND(F247*6.97674%,0)</f>
        <v>3</v>
      </c>
      <c r="G246" s="1160">
        <f>ROUND(F246*167,0)</f>
        <v>501</v>
      </c>
      <c r="H246" s="1162" t="s">
        <v>561</v>
      </c>
      <c r="I246" s="1167">
        <f>+I247-I243-I244-I245</f>
        <v>0.11999999999999034</v>
      </c>
      <c r="J246" s="1167" t="e">
        <f>+#REF!</f>
        <v>#REF!</v>
      </c>
      <c r="K246" s="1167" t="e">
        <f>+#REF!</f>
        <v>#REF!</v>
      </c>
      <c r="L246" s="1167" t="e">
        <f>IF((ROUND(G246*J246*1/10000000,2))&gt;(ROUND(I246*1000000*K246/10000000,2)),(ROUND(G246*J246*1/10000000,2)),0)</f>
        <v>#REF!</v>
      </c>
      <c r="M246" s="1167" t="e">
        <f>IF((ROUND(I246*1000000*K246/10000000,2))&gt;(ROUND(G246*J246*1/10000000,2)),(ROUND(I246*1000000*K246/10000000,2)),0)</f>
        <v>#REF!</v>
      </c>
      <c r="N246" s="1167" t="e">
        <f>L246+M246</f>
        <v>#REF!</v>
      </c>
      <c r="O246" s="1192" t="e">
        <f>ROUND(N246/I246*10,2)</f>
        <v>#REF!</v>
      </c>
    </row>
    <row r="247" spans="1:15" ht="16.5" x14ac:dyDescent="0.2">
      <c r="A247" s="1197" t="s">
        <v>525</v>
      </c>
      <c r="B247" s="1164">
        <v>13</v>
      </c>
      <c r="C247" s="1165" t="s">
        <v>603</v>
      </c>
      <c r="D247" s="1165"/>
      <c r="E247" s="1169">
        <f>Sales_FY24!$P$66</f>
        <v>51</v>
      </c>
      <c r="F247" s="1169">
        <f>Sales_FY24!$V$66</f>
        <v>49</v>
      </c>
      <c r="G247" s="1169">
        <f>SUM(G243:G246)</f>
        <v>43918</v>
      </c>
      <c r="H247" s="1165"/>
      <c r="I247" s="1170">
        <f>Sales_FY24!$Q$66</f>
        <v>104.46</v>
      </c>
      <c r="J247" s="1170"/>
      <c r="K247" s="1170"/>
      <c r="L247" s="1170" t="e">
        <f>SUM(L243:L246)</f>
        <v>#REF!</v>
      </c>
      <c r="M247" s="1170" t="e">
        <f>SUM(M243:M246)</f>
        <v>#REF!</v>
      </c>
      <c r="N247" s="1170" t="e">
        <f>L247+M247</f>
        <v>#REF!</v>
      </c>
      <c r="O247" s="1177" t="e">
        <f>ROUND(N247/I247*10,2)</f>
        <v>#REF!</v>
      </c>
    </row>
    <row r="248" spans="1:15" ht="16.5" x14ac:dyDescent="0.2">
      <c r="A248" s="1197" t="s">
        <v>525</v>
      </c>
      <c r="B248" s="1163"/>
      <c r="C248" s="1163"/>
      <c r="D248" s="1163"/>
      <c r="E248" s="1163"/>
      <c r="F248" s="1163"/>
      <c r="G248" s="1163"/>
      <c r="H248" s="1163"/>
      <c r="I248" s="1176"/>
      <c r="J248" s="1176"/>
      <c r="K248" s="1176"/>
      <c r="L248" s="1176"/>
      <c r="M248" s="1176"/>
      <c r="N248" s="1176"/>
      <c r="O248" s="1176"/>
    </row>
    <row r="249" spans="1:15" ht="16.5" x14ac:dyDescent="0.2">
      <c r="A249" s="1197" t="s">
        <v>525</v>
      </c>
      <c r="B249" s="1159">
        <v>14</v>
      </c>
      <c r="C249" s="1160" t="s">
        <v>312</v>
      </c>
      <c r="D249" s="1160" t="s">
        <v>589</v>
      </c>
      <c r="E249" s="1168">
        <f>Sales_FY24!$P$67</f>
        <v>77</v>
      </c>
      <c r="F249" s="1168">
        <f>Sales_FY24!$V$67</f>
        <v>75</v>
      </c>
      <c r="G249" s="1160">
        <f>ROUND(F249*170.05,0)</f>
        <v>12754</v>
      </c>
      <c r="H249" s="1162" t="s">
        <v>561</v>
      </c>
      <c r="I249" s="1167">
        <f>Sales_FY24!$Q$67</f>
        <v>24.99</v>
      </c>
      <c r="J249" s="1167" t="e">
        <f>+#REF!</f>
        <v>#REF!</v>
      </c>
      <c r="K249" s="1167" t="e">
        <f>+#REF!</f>
        <v>#REF!</v>
      </c>
      <c r="L249" s="1167" t="e">
        <f>ROUND((G249*85%)*J249*12/10000000,2)</f>
        <v>#REF!</v>
      </c>
      <c r="M249" s="1167" t="e">
        <f>ROUND(I249*1000000*K249/10000000,2)</f>
        <v>#REF!</v>
      </c>
      <c r="N249" s="1167" t="e">
        <f>L249+M249</f>
        <v>#REF!</v>
      </c>
      <c r="O249" s="1192" t="e">
        <f>ROUND(N249/I249*10,2)</f>
        <v>#REF!</v>
      </c>
    </row>
    <row r="250" spans="1:15" ht="16.5" x14ac:dyDescent="0.2">
      <c r="A250" s="1197" t="s">
        <v>525</v>
      </c>
      <c r="B250" s="1163"/>
      <c r="C250" s="1163"/>
      <c r="D250" s="1163"/>
      <c r="E250" s="1163"/>
      <c r="F250" s="1163"/>
      <c r="G250" s="1163"/>
      <c r="H250" s="1163"/>
      <c r="I250" s="1176"/>
      <c r="J250" s="1176"/>
      <c r="K250" s="1176"/>
      <c r="L250" s="1176"/>
      <c r="M250" s="1176"/>
      <c r="N250" s="1176"/>
      <c r="O250" s="1176"/>
    </row>
    <row r="251" spans="1:15" ht="16.5" x14ac:dyDescent="0.2">
      <c r="A251" s="1197" t="s">
        <v>525</v>
      </c>
      <c r="B251" s="1159">
        <v>15</v>
      </c>
      <c r="C251" s="1160" t="s">
        <v>313</v>
      </c>
      <c r="D251" s="1160" t="s">
        <v>589</v>
      </c>
      <c r="E251" s="1168">
        <f>Sales_FY24!$P$68</f>
        <v>14</v>
      </c>
      <c r="F251" s="1168">
        <f>Sales_FY24!$V$68</f>
        <v>14</v>
      </c>
      <c r="G251" s="1160">
        <f>ROUND(F251*190,0)</f>
        <v>2660</v>
      </c>
      <c r="H251" s="1162" t="s">
        <v>561</v>
      </c>
      <c r="I251" s="1167">
        <f>Sales_FY24!$Q$68</f>
        <v>2.75</v>
      </c>
      <c r="J251" s="1167" t="e">
        <f>+#REF!</f>
        <v>#REF!</v>
      </c>
      <c r="K251" s="1167" t="e">
        <f>+#REF!</f>
        <v>#REF!</v>
      </c>
      <c r="L251" s="1167" t="e">
        <f>ROUND((G251*100%)*J251*12/10000000,2)</f>
        <v>#REF!</v>
      </c>
      <c r="M251" s="1167" t="e">
        <f>ROUND(I251*1000000*K251/10000000,2)</f>
        <v>#REF!</v>
      </c>
      <c r="N251" s="1167" t="e">
        <f>L251+M251</f>
        <v>#REF!</v>
      </c>
      <c r="O251" s="1192" t="e">
        <f>ROUND(N251/I251*10,2)</f>
        <v>#REF!</v>
      </c>
    </row>
    <row r="252" spans="1:15" ht="16.5" x14ac:dyDescent="0.2">
      <c r="A252" s="1197" t="s">
        <v>525</v>
      </c>
      <c r="B252" s="1163"/>
      <c r="C252" s="1163"/>
      <c r="D252" s="1163"/>
      <c r="E252" s="1163"/>
      <c r="F252" s="1163"/>
      <c r="G252" s="1163"/>
      <c r="H252" s="1163"/>
      <c r="I252" s="1176"/>
      <c r="J252" s="1176"/>
      <c r="K252" s="1176"/>
      <c r="L252" s="1176"/>
      <c r="M252" s="1176"/>
      <c r="N252" s="1176"/>
      <c r="O252" s="1176"/>
    </row>
    <row r="253" spans="1:15" ht="16.5" x14ac:dyDescent="0.2">
      <c r="A253" s="1197" t="s">
        <v>525</v>
      </c>
      <c r="B253" s="1194"/>
      <c r="C253" s="1195" t="s">
        <v>605</v>
      </c>
      <c r="D253" s="1195"/>
      <c r="E253" s="1196">
        <f>E214+E223+E232+E241+E247+E249+E251</f>
        <v>2636</v>
      </c>
      <c r="F253" s="1196">
        <f>F214+F223+F232+F241+F247+F249+F251</f>
        <v>2577</v>
      </c>
      <c r="G253" s="1196">
        <f>G214+G223+G232+G241+G247+G249+G251</f>
        <v>747717</v>
      </c>
      <c r="H253" s="1195"/>
      <c r="I253" s="1193">
        <f>I214+I223+I232+I241+I247+I249+I251</f>
        <v>1319.5800000000002</v>
      </c>
      <c r="J253" s="1193"/>
      <c r="K253" s="1193"/>
      <c r="L253" s="1193" t="e">
        <f>L214+L223+L232+L241+L247+L249+L251</f>
        <v>#REF!</v>
      </c>
      <c r="M253" s="1193" t="e">
        <f>M214+M223+M232+M241+M247+M249+M251</f>
        <v>#REF!</v>
      </c>
      <c r="N253" s="1193" t="e">
        <f>L253+M253</f>
        <v>#REF!</v>
      </c>
      <c r="O253" s="1193" t="e">
        <f>ROUND(N253/I253*10,2)</f>
        <v>#REF!</v>
      </c>
    </row>
    <row r="254" spans="1:15" ht="16.5" x14ac:dyDescent="0.2">
      <c r="A254" s="1197" t="s">
        <v>525</v>
      </c>
      <c r="B254" s="1163"/>
      <c r="C254" s="1163"/>
      <c r="D254" s="1163"/>
      <c r="E254" s="1163"/>
      <c r="F254" s="1163"/>
      <c r="G254" s="1163"/>
      <c r="H254" s="1163"/>
      <c r="I254" s="1176"/>
      <c r="J254" s="1176"/>
      <c r="K254" s="1176"/>
      <c r="L254" s="1176"/>
      <c r="M254" s="1176"/>
      <c r="N254" s="1176"/>
      <c r="O254" s="1176"/>
    </row>
    <row r="255" spans="1:15" ht="16.5" x14ac:dyDescent="0.2">
      <c r="A255" s="1197" t="s">
        <v>525</v>
      </c>
      <c r="B255" s="1194"/>
      <c r="C255" s="1195" t="s">
        <v>606</v>
      </c>
      <c r="D255" s="1195"/>
      <c r="E255" s="1196">
        <f>E212+E253</f>
        <v>2699310</v>
      </c>
      <c r="F255" s="1196">
        <f>F212+F253</f>
        <v>2664461</v>
      </c>
      <c r="G255" s="1196">
        <f>G212+G253</f>
        <v>6173308</v>
      </c>
      <c r="H255" s="1195"/>
      <c r="I255" s="1193">
        <f>I212+I253</f>
        <v>5534.79</v>
      </c>
      <c r="J255" s="1193"/>
      <c r="K255" s="1193"/>
      <c r="L255" s="1193" t="e">
        <f>L212+L253</f>
        <v>#REF!</v>
      </c>
      <c r="M255" s="1193" t="e">
        <f>M212+M253</f>
        <v>#REF!</v>
      </c>
      <c r="N255" s="1193" t="e">
        <f>L255+M255</f>
        <v>#REF!</v>
      </c>
      <c r="O255" s="1193" t="e">
        <f>ROUND(N255/I255*10,2)</f>
        <v>#REF!</v>
      </c>
    </row>
    <row r="256" spans="1:15" ht="16.5" x14ac:dyDescent="0.2">
      <c r="A256" s="1197" t="s">
        <v>525</v>
      </c>
      <c r="B256" s="1163"/>
      <c r="C256" s="1163"/>
      <c r="D256" s="1163"/>
      <c r="E256" s="1163"/>
      <c r="F256" s="1163"/>
      <c r="G256" s="1163"/>
      <c r="H256" s="1163"/>
      <c r="I256" s="1176"/>
      <c r="J256" s="1176"/>
      <c r="K256" s="1176"/>
      <c r="L256" s="1176"/>
      <c r="M256" s="1176"/>
      <c r="N256" s="1176"/>
      <c r="O256" s="1176"/>
    </row>
    <row r="257" spans="1:19" ht="16.5" x14ac:dyDescent="0.2">
      <c r="A257" s="1197" t="s">
        <v>525</v>
      </c>
      <c r="B257" s="1159">
        <v>16</v>
      </c>
      <c r="C257" s="1160"/>
      <c r="D257" s="1160"/>
      <c r="E257" s="1168"/>
      <c r="F257" s="1168"/>
      <c r="G257" s="1160"/>
      <c r="H257" s="1162"/>
      <c r="I257" s="1167"/>
      <c r="J257" s="1167"/>
      <c r="K257" s="1167"/>
      <c r="L257" s="1167"/>
      <c r="M257" s="1167"/>
      <c r="N257" s="1167"/>
      <c r="O257" s="1192"/>
    </row>
    <row r="258" spans="1:19" ht="16.5" x14ac:dyDescent="0.2">
      <c r="A258" s="1197" t="s">
        <v>525</v>
      </c>
      <c r="B258" s="1163"/>
      <c r="C258" s="1163"/>
      <c r="D258" s="1163"/>
      <c r="E258" s="1163"/>
      <c r="F258" s="1163"/>
      <c r="G258" s="1163"/>
      <c r="H258" s="1163"/>
      <c r="I258" s="1176"/>
      <c r="J258" s="1176"/>
      <c r="K258" s="1176"/>
      <c r="L258" s="1176"/>
      <c r="M258" s="1176"/>
      <c r="N258" s="1176"/>
      <c r="O258" s="1176"/>
    </row>
    <row r="259" spans="1:19" ht="16.5" x14ac:dyDescent="0.2">
      <c r="A259" s="1197" t="s">
        <v>525</v>
      </c>
      <c r="B259" s="1159">
        <v>17</v>
      </c>
      <c r="C259" s="1160"/>
      <c r="D259" s="1160"/>
      <c r="E259" s="1168"/>
      <c r="F259" s="1168"/>
      <c r="G259" s="1160"/>
      <c r="H259" s="1162"/>
      <c r="I259" s="1167"/>
      <c r="J259" s="1167"/>
      <c r="K259" s="1167"/>
      <c r="L259" s="1167"/>
      <c r="M259" s="1167"/>
      <c r="N259" s="1167"/>
      <c r="O259" s="1192"/>
    </row>
    <row r="260" spans="1:19" ht="16.5" x14ac:dyDescent="0.2">
      <c r="A260" s="1197" t="s">
        <v>525</v>
      </c>
      <c r="B260" s="1163"/>
      <c r="C260" s="1163"/>
      <c r="D260" s="1163"/>
      <c r="E260" s="1163"/>
      <c r="F260" s="1163"/>
      <c r="G260" s="1163"/>
      <c r="H260" s="1163"/>
      <c r="I260" s="1176"/>
      <c r="J260" s="1176"/>
      <c r="K260" s="1176"/>
      <c r="L260" s="1176"/>
      <c r="M260" s="1176"/>
      <c r="N260" s="1176"/>
      <c r="O260" s="1176"/>
    </row>
    <row r="261" spans="1:19" ht="16.5" x14ac:dyDescent="0.2">
      <c r="A261" s="1197" t="s">
        <v>525</v>
      </c>
      <c r="B261" s="1159">
        <v>18</v>
      </c>
      <c r="C261" s="1160"/>
      <c r="D261" s="1160" t="s">
        <v>305</v>
      </c>
      <c r="E261" s="1168"/>
      <c r="F261" s="1168"/>
      <c r="G261" s="1160"/>
      <c r="H261" s="1162"/>
      <c r="I261" s="1167"/>
      <c r="J261" s="1167"/>
      <c r="K261" s="1167"/>
      <c r="L261" s="1167">
        <v>0</v>
      </c>
      <c r="M261" s="1167">
        <f>ROUND((57.93+(57.93*33.01951%))+5.91+39.01,2)</f>
        <v>121.98</v>
      </c>
      <c r="N261" s="1167">
        <f>L261+M261</f>
        <v>121.98</v>
      </c>
      <c r="O261" s="1192"/>
    </row>
    <row r="262" spans="1:19" ht="16.5" x14ac:dyDescent="0.2">
      <c r="A262" s="1197" t="s">
        <v>525</v>
      </c>
      <c r="B262" s="1163"/>
      <c r="C262" s="1163"/>
      <c r="D262" s="1163"/>
      <c r="E262" s="1163"/>
      <c r="F262" s="1163"/>
      <c r="G262" s="1163"/>
      <c r="H262" s="1163"/>
      <c r="I262" s="1176"/>
      <c r="J262" s="1176"/>
      <c r="K262" s="1176"/>
      <c r="L262" s="1176"/>
      <c r="M262" s="1176"/>
      <c r="N262" s="1176"/>
      <c r="O262" s="1176"/>
    </row>
    <row r="263" spans="1:19" ht="16.5" x14ac:dyDescent="0.2">
      <c r="A263" s="1197" t="s">
        <v>525</v>
      </c>
      <c r="B263" s="1194"/>
      <c r="C263" s="1195" t="s">
        <v>607</v>
      </c>
      <c r="D263" s="1195"/>
      <c r="E263" s="1196">
        <f>E255+E261+E257+E259</f>
        <v>2699310</v>
      </c>
      <c r="F263" s="1196">
        <f>F255+F261+F257+F259</f>
        <v>2664461</v>
      </c>
      <c r="G263" s="1196">
        <f>G255+G261+G257+G259</f>
        <v>6173308</v>
      </c>
      <c r="H263" s="1195"/>
      <c r="I263" s="1193">
        <f>I255+I261+I257+I259</f>
        <v>5534.79</v>
      </c>
      <c r="J263" s="1193"/>
      <c r="K263" s="1193"/>
      <c r="L263" s="1193" t="e">
        <f>L255+L261+L257+L259</f>
        <v>#REF!</v>
      </c>
      <c r="M263" s="1193" t="e">
        <f>M255+M261+M257+M259</f>
        <v>#REF!</v>
      </c>
      <c r="N263" s="1193" t="e">
        <f>L263+M263</f>
        <v>#REF!</v>
      </c>
      <c r="O263" s="1193" t="e">
        <f>ROUND(N263/I263*10,2)</f>
        <v>#REF!</v>
      </c>
      <c r="R263" s="1224" t="e">
        <f>+#REF!</f>
        <v>#REF!</v>
      </c>
      <c r="S263" s="1224" t="e">
        <f>+N263-R263</f>
        <v>#REF!</v>
      </c>
    </row>
    <row r="267" spans="1:19" x14ac:dyDescent="0.15">
      <c r="B267" s="1172" t="s">
        <v>609</v>
      </c>
      <c r="D267" s="1173" t="s">
        <v>608</v>
      </c>
    </row>
    <row r="268" spans="1:19" x14ac:dyDescent="0.15">
      <c r="B268" s="1187" t="s">
        <v>472</v>
      </c>
      <c r="C268" s="1187" t="s">
        <v>474</v>
      </c>
      <c r="D268" s="1188" t="s">
        <v>3</v>
      </c>
      <c r="E268" s="1187" t="s">
        <v>49</v>
      </c>
      <c r="F268" s="1187" t="s">
        <v>469</v>
      </c>
      <c r="G268" s="1187" t="s">
        <v>467</v>
      </c>
      <c r="H268" s="1188" t="s">
        <v>475</v>
      </c>
      <c r="I268" s="1188" t="s">
        <v>475</v>
      </c>
      <c r="J268" s="1187" t="s">
        <v>477</v>
      </c>
      <c r="K268" s="1187" t="s">
        <v>480</v>
      </c>
      <c r="L268" s="1189" t="s">
        <v>610</v>
      </c>
      <c r="M268" s="1189" t="s">
        <v>611</v>
      </c>
      <c r="N268" s="1189" t="s">
        <v>488</v>
      </c>
      <c r="O268" s="1189" t="s">
        <v>489</v>
      </c>
    </row>
    <row r="269" spans="1:19" x14ac:dyDescent="0.15">
      <c r="B269" s="1190" t="s">
        <v>473</v>
      </c>
      <c r="C269" s="1190" t="s">
        <v>31</v>
      </c>
      <c r="D269" s="1191"/>
      <c r="E269" s="1190" t="s">
        <v>33</v>
      </c>
      <c r="F269" s="1190" t="s">
        <v>33</v>
      </c>
      <c r="G269" s="1190" t="s">
        <v>468</v>
      </c>
      <c r="H269" s="1191" t="s">
        <v>487</v>
      </c>
      <c r="I269" s="1191" t="s">
        <v>476</v>
      </c>
      <c r="J269" s="1190" t="s">
        <v>479</v>
      </c>
      <c r="K269" s="1190" t="s">
        <v>478</v>
      </c>
      <c r="L269" s="1190" t="s">
        <v>481</v>
      </c>
      <c r="M269" s="1190" t="s">
        <v>481</v>
      </c>
      <c r="N269" s="1190" t="s">
        <v>481</v>
      </c>
      <c r="O269" s="1190" t="s">
        <v>478</v>
      </c>
    </row>
    <row r="270" spans="1:19" ht="16.5" x14ac:dyDescent="0.2">
      <c r="A270" s="1197" t="s">
        <v>535</v>
      </c>
      <c r="B270" s="1159"/>
      <c r="C270" s="1160" t="s">
        <v>38</v>
      </c>
      <c r="D270" s="1160" t="s">
        <v>482</v>
      </c>
      <c r="E270" s="1168">
        <f>Sales_FY24!$P$90</f>
        <v>447923</v>
      </c>
      <c r="F270" s="1168">
        <f>Sales_FY24!$V$90</f>
        <v>447923</v>
      </c>
      <c r="G270" s="1160">
        <f>ROUND(E270*0.1,0)</f>
        <v>44792</v>
      </c>
      <c r="H270" s="1167"/>
      <c r="I270" s="1167">
        <f>Sales_FY24!$Q$90</f>
        <v>95.12</v>
      </c>
      <c r="J270" s="1167" t="e">
        <f>+#REF!</f>
        <v>#REF!</v>
      </c>
      <c r="K270" s="1167" t="e">
        <f>+#REF!</f>
        <v>#REF!</v>
      </c>
      <c r="L270" s="1167"/>
      <c r="M270" s="1167" t="e">
        <f>ROUND(I270*1000000*K270/10000000,2)</f>
        <v>#REF!</v>
      </c>
      <c r="N270" s="1175" t="e">
        <f>+L270+M270</f>
        <v>#REF!</v>
      </c>
      <c r="O270" s="1171" t="e">
        <f>ROUND(N270/I270*10,2)</f>
        <v>#REF!</v>
      </c>
    </row>
    <row r="271" spans="1:19" ht="16.5" x14ac:dyDescent="0.2">
      <c r="A271" s="1197" t="s">
        <v>535</v>
      </c>
      <c r="B271" s="1159"/>
      <c r="C271" s="1160" t="s">
        <v>38</v>
      </c>
      <c r="D271" s="1161" t="s">
        <v>483</v>
      </c>
      <c r="E271" s="1168">
        <f>Sales_FY24!$P$91</f>
        <v>41739</v>
      </c>
      <c r="F271" s="1168">
        <f>Sales_FY24!$V$91</f>
        <v>41739</v>
      </c>
      <c r="G271" s="1160">
        <f>ROUND(E271*0.1,0)</f>
        <v>4174</v>
      </c>
      <c r="H271" s="1162" t="s">
        <v>426</v>
      </c>
      <c r="I271" s="1167">
        <f>ROUND(F271*50*12/1000000,2)</f>
        <v>25.04</v>
      </c>
      <c r="J271" s="1167">
        <v>100</v>
      </c>
      <c r="K271" s="1167">
        <f>+K282</f>
        <v>4.0999999999999996</v>
      </c>
      <c r="L271" s="1167">
        <f>ROUND((F271*J271*12)/10000000,2)</f>
        <v>5.01</v>
      </c>
      <c r="M271" s="1167">
        <f>ROUND(I271*1000000*K271/10000000,2)</f>
        <v>10.27</v>
      </c>
      <c r="N271" s="1167"/>
      <c r="O271" s="1167"/>
    </row>
    <row r="272" spans="1:19" ht="16.5" x14ac:dyDescent="0.2">
      <c r="A272" s="1197" t="s">
        <v>535</v>
      </c>
      <c r="B272" s="1159"/>
      <c r="C272" s="1160"/>
      <c r="D272" s="1161"/>
      <c r="E272" s="1160"/>
      <c r="F272" s="1160"/>
      <c r="G272" s="1160"/>
      <c r="H272" s="1162" t="s">
        <v>432</v>
      </c>
      <c r="I272" s="1167">
        <f>I273-I271</f>
        <v>2.4000000000000021</v>
      </c>
      <c r="J272" s="1167"/>
      <c r="K272" s="1167">
        <f>+K283</f>
        <v>5.6</v>
      </c>
      <c r="L272" s="1167"/>
      <c r="M272" s="1167">
        <f>ROUND(I272*1000000*K272/10000000,2)</f>
        <v>1.34</v>
      </c>
      <c r="N272" s="1167"/>
      <c r="O272" s="1167"/>
    </row>
    <row r="273" spans="1:18" ht="16.5" x14ac:dyDescent="0.2">
      <c r="A273" s="1197" t="s">
        <v>535</v>
      </c>
      <c r="B273" s="1172"/>
      <c r="C273" s="1173"/>
      <c r="D273" s="1174" t="s">
        <v>486</v>
      </c>
      <c r="E273" s="1173">
        <f>SUM(E271:E272)</f>
        <v>41739</v>
      </c>
      <c r="F273" s="1173">
        <f>SUM(F271:F272)</f>
        <v>41739</v>
      </c>
      <c r="G273" s="1173">
        <f>SUM(G271:G272)</f>
        <v>4174</v>
      </c>
      <c r="H273" s="1173"/>
      <c r="I273" s="1175">
        <f>Sales_FY24!$Q$91</f>
        <v>27.44</v>
      </c>
      <c r="J273" s="1175"/>
      <c r="K273" s="1175"/>
      <c r="L273" s="1175">
        <f>SUM(L271:L272)</f>
        <v>5.01</v>
      </c>
      <c r="M273" s="1175">
        <f>SUM(M271:M272)</f>
        <v>11.61</v>
      </c>
      <c r="N273" s="1175">
        <f>+L273+M273</f>
        <v>16.619999999999997</v>
      </c>
      <c r="O273" s="1171">
        <f>ROUND(N273/I273*10,2)</f>
        <v>6.06</v>
      </c>
    </row>
    <row r="274" spans="1:18" ht="16.5" x14ac:dyDescent="0.2">
      <c r="A274" s="1197" t="s">
        <v>535</v>
      </c>
      <c r="B274" s="1164">
        <v>1</v>
      </c>
      <c r="C274" s="1165" t="s">
        <v>484</v>
      </c>
      <c r="D274" s="1165"/>
      <c r="E274" s="1169">
        <f>+E270+E273</f>
        <v>489662</v>
      </c>
      <c r="F274" s="1169">
        <f>+F270+F273</f>
        <v>489662</v>
      </c>
      <c r="G274" s="1169">
        <f>+G270+G273</f>
        <v>48966</v>
      </c>
      <c r="H274" s="1165"/>
      <c r="I274" s="1170">
        <f>+I270+I273</f>
        <v>122.56</v>
      </c>
      <c r="J274" s="1170"/>
      <c r="K274" s="1170"/>
      <c r="L274" s="1170">
        <f>+L270+L273</f>
        <v>5.01</v>
      </c>
      <c r="M274" s="1170" t="e">
        <f>+M270+M273</f>
        <v>#REF!</v>
      </c>
      <c r="N274" s="1170" t="e">
        <f>L274+M274</f>
        <v>#REF!</v>
      </c>
      <c r="O274" s="1170"/>
      <c r="R274" s="1224" t="e">
        <f>+N274-#REF!</f>
        <v>#REF!</v>
      </c>
    </row>
    <row r="275" spans="1:18" ht="16.5" x14ac:dyDescent="0.2">
      <c r="A275" s="1197" t="s">
        <v>535</v>
      </c>
      <c r="B275" s="1163"/>
      <c r="C275" s="1163"/>
      <c r="D275" s="1163"/>
      <c r="E275" s="1163"/>
      <c r="F275" s="1163"/>
      <c r="G275" s="1163"/>
      <c r="H275" s="1163"/>
      <c r="I275" s="1176"/>
      <c r="J275" s="1176"/>
      <c r="K275" s="1176"/>
      <c r="L275" s="1176"/>
      <c r="M275" s="1176"/>
      <c r="N275" s="1176"/>
      <c r="O275" s="1176"/>
    </row>
    <row r="276" spans="1:18" ht="16.5" x14ac:dyDescent="0.2">
      <c r="A276" s="1197" t="s">
        <v>535</v>
      </c>
      <c r="B276" s="1159"/>
      <c r="C276" s="1160" t="s">
        <v>485</v>
      </c>
      <c r="D276" s="1160" t="s">
        <v>43</v>
      </c>
      <c r="E276" s="1160">
        <f>ROUND(E280*87.4%,0)</f>
        <v>922022</v>
      </c>
      <c r="F276" s="1160">
        <f>ROUND(F280*87.4%,0)</f>
        <v>910470</v>
      </c>
      <c r="G276" s="1160">
        <f>ROUND(F276*0.87,0)</f>
        <v>792109</v>
      </c>
      <c r="H276" s="1162" t="s">
        <v>426</v>
      </c>
      <c r="I276" s="1167">
        <f>ROUND(I280*25.893%,2)</f>
        <v>196.24</v>
      </c>
      <c r="J276" s="1167" t="e">
        <f>+#REF!</f>
        <v>#REF!</v>
      </c>
      <c r="K276" s="1167" t="e">
        <f>+#REF!</f>
        <v>#REF!</v>
      </c>
      <c r="L276" s="1167" t="e">
        <f>ROUND((F276*J276*12)/10000000,2)</f>
        <v>#REF!</v>
      </c>
      <c r="M276" s="1167" t="e">
        <f>ROUND(I276*1000000*K276/10000000,2)</f>
        <v>#REF!</v>
      </c>
      <c r="N276" s="1167"/>
      <c r="O276" s="1171"/>
    </row>
    <row r="277" spans="1:18" ht="16.5" x14ac:dyDescent="0.2">
      <c r="A277" s="1197" t="s">
        <v>535</v>
      </c>
      <c r="B277" s="1159"/>
      <c r="C277" s="1160"/>
      <c r="D277" s="1160" t="s">
        <v>451</v>
      </c>
      <c r="E277" s="1160">
        <f>ROUND(E280*12.6%,0)</f>
        <v>132923</v>
      </c>
      <c r="F277" s="1160">
        <f>ROUND(F280*12.6%,0)</f>
        <v>131258</v>
      </c>
      <c r="G277" s="1160">
        <f>ROUND(F277*2.25,0)</f>
        <v>295331</v>
      </c>
      <c r="H277" s="1162" t="s">
        <v>432</v>
      </c>
      <c r="I277" s="1167">
        <f>ROUND(I280*36%,2)</f>
        <v>272.83999999999997</v>
      </c>
      <c r="J277" s="1167" t="e">
        <f>+#REF!</f>
        <v>#REF!</v>
      </c>
      <c r="K277" s="1167" t="e">
        <f>+#REF!</f>
        <v>#REF!</v>
      </c>
      <c r="L277" s="1167" t="e">
        <f>ROUND(((F277*J276*12)+((G277-F277)*J277*12))/10000000,2)</f>
        <v>#REF!</v>
      </c>
      <c r="M277" s="1167" t="e">
        <f>ROUND(I277*1000000*K277/10000000,2)</f>
        <v>#REF!</v>
      </c>
      <c r="N277" s="1167"/>
      <c r="O277" s="1167"/>
    </row>
    <row r="278" spans="1:18" ht="16.5" x14ac:dyDescent="0.2">
      <c r="A278" s="1197" t="s">
        <v>535</v>
      </c>
      <c r="B278" s="1159"/>
      <c r="C278" s="1160"/>
      <c r="D278" s="1160" t="s">
        <v>444</v>
      </c>
      <c r="E278" s="1160">
        <f>+E280-E276-E277</f>
        <v>0</v>
      </c>
      <c r="F278" s="1160">
        <f>+F280-F276-F277</f>
        <v>0</v>
      </c>
      <c r="G278" s="1160">
        <f>ROUND(F278*0,0)</f>
        <v>0</v>
      </c>
      <c r="H278" s="1162" t="s">
        <v>380</v>
      </c>
      <c r="I278" s="1167">
        <f>ROUND(I280*23.02%,2)</f>
        <v>174.47</v>
      </c>
      <c r="J278" s="1167" t="e">
        <f>+#REF!</f>
        <v>#REF!</v>
      </c>
      <c r="K278" s="1167" t="e">
        <f>+#REF!</f>
        <v>#REF!</v>
      </c>
      <c r="L278" s="1167" t="e">
        <f>ROUND(((F278*J276*12)+(F278*49*12*J277)+((G278-(F278*50))*12*J278))/10000000,2)</f>
        <v>#REF!</v>
      </c>
      <c r="M278" s="1167" t="e">
        <f>ROUND(I278*1000000*K278/10000000,2)</f>
        <v>#REF!</v>
      </c>
      <c r="N278" s="1167"/>
      <c r="O278" s="1167"/>
    </row>
    <row r="279" spans="1:18" ht="16.5" x14ac:dyDescent="0.2">
      <c r="A279" s="1197" t="s">
        <v>535</v>
      </c>
      <c r="B279" s="1159"/>
      <c r="C279" s="1160"/>
      <c r="D279" s="1160"/>
      <c r="E279" s="1160"/>
      <c r="F279" s="1160"/>
      <c r="G279" s="1160"/>
      <c r="H279" s="1162" t="s">
        <v>411</v>
      </c>
      <c r="I279" s="1167">
        <f>+I280-I276-I277-I278</f>
        <v>114.35</v>
      </c>
      <c r="J279" s="1167"/>
      <c r="K279" s="1167" t="e">
        <f>+#REF!</f>
        <v>#REF!</v>
      </c>
      <c r="L279" s="1167"/>
      <c r="M279" s="1167" t="e">
        <f>ROUND(I279*1000000*K279/10000000,2)</f>
        <v>#REF!</v>
      </c>
      <c r="N279" s="1167"/>
      <c r="O279" s="1167"/>
    </row>
    <row r="280" spans="1:18" ht="16.5" x14ac:dyDescent="0.2">
      <c r="A280" s="1197" t="s">
        <v>535</v>
      </c>
      <c r="B280" s="1164"/>
      <c r="C280" s="1165"/>
      <c r="D280" s="1166" t="s">
        <v>486</v>
      </c>
      <c r="E280" s="1165">
        <f>ROUND(E287*44.62%,0)</f>
        <v>1054945</v>
      </c>
      <c r="F280" s="1165">
        <f>ROUND(F287*44.62%,0)</f>
        <v>1041728</v>
      </c>
      <c r="G280" s="1165">
        <f>SUM(G276:G279)</f>
        <v>1087440</v>
      </c>
      <c r="H280" s="1165"/>
      <c r="I280" s="1170">
        <f>ROUND(I287*64.32%,2)</f>
        <v>757.9</v>
      </c>
      <c r="J280" s="1170"/>
      <c r="K280" s="1170"/>
      <c r="L280" s="1170" t="e">
        <f>SUM(L276:L279)</f>
        <v>#REF!</v>
      </c>
      <c r="M280" s="1170" t="e">
        <f>SUM(M276:M279)</f>
        <v>#REF!</v>
      </c>
      <c r="N280" s="1170" t="e">
        <f>L280+M280</f>
        <v>#REF!</v>
      </c>
      <c r="O280" s="1177" t="e">
        <f>ROUND(N280/I280*10,2)</f>
        <v>#REF!</v>
      </c>
      <c r="R280" s="1224" t="e">
        <f>+N280-#REF!</f>
        <v>#REF!</v>
      </c>
    </row>
    <row r="281" spans="1:18" ht="16.5" x14ac:dyDescent="0.2">
      <c r="A281" s="1197" t="s">
        <v>535</v>
      </c>
      <c r="B281" s="1163"/>
      <c r="C281" s="1163"/>
      <c r="D281" s="1163"/>
      <c r="E281" s="1163"/>
      <c r="F281" s="1163"/>
      <c r="G281" s="1163"/>
      <c r="H281" s="1163"/>
      <c r="I281" s="1176"/>
      <c r="J281" s="1176"/>
      <c r="K281" s="1176"/>
      <c r="L281" s="1176"/>
      <c r="M281" s="1176"/>
      <c r="N281" s="1176"/>
      <c r="O281" s="1176"/>
    </row>
    <row r="282" spans="1:18" ht="16.5" x14ac:dyDescent="0.2">
      <c r="A282" s="1197" t="s">
        <v>535</v>
      </c>
      <c r="B282" s="1159"/>
      <c r="C282" s="1160" t="s">
        <v>555</v>
      </c>
      <c r="D282" s="1160" t="s">
        <v>43</v>
      </c>
      <c r="E282" s="1160">
        <f>ROUND(E286*85.63%,0)</f>
        <v>1121190</v>
      </c>
      <c r="F282" s="1160">
        <f>ROUND(F286*85.63%,0)</f>
        <v>1107144</v>
      </c>
      <c r="G282" s="1160">
        <f>ROUND(F282*0.665,0)</f>
        <v>736251</v>
      </c>
      <c r="H282" s="1162" t="s">
        <v>426</v>
      </c>
      <c r="I282" s="1167">
        <f>ROUND(I286*33.5%,2)</f>
        <v>140.84</v>
      </c>
      <c r="J282" s="1167">
        <v>100</v>
      </c>
      <c r="K282" s="1167">
        <v>4.0999999999999996</v>
      </c>
      <c r="L282" s="1167">
        <f>ROUND((F282*J282*12)/10000000,2)</f>
        <v>132.86000000000001</v>
      </c>
      <c r="M282" s="1167">
        <f>ROUND(I282*1000000*K282/10000000,2)</f>
        <v>57.74</v>
      </c>
      <c r="N282" s="1167"/>
      <c r="O282" s="1167"/>
    </row>
    <row r="283" spans="1:18" ht="16.5" x14ac:dyDescent="0.2">
      <c r="A283" s="1197" t="s">
        <v>535</v>
      </c>
      <c r="B283" s="1159"/>
      <c r="C283" s="1160"/>
      <c r="D283" s="1160" t="s">
        <v>451</v>
      </c>
      <c r="E283" s="1160">
        <f>ROUND(E286*14.37%,0)</f>
        <v>188153</v>
      </c>
      <c r="F283" s="1160">
        <f>ROUND(F286*14.37%,0)</f>
        <v>185795</v>
      </c>
      <c r="G283" s="1160">
        <f>ROUND(F283*2,0)</f>
        <v>371590</v>
      </c>
      <c r="H283" s="1162" t="s">
        <v>432</v>
      </c>
      <c r="I283" s="1167">
        <f>ROUND(I286*37.3%,2)</f>
        <v>156.82</v>
      </c>
      <c r="J283" s="1167">
        <v>110</v>
      </c>
      <c r="K283" s="1167">
        <v>5.6</v>
      </c>
      <c r="L283" s="1167">
        <f>ROUND(((F283*J282*12)+((G283-F283)*J283*12))/10000000,2)</f>
        <v>46.82</v>
      </c>
      <c r="M283" s="1167">
        <f>ROUND(I283*1000000*K283/10000000,2)</f>
        <v>87.82</v>
      </c>
      <c r="N283" s="1167"/>
      <c r="O283" s="1167"/>
    </row>
    <row r="284" spans="1:18" ht="16.5" x14ac:dyDescent="0.2">
      <c r="A284" s="1197" t="s">
        <v>535</v>
      </c>
      <c r="B284" s="1159"/>
      <c r="C284" s="1160"/>
      <c r="D284" s="1160" t="s">
        <v>444</v>
      </c>
      <c r="E284" s="1160">
        <f>+E286-E282-E283</f>
        <v>0</v>
      </c>
      <c r="F284" s="1160">
        <f>+F286-F282-F283</f>
        <v>0</v>
      </c>
      <c r="G284" s="1160">
        <f>ROUND(F284*0,0)</f>
        <v>0</v>
      </c>
      <c r="H284" s="1162" t="s">
        <v>380</v>
      </c>
      <c r="I284" s="1167">
        <f>ROUND(I286*21.3%,2)</f>
        <v>89.55</v>
      </c>
      <c r="J284" s="1167">
        <v>175</v>
      </c>
      <c r="K284" s="1167">
        <v>7.15</v>
      </c>
      <c r="L284" s="1167">
        <f>ROUND(((F284*J282*12)+(F284*49*12*J283)+((G284-(F284*50))*12*J284))/10000000,2)</f>
        <v>0</v>
      </c>
      <c r="M284" s="1167">
        <f>ROUND(I284*1000000*K284/10000000,2)</f>
        <v>64.03</v>
      </c>
      <c r="N284" s="1167"/>
      <c r="O284" s="1167"/>
    </row>
    <row r="285" spans="1:18" ht="16.5" x14ac:dyDescent="0.2">
      <c r="A285" s="1197" t="s">
        <v>535</v>
      </c>
      <c r="B285" s="1159"/>
      <c r="C285" s="1160"/>
      <c r="D285" s="1160"/>
      <c r="E285" s="1160"/>
      <c r="F285" s="1160"/>
      <c r="G285" s="1160"/>
      <c r="H285" s="1162" t="s">
        <v>411</v>
      </c>
      <c r="I285" s="1167">
        <f>+I286-I282-I283-I284</f>
        <v>33.219999999999928</v>
      </c>
      <c r="J285" s="1167"/>
      <c r="K285" s="1167">
        <v>8.1999999999999993</v>
      </c>
      <c r="L285" s="1167"/>
      <c r="M285" s="1167">
        <f>ROUND(I285*1000000*K285/10000000,2)</f>
        <v>27.24</v>
      </c>
      <c r="N285" s="1167"/>
      <c r="O285" s="1167"/>
    </row>
    <row r="286" spans="1:18" ht="16.5" x14ac:dyDescent="0.2">
      <c r="A286" s="1197" t="s">
        <v>535</v>
      </c>
      <c r="B286" s="1164"/>
      <c r="C286" s="1165"/>
      <c r="D286" s="1166" t="s">
        <v>486</v>
      </c>
      <c r="E286" s="1169">
        <f>E287-E280</f>
        <v>1309343</v>
      </c>
      <c r="F286" s="1169">
        <f>F287-F280</f>
        <v>1292939</v>
      </c>
      <c r="G286" s="1165">
        <f>SUM(G282:G285)</f>
        <v>1107841</v>
      </c>
      <c r="H286" s="1165"/>
      <c r="I286" s="1170">
        <f>I287-I280</f>
        <v>420.42999999999995</v>
      </c>
      <c r="J286" s="1170"/>
      <c r="K286" s="1170"/>
      <c r="L286" s="1170">
        <f>SUM(L282:L285)</f>
        <v>179.68</v>
      </c>
      <c r="M286" s="1170">
        <f>SUM(M282:M285)</f>
        <v>236.83</v>
      </c>
      <c r="N286" s="1170">
        <f>L286+M286</f>
        <v>416.51</v>
      </c>
      <c r="O286" s="1177">
        <f>ROUND(N286/I286*10,2)</f>
        <v>9.91</v>
      </c>
      <c r="R286" s="1224" t="e">
        <f>+N286-#REF!</f>
        <v>#REF!</v>
      </c>
    </row>
    <row r="287" spans="1:18" ht="16.5" x14ac:dyDescent="0.2">
      <c r="A287" s="1197" t="s">
        <v>535</v>
      </c>
      <c r="B287" s="1164">
        <v>2</v>
      </c>
      <c r="C287" s="1165" t="s">
        <v>490</v>
      </c>
      <c r="D287" s="1165"/>
      <c r="E287" s="1169">
        <f>Sales_FY24!$P$92</f>
        <v>2364288</v>
      </c>
      <c r="F287" s="1169">
        <f>Sales_FY24!$V$92</f>
        <v>2334667</v>
      </c>
      <c r="G287" s="1169">
        <f>G280+G286</f>
        <v>2195281</v>
      </c>
      <c r="H287" s="1165"/>
      <c r="I287" s="1170">
        <f>Sales_FY24!$Q$92</f>
        <v>1178.33</v>
      </c>
      <c r="J287" s="1170"/>
      <c r="K287" s="1170"/>
      <c r="L287" s="1170" t="e">
        <f>L280+L286</f>
        <v>#REF!</v>
      </c>
      <c r="M287" s="1170" t="e">
        <f>M280+M286</f>
        <v>#REF!</v>
      </c>
      <c r="N287" s="1170" t="e">
        <f>L287+M287</f>
        <v>#REF!</v>
      </c>
      <c r="O287" s="1177" t="e">
        <f>ROUND(N287/I287*10,2)</f>
        <v>#REF!</v>
      </c>
      <c r="R287" s="1224"/>
    </row>
    <row r="288" spans="1:18" ht="16.5" x14ac:dyDescent="0.2">
      <c r="A288" s="1197" t="s">
        <v>535</v>
      </c>
      <c r="B288" s="1163"/>
      <c r="C288" s="1163"/>
      <c r="D288" s="1163"/>
      <c r="E288" s="1163"/>
      <c r="F288" s="1163"/>
      <c r="G288" s="1163"/>
      <c r="H288" s="1163"/>
      <c r="I288" s="1176"/>
      <c r="J288" s="1176"/>
      <c r="K288" s="1176"/>
      <c r="L288" s="1176"/>
      <c r="M288" s="1176"/>
      <c r="N288" s="1176"/>
      <c r="O288" s="1176"/>
    </row>
    <row r="289" spans="1:18" ht="16.5" x14ac:dyDescent="0.2">
      <c r="A289" s="1197" t="s">
        <v>535</v>
      </c>
      <c r="B289" s="1159"/>
      <c r="C289" s="1160" t="s">
        <v>491</v>
      </c>
      <c r="D289" s="1160" t="s">
        <v>492</v>
      </c>
      <c r="E289" s="1160">
        <f>ROUND(E292*100%,0)</f>
        <v>2271</v>
      </c>
      <c r="F289" s="1160">
        <f>ROUND(F292*100%,0)</f>
        <v>2229</v>
      </c>
      <c r="G289" s="1160">
        <f>ROUND(F289*4.83,0)</f>
        <v>10766</v>
      </c>
      <c r="H289" s="1162" t="s">
        <v>493</v>
      </c>
      <c r="I289" s="1167">
        <f>ROUND(I292*45.26%,2)</f>
        <v>3.23</v>
      </c>
      <c r="J289" s="1167" t="e">
        <f>+#REF!</f>
        <v>#REF!</v>
      </c>
      <c r="K289" s="1167" t="e">
        <f>+#REF!</f>
        <v>#REF!</v>
      </c>
      <c r="L289" s="1167" t="e">
        <f>ROUND(G289*J289*12/10000000,2)</f>
        <v>#REF!</v>
      </c>
      <c r="M289" s="1167" t="e">
        <f>ROUND(I289*1000000*K289/10000000,2)</f>
        <v>#REF!</v>
      </c>
      <c r="N289" s="1167"/>
      <c r="O289" s="1167"/>
    </row>
    <row r="290" spans="1:18" ht="16.5" x14ac:dyDescent="0.2">
      <c r="A290" s="1197" t="s">
        <v>535</v>
      </c>
      <c r="B290" s="1159"/>
      <c r="C290" s="1160"/>
      <c r="D290" s="1160" t="s">
        <v>444</v>
      </c>
      <c r="E290" s="1160">
        <f>E292-E289</f>
        <v>0</v>
      </c>
      <c r="F290" s="1160">
        <f>F292-F289</f>
        <v>0</v>
      </c>
      <c r="G290" s="1160">
        <f>ROUND(F290*0,0)</f>
        <v>0</v>
      </c>
      <c r="H290" s="1162" t="s">
        <v>411</v>
      </c>
      <c r="I290" s="1167">
        <f>I292-I289</f>
        <v>3.9</v>
      </c>
      <c r="J290" s="1167" t="e">
        <f>+#REF!</f>
        <v>#REF!</v>
      </c>
      <c r="K290" s="1167" t="e">
        <f>+#REF!</f>
        <v>#REF!</v>
      </c>
      <c r="L290" s="1167" t="e">
        <f>ROUND(((F290*J289*50*12)+((G290-(F290*50))*J290*12))/10000000,2)</f>
        <v>#REF!</v>
      </c>
      <c r="M290" s="1167" t="e">
        <f>ROUND(I290*1000000*K290/10000000,2)</f>
        <v>#REF!</v>
      </c>
      <c r="N290" s="1167"/>
      <c r="O290" s="1167"/>
    </row>
    <row r="291" spans="1:18" ht="16.5" x14ac:dyDescent="0.2">
      <c r="A291" s="1197" t="s">
        <v>535</v>
      </c>
      <c r="B291" s="1159"/>
      <c r="C291" s="1160"/>
      <c r="D291" s="1160" t="s">
        <v>556</v>
      </c>
      <c r="E291" s="1160"/>
      <c r="F291" s="1160"/>
      <c r="G291" s="1160"/>
      <c r="H291" s="1162"/>
      <c r="I291" s="1167"/>
      <c r="J291" s="1186" t="e">
        <f>+#REF!</f>
        <v>#REF!</v>
      </c>
      <c r="K291" s="1167"/>
      <c r="L291" s="1167"/>
      <c r="M291" s="1167"/>
      <c r="N291" s="1167"/>
      <c r="O291" s="1167"/>
    </row>
    <row r="292" spans="1:18" ht="16.5" x14ac:dyDescent="0.2">
      <c r="A292" s="1197" t="s">
        <v>535</v>
      </c>
      <c r="B292" s="1164"/>
      <c r="C292" s="1165"/>
      <c r="D292" s="1166" t="s">
        <v>486</v>
      </c>
      <c r="E292" s="1165">
        <f>ROUND(E298*55.46%,0)</f>
        <v>2271</v>
      </c>
      <c r="F292" s="1165">
        <f>ROUND(F298*55.46%,0)</f>
        <v>2229</v>
      </c>
      <c r="G292" s="1165">
        <f>SUM(G289:G290)</f>
        <v>10766</v>
      </c>
      <c r="H292" s="1165"/>
      <c r="I292" s="1170">
        <f>ROUND(I298*66.56%,2)</f>
        <v>7.13</v>
      </c>
      <c r="J292" s="1170"/>
      <c r="K292" s="1170"/>
      <c r="L292" s="1170" t="e">
        <f>SUM(L289:L290)</f>
        <v>#REF!</v>
      </c>
      <c r="M292" s="1170" t="e">
        <f>SUM(M289:M290)</f>
        <v>#REF!</v>
      </c>
      <c r="N292" s="1170" t="e">
        <f>L292+M292</f>
        <v>#REF!</v>
      </c>
      <c r="O292" s="1177" t="e">
        <f>ROUND(N292/I292*10,2)</f>
        <v>#REF!</v>
      </c>
      <c r="R292" s="1224" t="e">
        <f>+N292-#REF!</f>
        <v>#REF!</v>
      </c>
    </row>
    <row r="293" spans="1:18" ht="16.5" x14ac:dyDescent="0.2">
      <c r="A293" s="1197" t="s">
        <v>535</v>
      </c>
      <c r="B293" s="1163"/>
      <c r="C293" s="1163"/>
      <c r="D293" s="1163"/>
      <c r="E293" s="1163"/>
      <c r="F293" s="1163"/>
      <c r="G293" s="1163"/>
      <c r="H293" s="1163"/>
      <c r="I293" s="1176"/>
      <c r="J293" s="1176"/>
      <c r="K293" s="1176"/>
      <c r="L293" s="1176"/>
      <c r="M293" s="1176"/>
      <c r="N293" s="1176"/>
      <c r="O293" s="1176"/>
    </row>
    <row r="294" spans="1:18" ht="16.5" x14ac:dyDescent="0.2">
      <c r="A294" s="1197" t="s">
        <v>535</v>
      </c>
      <c r="B294" s="1159"/>
      <c r="C294" s="1160" t="s">
        <v>554</v>
      </c>
      <c r="D294" s="1160" t="s">
        <v>492</v>
      </c>
      <c r="E294" s="1160">
        <f>ROUND(E297*100%,0)</f>
        <v>1824</v>
      </c>
      <c r="F294" s="1160">
        <f>ROUND(F297*100%,0)</f>
        <v>1790</v>
      </c>
      <c r="G294" s="1160">
        <f>ROUND(F294*2.746,0)</f>
        <v>4915</v>
      </c>
      <c r="H294" s="1162" t="s">
        <v>493</v>
      </c>
      <c r="I294" s="1167">
        <f>ROUND(I297*45.67%,2)</f>
        <v>1.63</v>
      </c>
      <c r="J294" s="1167">
        <v>120</v>
      </c>
      <c r="K294" s="1167">
        <v>7.3</v>
      </c>
      <c r="L294" s="1167">
        <f>ROUND(G294*J294*12/10000000,2)</f>
        <v>0.71</v>
      </c>
      <c r="M294" s="1167">
        <f>ROUND(I294*1000000*K294/10000000,2)</f>
        <v>1.19</v>
      </c>
      <c r="N294" s="1167"/>
      <c r="O294" s="1167"/>
    </row>
    <row r="295" spans="1:18" ht="16.5" x14ac:dyDescent="0.2">
      <c r="A295" s="1197" t="s">
        <v>535</v>
      </c>
      <c r="B295" s="1159"/>
      <c r="C295" s="1160"/>
      <c r="D295" s="1160" t="s">
        <v>444</v>
      </c>
      <c r="E295" s="1160">
        <f>E297-E294</f>
        <v>0</v>
      </c>
      <c r="F295" s="1160">
        <f>F297-F294</f>
        <v>0</v>
      </c>
      <c r="G295" s="1160">
        <f>ROUND(F295*0,0)</f>
        <v>0</v>
      </c>
      <c r="H295" s="1162" t="s">
        <v>411</v>
      </c>
      <c r="I295" s="1167">
        <f>I297-I294</f>
        <v>1.9500000000000011</v>
      </c>
      <c r="J295" s="1167">
        <v>175</v>
      </c>
      <c r="K295" s="1167">
        <v>8.5500000000000007</v>
      </c>
      <c r="L295" s="1167">
        <f>ROUND(((F295*J294*50*12)+((G295-(F295*50))*J295*12))/10000000,2)</f>
        <v>0</v>
      </c>
      <c r="M295" s="1167">
        <f>ROUND(I295*1000000*K295/10000000,2)</f>
        <v>1.67</v>
      </c>
      <c r="N295" s="1167"/>
      <c r="O295" s="1167"/>
    </row>
    <row r="296" spans="1:18" ht="16.5" x14ac:dyDescent="0.2">
      <c r="A296" s="1197" t="s">
        <v>535</v>
      </c>
      <c r="B296" s="1159"/>
      <c r="C296" s="1160"/>
      <c r="D296" s="1160" t="s">
        <v>556</v>
      </c>
      <c r="E296" s="1160"/>
      <c r="F296" s="1160"/>
      <c r="G296" s="1160"/>
      <c r="H296" s="1162"/>
      <c r="I296" s="1167"/>
      <c r="J296" s="1186">
        <v>150</v>
      </c>
      <c r="K296" s="1167"/>
      <c r="L296" s="1167"/>
      <c r="M296" s="1167"/>
      <c r="N296" s="1167"/>
      <c r="O296" s="1167"/>
    </row>
    <row r="297" spans="1:18" ht="16.5" x14ac:dyDescent="0.2">
      <c r="A297" s="1197" t="s">
        <v>535</v>
      </c>
      <c r="B297" s="1164"/>
      <c r="C297" s="1165"/>
      <c r="D297" s="1166" t="s">
        <v>486</v>
      </c>
      <c r="E297" s="1169">
        <f>E298-E292</f>
        <v>1824</v>
      </c>
      <c r="F297" s="1169">
        <f>F298-F292</f>
        <v>1790</v>
      </c>
      <c r="G297" s="1165">
        <f>SUM(G294:G295)</f>
        <v>4915</v>
      </c>
      <c r="H297" s="1165"/>
      <c r="I297" s="1170">
        <f>I298-I292</f>
        <v>3.580000000000001</v>
      </c>
      <c r="J297" s="1170"/>
      <c r="K297" s="1170"/>
      <c r="L297" s="1170">
        <f>SUM(L294:L295)</f>
        <v>0.71</v>
      </c>
      <c r="M297" s="1170">
        <f>SUM(M294:M295)</f>
        <v>2.86</v>
      </c>
      <c r="N297" s="1170">
        <f>L297+M297</f>
        <v>3.57</v>
      </c>
      <c r="O297" s="1177">
        <f>ROUND(N297/I297*10,2)</f>
        <v>9.9700000000000006</v>
      </c>
      <c r="R297" s="1224" t="e">
        <f>+N297-#REF!</f>
        <v>#REF!</v>
      </c>
    </row>
    <row r="298" spans="1:18" ht="16.5" x14ac:dyDescent="0.2">
      <c r="A298" s="1197" t="s">
        <v>535</v>
      </c>
      <c r="B298" s="1164">
        <v>3</v>
      </c>
      <c r="C298" s="1165" t="s">
        <v>553</v>
      </c>
      <c r="D298" s="1165"/>
      <c r="E298" s="1169">
        <f>Sales_FY24!$P$93</f>
        <v>4095</v>
      </c>
      <c r="F298" s="1169">
        <f>Sales_FY24!$V$93</f>
        <v>4019</v>
      </c>
      <c r="G298" s="1169">
        <f>G289+G297</f>
        <v>15681</v>
      </c>
      <c r="H298" s="1165"/>
      <c r="I298" s="1170">
        <f>Sales_FY24!$Q$93</f>
        <v>10.71</v>
      </c>
      <c r="J298" s="1170"/>
      <c r="K298" s="1170"/>
      <c r="L298" s="1170" t="e">
        <f>L292+L297</f>
        <v>#REF!</v>
      </c>
      <c r="M298" s="1170" t="e">
        <f>M292+M297</f>
        <v>#REF!</v>
      </c>
      <c r="N298" s="1170" t="e">
        <f>L298+M298</f>
        <v>#REF!</v>
      </c>
      <c r="O298" s="1177" t="e">
        <f>ROUND(N298/I298*10,2)</f>
        <v>#REF!</v>
      </c>
    </row>
    <row r="299" spans="1:18" ht="16.5" x14ac:dyDescent="0.2">
      <c r="A299" s="1197" t="s">
        <v>535</v>
      </c>
      <c r="B299" s="1163"/>
      <c r="C299" s="1163"/>
      <c r="D299" s="1163"/>
      <c r="E299" s="1163"/>
      <c r="F299" s="1163"/>
      <c r="G299" s="1163"/>
      <c r="H299" s="1163"/>
      <c r="I299" s="1176"/>
      <c r="J299" s="1176"/>
      <c r="K299" s="1176"/>
      <c r="L299" s="1176"/>
      <c r="M299" s="1176"/>
      <c r="N299" s="1176"/>
      <c r="O299" s="1176"/>
    </row>
    <row r="300" spans="1:18" ht="16.5" x14ac:dyDescent="0.2">
      <c r="A300" s="1197" t="s">
        <v>535</v>
      </c>
      <c r="B300" s="1159"/>
      <c r="C300" s="1160" t="s">
        <v>69</v>
      </c>
      <c r="D300" s="1160" t="s">
        <v>492</v>
      </c>
      <c r="E300" s="1160">
        <f>ROUND(E302*100%,0)</f>
        <v>193062</v>
      </c>
      <c r="F300" s="1160">
        <f>ROUND(F302*100%,0)</f>
        <v>212726</v>
      </c>
      <c r="G300" s="1160">
        <f>ROUND(F300*1.75,0)</f>
        <v>372271</v>
      </c>
      <c r="H300" s="1162" t="s">
        <v>426</v>
      </c>
      <c r="I300" s="1167">
        <f>ROUND(I302*16%,2)</f>
        <v>40.85</v>
      </c>
      <c r="J300" s="1167" t="e">
        <f>+#REF!</f>
        <v>#REF!</v>
      </c>
      <c r="K300" s="1167" t="e">
        <f>+#REF!</f>
        <v>#REF!</v>
      </c>
      <c r="L300" s="1167" t="e">
        <f>ROUND(G300*J300*12/10000000,2)</f>
        <v>#REF!</v>
      </c>
      <c r="M300" s="1167" t="e">
        <f>ROUND(I300*1000000*K300/10000000,2)</f>
        <v>#REF!</v>
      </c>
      <c r="N300" s="1167"/>
      <c r="O300" s="1167"/>
    </row>
    <row r="301" spans="1:18" ht="16.5" x14ac:dyDescent="0.2">
      <c r="A301" s="1197" t="s">
        <v>535</v>
      </c>
      <c r="B301" s="1159"/>
      <c r="C301" s="1160"/>
      <c r="D301" s="1160" t="s">
        <v>444</v>
      </c>
      <c r="E301" s="1160">
        <f>E302-E300</f>
        <v>0</v>
      </c>
      <c r="F301" s="1160">
        <f>F302-F300</f>
        <v>0</v>
      </c>
      <c r="G301" s="1160">
        <f>ROUND(F301*0,0)</f>
        <v>0</v>
      </c>
      <c r="H301" s="1162" t="s">
        <v>558</v>
      </c>
      <c r="I301" s="1167">
        <f>I302-I300</f>
        <v>214.49</v>
      </c>
      <c r="J301" s="1167" t="e">
        <f>+#REF!</f>
        <v>#REF!</v>
      </c>
      <c r="K301" s="1167" t="e">
        <f>+#REF!</f>
        <v>#REF!</v>
      </c>
      <c r="L301" s="1167" t="e">
        <f>ROUND(((F301*J300*50*12)+((G301-(F301*50))*J301*12))/10000000,2)</f>
        <v>#REF!</v>
      </c>
      <c r="M301" s="1167" t="e">
        <f>ROUND(I301*1000000*K301/10000000,2)</f>
        <v>#REF!</v>
      </c>
      <c r="N301" s="1167"/>
      <c r="O301" s="1167"/>
    </row>
    <row r="302" spans="1:18" ht="16.5" x14ac:dyDescent="0.2">
      <c r="A302" s="1197" t="s">
        <v>535</v>
      </c>
      <c r="B302" s="1164"/>
      <c r="C302" s="1165"/>
      <c r="D302" s="1166" t="s">
        <v>486</v>
      </c>
      <c r="E302" s="1165">
        <f>ROUND(E307*60.41278%,0)</f>
        <v>193062</v>
      </c>
      <c r="F302" s="1165">
        <f>ROUND(F307*67.65%,0)</f>
        <v>212726</v>
      </c>
      <c r="G302" s="1165">
        <f>SUM(G300:G301)</f>
        <v>372271</v>
      </c>
      <c r="H302" s="1165"/>
      <c r="I302" s="1170">
        <f>ROUND(I307*68.94%,2)</f>
        <v>255.34</v>
      </c>
      <c r="J302" s="1170"/>
      <c r="K302" s="1170"/>
      <c r="L302" s="1170" t="e">
        <f>SUM(L300:L301)</f>
        <v>#REF!</v>
      </c>
      <c r="M302" s="1170" t="e">
        <f>SUM(M300:M301)</f>
        <v>#REF!</v>
      </c>
      <c r="N302" s="1170" t="e">
        <f>L302+M302</f>
        <v>#REF!</v>
      </c>
      <c r="O302" s="1177" t="e">
        <f>ROUND(N302/I302*10,2)</f>
        <v>#REF!</v>
      </c>
      <c r="R302" s="1224" t="e">
        <f>+N302-#REF!</f>
        <v>#REF!</v>
      </c>
    </row>
    <row r="303" spans="1:18" ht="16.5" x14ac:dyDescent="0.2">
      <c r="A303" s="1197" t="s">
        <v>535</v>
      </c>
      <c r="B303" s="1163"/>
      <c r="C303" s="1163"/>
      <c r="D303" s="1163"/>
      <c r="E303" s="1163"/>
      <c r="F303" s="1163"/>
      <c r="G303" s="1163"/>
      <c r="H303" s="1163"/>
      <c r="I303" s="1176"/>
      <c r="J303" s="1176"/>
      <c r="K303" s="1176"/>
      <c r="L303" s="1176"/>
      <c r="M303" s="1176"/>
      <c r="N303" s="1176"/>
      <c r="O303" s="1176"/>
    </row>
    <row r="304" spans="1:18" ht="16.5" x14ac:dyDescent="0.2">
      <c r="A304" s="1197" t="s">
        <v>535</v>
      </c>
      <c r="B304" s="1159"/>
      <c r="C304" s="1160" t="s">
        <v>76</v>
      </c>
      <c r="D304" s="1160" t="s">
        <v>492</v>
      </c>
      <c r="E304" s="1160">
        <f>ROUND(E306*100%,0)</f>
        <v>126510</v>
      </c>
      <c r="F304" s="1160">
        <f>ROUND(F306*100%,0)</f>
        <v>101725</v>
      </c>
      <c r="G304" s="1160">
        <f>ROUND(F304*1.45,0)</f>
        <v>147501</v>
      </c>
      <c r="H304" s="1162" t="s">
        <v>426</v>
      </c>
      <c r="I304" s="1167">
        <f>ROUND(I306*22%,2)</f>
        <v>25.31</v>
      </c>
      <c r="J304" s="1167">
        <v>125</v>
      </c>
      <c r="K304" s="1167">
        <v>8.4</v>
      </c>
      <c r="L304" s="1167">
        <f>ROUND(G304*J304*12/10000000,2)</f>
        <v>22.13</v>
      </c>
      <c r="M304" s="1167">
        <f>ROUND(I304*1000000*K304/10000000,2)</f>
        <v>21.26</v>
      </c>
      <c r="N304" s="1167"/>
      <c r="O304" s="1167"/>
    </row>
    <row r="305" spans="1:18" ht="16.5" x14ac:dyDescent="0.2">
      <c r="A305" s="1197" t="s">
        <v>535</v>
      </c>
      <c r="B305" s="1159"/>
      <c r="C305" s="1160"/>
      <c r="D305" s="1160" t="s">
        <v>444</v>
      </c>
      <c r="E305" s="1160">
        <f>E306-E304</f>
        <v>0</v>
      </c>
      <c r="F305" s="1160">
        <f>F306-F304</f>
        <v>0</v>
      </c>
      <c r="G305" s="1160">
        <f>ROUND(F305*0,0)</f>
        <v>0</v>
      </c>
      <c r="H305" s="1162" t="s">
        <v>558</v>
      </c>
      <c r="I305" s="1167">
        <f>I306-I304</f>
        <v>89.72999999999999</v>
      </c>
      <c r="J305" s="1167">
        <v>230</v>
      </c>
      <c r="K305" s="1167">
        <v>9.4</v>
      </c>
      <c r="L305" s="1167">
        <f>ROUND(((F305*J304*50*12)+((G305-(F305*50))*J305*12))/10000000,2)</f>
        <v>0</v>
      </c>
      <c r="M305" s="1167">
        <f>ROUND(I305*1000000*K305/10000000,2)</f>
        <v>84.35</v>
      </c>
      <c r="N305" s="1167"/>
      <c r="O305" s="1167"/>
    </row>
    <row r="306" spans="1:18" ht="16.5" x14ac:dyDescent="0.2">
      <c r="A306" s="1197" t="s">
        <v>535</v>
      </c>
      <c r="B306" s="1164"/>
      <c r="C306" s="1165"/>
      <c r="D306" s="1166" t="s">
        <v>486</v>
      </c>
      <c r="E306" s="1169">
        <f>E307-E302</f>
        <v>126510</v>
      </c>
      <c r="F306" s="1169">
        <f>F307-F302</f>
        <v>101725</v>
      </c>
      <c r="G306" s="1165">
        <f>SUM(G304:G305)</f>
        <v>147501</v>
      </c>
      <c r="H306" s="1165"/>
      <c r="I306" s="1170">
        <f>I307-I302</f>
        <v>115.03999999999999</v>
      </c>
      <c r="J306" s="1170"/>
      <c r="K306" s="1170"/>
      <c r="L306" s="1170">
        <f>SUM(L304:L305)</f>
        <v>22.13</v>
      </c>
      <c r="M306" s="1170">
        <f>SUM(M304:M305)</f>
        <v>105.61</v>
      </c>
      <c r="N306" s="1170">
        <f>L306+M306</f>
        <v>127.74</v>
      </c>
      <c r="O306" s="1177">
        <f>ROUND(N306/I306*10,2)</f>
        <v>11.1</v>
      </c>
      <c r="R306" s="1224" t="e">
        <f>+N306-#REF!</f>
        <v>#REF!</v>
      </c>
    </row>
    <row r="307" spans="1:18" ht="16.5" x14ac:dyDescent="0.2">
      <c r="A307" s="1197" t="s">
        <v>535</v>
      </c>
      <c r="B307" s="1164">
        <v>4</v>
      </c>
      <c r="C307" s="1165" t="s">
        <v>557</v>
      </c>
      <c r="D307" s="1165"/>
      <c r="E307" s="1169">
        <f>Sales_FY24!$P$94</f>
        <v>319572</v>
      </c>
      <c r="F307" s="1169">
        <f>Sales_FY24!$V$94</f>
        <v>314451</v>
      </c>
      <c r="G307" s="1169">
        <f>G302+G306</f>
        <v>519772</v>
      </c>
      <c r="H307" s="1165"/>
      <c r="I307" s="1170">
        <f>Sales_FY24!$Q$94</f>
        <v>370.38</v>
      </c>
      <c r="J307" s="1170"/>
      <c r="K307" s="1170"/>
      <c r="L307" s="1170" t="e">
        <f>L302+L306</f>
        <v>#REF!</v>
      </c>
      <c r="M307" s="1170" t="e">
        <f>M302+M306</f>
        <v>#REF!</v>
      </c>
      <c r="N307" s="1170" t="e">
        <f>L307+M307</f>
        <v>#REF!</v>
      </c>
      <c r="O307" s="1177" t="e">
        <f>ROUND(N307/I307*10,2)</f>
        <v>#REF!</v>
      </c>
    </row>
    <row r="308" spans="1:18" ht="16.5" x14ac:dyDescent="0.2">
      <c r="A308" s="1197" t="s">
        <v>535</v>
      </c>
      <c r="B308" s="1163"/>
      <c r="C308" s="1163"/>
      <c r="D308" s="1163"/>
      <c r="E308" s="1163"/>
      <c r="F308" s="1163"/>
      <c r="G308" s="1163"/>
      <c r="H308" s="1163"/>
      <c r="I308" s="1176"/>
      <c r="J308" s="1176"/>
      <c r="K308" s="1176"/>
      <c r="L308" s="1176"/>
      <c r="M308" s="1176"/>
      <c r="N308" s="1176"/>
      <c r="O308" s="1176"/>
    </row>
    <row r="309" spans="1:18" ht="16.5" x14ac:dyDescent="0.2">
      <c r="A309" s="1197" t="s">
        <v>535</v>
      </c>
      <c r="B309" s="1159"/>
      <c r="C309" s="1160" t="s">
        <v>559</v>
      </c>
      <c r="D309" s="1160" t="s">
        <v>560</v>
      </c>
      <c r="E309" s="1160">
        <f>Sales_FY24!$P$95</f>
        <v>496937</v>
      </c>
      <c r="F309" s="1160">
        <f>Sales_FY24!$V$95</f>
        <v>495812</v>
      </c>
      <c r="G309" s="1160">
        <f>ROUND(F309*4.6,0)</f>
        <v>2280735</v>
      </c>
      <c r="H309" s="1162" t="s">
        <v>561</v>
      </c>
      <c r="I309" s="1167">
        <f>Sales_FY24!$Q$95</f>
        <v>3084.54</v>
      </c>
      <c r="J309" s="1167"/>
      <c r="K309" s="1167" t="e">
        <f>+#REF!</f>
        <v>#REF!</v>
      </c>
      <c r="L309" s="1167">
        <f>ROUND(G309*J309*12/10000000,2)</f>
        <v>0</v>
      </c>
      <c r="M309" s="1167" t="e">
        <f>ROUND(I309*1000000*K309/10000000,2)</f>
        <v>#REF!</v>
      </c>
      <c r="N309" s="1167" t="e">
        <f>L309+M309</f>
        <v>#REF!</v>
      </c>
      <c r="O309" s="1192" t="e">
        <f>ROUND(N309/I309*10,2)</f>
        <v>#REF!</v>
      </c>
    </row>
    <row r="310" spans="1:18" ht="16.5" x14ac:dyDescent="0.2">
      <c r="A310" s="1197" t="s">
        <v>535</v>
      </c>
      <c r="B310" s="1159"/>
      <c r="C310" s="1160" t="s">
        <v>562</v>
      </c>
      <c r="D310" s="1160" t="s">
        <v>563</v>
      </c>
      <c r="E310" s="1168">
        <f>Sales_FY24!$P$96</f>
        <v>240</v>
      </c>
      <c r="F310" s="1160">
        <f>Sales_FY24!$V$96</f>
        <v>240</v>
      </c>
      <c r="G310" s="1160">
        <f>ROUND(F310*16.95,0)</f>
        <v>4068</v>
      </c>
      <c r="H310" s="1162" t="s">
        <v>561</v>
      </c>
      <c r="I310" s="1167">
        <f>Sales_FY24!$Q$96</f>
        <v>1.2</v>
      </c>
      <c r="J310" s="1167" t="e">
        <f>+#REF!</f>
        <v>#REF!</v>
      </c>
      <c r="K310" s="1167" t="e">
        <f>+#REF!</f>
        <v>#REF!</v>
      </c>
      <c r="L310" s="1167" t="e">
        <f>ROUND(G310*J310*12/10000000,2)</f>
        <v>#REF!</v>
      </c>
      <c r="M310" s="1167" t="e">
        <f>ROUND(I310*1000000*K310/10000000,2)</f>
        <v>#REF!</v>
      </c>
      <c r="N310" s="1167" t="e">
        <f>L310+M310</f>
        <v>#REF!</v>
      </c>
      <c r="O310" s="1192" t="e">
        <f>ROUND(N310/I310*10,2)</f>
        <v>#REF!</v>
      </c>
    </row>
    <row r="311" spans="1:18" ht="16.5" x14ac:dyDescent="0.2">
      <c r="A311" s="1197" t="s">
        <v>535</v>
      </c>
      <c r="B311" s="1159"/>
      <c r="C311" s="1160" t="s">
        <v>564</v>
      </c>
      <c r="D311" s="1160" t="s">
        <v>565</v>
      </c>
      <c r="E311" s="1168">
        <f>Sales_FY24!$P$97</f>
        <v>12952</v>
      </c>
      <c r="F311" s="1160">
        <f>Sales_FY24!$V$97</f>
        <v>12376</v>
      </c>
      <c r="G311" s="1160">
        <f>ROUND(F311*7.45,0)</f>
        <v>92201</v>
      </c>
      <c r="H311" s="1162" t="s">
        <v>561</v>
      </c>
      <c r="I311" s="1167">
        <f>Sales_FY24!$Q$97</f>
        <v>22.6</v>
      </c>
      <c r="J311" s="1167" t="e">
        <f>+#REF!</f>
        <v>#REF!</v>
      </c>
      <c r="K311" s="1167" t="e">
        <f>+#REF!</f>
        <v>#REF!</v>
      </c>
      <c r="L311" s="1167" t="e">
        <f>ROUND(G311*J311*12/10000000,2)</f>
        <v>#REF!</v>
      </c>
      <c r="M311" s="1167" t="e">
        <f>ROUND(I311*1000000*K311/10000000,2)</f>
        <v>#REF!</v>
      </c>
      <c r="N311" s="1167" t="e">
        <f>L311+M311</f>
        <v>#REF!</v>
      </c>
      <c r="O311" s="1192" t="e">
        <f>ROUND(N311/I311*10,2)</f>
        <v>#REF!</v>
      </c>
    </row>
    <row r="312" spans="1:18" ht="16.5" x14ac:dyDescent="0.2">
      <c r="A312" s="1197" t="s">
        <v>535</v>
      </c>
      <c r="B312" s="1164">
        <v>5</v>
      </c>
      <c r="C312" s="1165" t="s">
        <v>566</v>
      </c>
      <c r="D312" s="1165"/>
      <c r="E312" s="1169">
        <f>SUM(E309:E311)</f>
        <v>510129</v>
      </c>
      <c r="F312" s="1169">
        <f>SUM(F309:F311)</f>
        <v>508428</v>
      </c>
      <c r="G312" s="1169">
        <f>SUM(G309:G311)</f>
        <v>2377004</v>
      </c>
      <c r="H312" s="1165"/>
      <c r="I312" s="1170">
        <f>SUM(I309:I311)</f>
        <v>3108.3399999999997</v>
      </c>
      <c r="J312" s="1170"/>
      <c r="K312" s="1170"/>
      <c r="L312" s="1170" t="e">
        <f>SUM(L309:L311)</f>
        <v>#REF!</v>
      </c>
      <c r="M312" s="1170" t="e">
        <f>SUM(M309:M311)</f>
        <v>#REF!</v>
      </c>
      <c r="N312" s="1170" t="e">
        <f>SUM(N309:N311)</f>
        <v>#REF!</v>
      </c>
      <c r="O312" s="1177" t="e">
        <f>ROUND(N312/I312*10,2)</f>
        <v>#REF!</v>
      </c>
    </row>
    <row r="313" spans="1:18" ht="16.5" x14ac:dyDescent="0.2">
      <c r="A313" s="1197" t="s">
        <v>535</v>
      </c>
      <c r="B313" s="1163"/>
      <c r="C313" s="1163"/>
      <c r="D313" s="1163"/>
      <c r="E313" s="1163"/>
      <c r="F313" s="1163"/>
      <c r="G313" s="1163"/>
      <c r="H313" s="1163"/>
      <c r="I313" s="1176"/>
      <c r="J313" s="1176"/>
      <c r="K313" s="1176"/>
      <c r="L313" s="1176"/>
      <c r="M313" s="1176"/>
      <c r="N313" s="1176"/>
      <c r="O313" s="1176"/>
    </row>
    <row r="314" spans="1:18" ht="16.5" x14ac:dyDescent="0.2">
      <c r="A314" s="1197" t="s">
        <v>535</v>
      </c>
      <c r="B314" s="1159"/>
      <c r="C314" s="1160" t="s">
        <v>9</v>
      </c>
      <c r="D314" s="1160" t="s">
        <v>568</v>
      </c>
      <c r="E314" s="1160">
        <f>ROUND(E319*37.25%,0)</f>
        <v>4128</v>
      </c>
      <c r="F314" s="1160">
        <f>ROUND(F319*37.25%,0)</f>
        <v>4035</v>
      </c>
      <c r="G314" s="1160">
        <f>ROUND(F314*3,0)</f>
        <v>12105</v>
      </c>
      <c r="H314" s="1162" t="s">
        <v>573</v>
      </c>
      <c r="I314" s="1167">
        <f>ROUND(I319*48.66%,2)</f>
        <v>28.34</v>
      </c>
      <c r="J314" s="1167" t="e">
        <f>+#REF!</f>
        <v>#REF!</v>
      </c>
      <c r="K314" s="1167" t="e">
        <f>+#REF!</f>
        <v>#REF!</v>
      </c>
      <c r="L314" s="1167" t="e">
        <f>ROUND(G314*J314*12/10000000,2)</f>
        <v>#REF!</v>
      </c>
      <c r="M314" s="1167" t="e">
        <f>ROUND(I314*1000000*K314/10000000,2)</f>
        <v>#REF!</v>
      </c>
      <c r="N314" s="1167"/>
      <c r="O314" s="1167"/>
    </row>
    <row r="315" spans="1:18" ht="16.5" x14ac:dyDescent="0.2">
      <c r="A315" s="1197" t="s">
        <v>535</v>
      </c>
      <c r="B315" s="1159"/>
      <c r="C315" s="1160"/>
      <c r="D315" s="1160" t="s">
        <v>569</v>
      </c>
      <c r="E315" s="1160">
        <f>ROUND(E319*51.14%,0)</f>
        <v>5668</v>
      </c>
      <c r="F315" s="1160">
        <f>ROUND(F319*51.14%,0)</f>
        <v>5539</v>
      </c>
      <c r="G315" s="1160">
        <f>ROUND(F315*17.5,0)</f>
        <v>96933</v>
      </c>
      <c r="H315" s="1162" t="s">
        <v>574</v>
      </c>
      <c r="I315" s="1167">
        <f>ROUND(I319*30.24%,2)</f>
        <v>17.61</v>
      </c>
      <c r="J315" s="1167" t="e">
        <f>+#REF!</f>
        <v>#REF!</v>
      </c>
      <c r="K315" s="1167" t="e">
        <f>+#REF!</f>
        <v>#REF!</v>
      </c>
      <c r="L315" s="1167" t="e">
        <f>ROUND(G315*J315*12/10000000,2)</f>
        <v>#REF!</v>
      </c>
      <c r="M315" s="1167" t="e">
        <f>ROUND(I315*1000000*K315/10000000,2)</f>
        <v>#REF!</v>
      </c>
      <c r="N315" s="1167"/>
      <c r="O315" s="1167"/>
    </row>
    <row r="316" spans="1:18" ht="16.5" x14ac:dyDescent="0.2">
      <c r="A316" s="1197" t="s">
        <v>535</v>
      </c>
      <c r="B316" s="1159"/>
      <c r="C316" s="1160"/>
      <c r="D316" s="1160" t="s">
        <v>570</v>
      </c>
      <c r="E316" s="1160">
        <f>ROUND(E319*10.93%,0)</f>
        <v>1211</v>
      </c>
      <c r="F316" s="1160">
        <f>ROUND(F319*10.93%,0)</f>
        <v>1184</v>
      </c>
      <c r="G316" s="1160">
        <f>ROUND(F316*65,0)</f>
        <v>76960</v>
      </c>
      <c r="H316" s="1162" t="s">
        <v>575</v>
      </c>
      <c r="I316" s="1167">
        <f>I319-I314-I315</f>
        <v>12.3</v>
      </c>
      <c r="J316" s="1167" t="e">
        <f>+#REF!</f>
        <v>#REF!</v>
      </c>
      <c r="K316" s="1167" t="e">
        <f>+#REF!</f>
        <v>#REF!</v>
      </c>
      <c r="L316" s="1167" t="e">
        <f>ROUND(G316*J316*12/10000000,2)</f>
        <v>#REF!</v>
      </c>
      <c r="M316" s="1167" t="e">
        <f>ROUND(I316*1000000*K316/10000000,2)</f>
        <v>#REF!</v>
      </c>
      <c r="N316" s="1167"/>
      <c r="O316" s="1167"/>
    </row>
    <row r="317" spans="1:18" ht="16.5" x14ac:dyDescent="0.2">
      <c r="A317" s="1197" t="s">
        <v>535</v>
      </c>
      <c r="B317" s="1159"/>
      <c r="C317" s="1160"/>
      <c r="D317" s="1160" t="s">
        <v>571</v>
      </c>
      <c r="E317" s="1160">
        <f>ROUND(E319*0.68%,0)+1</f>
        <v>76</v>
      </c>
      <c r="F317" s="1160">
        <f>ROUND(F319*0.68%,0)-1</f>
        <v>73</v>
      </c>
      <c r="G317" s="1160">
        <f>ROUND(F317*148,0)</f>
        <v>10804</v>
      </c>
      <c r="H317" s="1162"/>
      <c r="I317" s="1167"/>
      <c r="J317" s="1167" t="e">
        <f>+#REF!</f>
        <v>#REF!</v>
      </c>
      <c r="K317" s="1167"/>
      <c r="L317" s="1167" t="e">
        <f>ROUND(G317*J317*12/10000000,2)</f>
        <v>#REF!</v>
      </c>
      <c r="M317" s="1167"/>
      <c r="N317" s="1167"/>
      <c r="O317" s="1167"/>
    </row>
    <row r="318" spans="1:18" ht="16.5" x14ac:dyDescent="0.2">
      <c r="A318" s="1197" t="s">
        <v>535</v>
      </c>
      <c r="B318" s="1159"/>
      <c r="C318" s="1160"/>
      <c r="D318" s="1160" t="s">
        <v>572</v>
      </c>
      <c r="E318" s="1160">
        <f>E319-E314-E315-E316-E317</f>
        <v>0</v>
      </c>
      <c r="F318" s="1160">
        <f>F319-F314-F315-F316-F317</f>
        <v>0</v>
      </c>
      <c r="G318" s="1160">
        <f>ROUND(F318*112,0)</f>
        <v>0</v>
      </c>
      <c r="H318" s="1162"/>
      <c r="I318" s="1167"/>
      <c r="J318" s="1167" t="e">
        <f>+#REF!</f>
        <v>#REF!</v>
      </c>
      <c r="K318" s="1167"/>
      <c r="L318" s="1167" t="e">
        <f>ROUND(G318*J318*12/10000000,2)</f>
        <v>#REF!</v>
      </c>
      <c r="M318" s="1167"/>
      <c r="N318" s="1167"/>
      <c r="O318" s="1167"/>
    </row>
    <row r="319" spans="1:18" ht="16.5" x14ac:dyDescent="0.2">
      <c r="A319" s="1197" t="s">
        <v>535</v>
      </c>
      <c r="B319" s="1164"/>
      <c r="C319" s="1165"/>
      <c r="D319" s="1166" t="s">
        <v>486</v>
      </c>
      <c r="E319" s="1165">
        <f>ROUND(E327*19.41%,0)</f>
        <v>11083</v>
      </c>
      <c r="F319" s="1165">
        <f>ROUND(F327*19.41%,0)</f>
        <v>10831</v>
      </c>
      <c r="G319" s="1165">
        <f>SUM(G314:G318)</f>
        <v>196802</v>
      </c>
      <c r="H319" s="1165"/>
      <c r="I319" s="1170">
        <f>ROUND(I327*30.23%,2)</f>
        <v>58.25</v>
      </c>
      <c r="J319" s="1170"/>
      <c r="K319" s="1170"/>
      <c r="L319" s="1170" t="e">
        <f>SUM(L314:L318)</f>
        <v>#REF!</v>
      </c>
      <c r="M319" s="1170" t="e">
        <f>SUM(M314:M318)</f>
        <v>#REF!</v>
      </c>
      <c r="N319" s="1170" t="e">
        <f>L319+M319</f>
        <v>#REF!</v>
      </c>
      <c r="O319" s="1177" t="e">
        <f>ROUND(N319/I319*10,2)</f>
        <v>#REF!</v>
      </c>
      <c r="R319" s="1224" t="e">
        <f>+N319-#REF!</f>
        <v>#REF!</v>
      </c>
    </row>
    <row r="320" spans="1:18" ht="16.5" x14ac:dyDescent="0.2">
      <c r="A320" s="1197" t="s">
        <v>535</v>
      </c>
      <c r="B320" s="1163"/>
      <c r="C320" s="1163"/>
      <c r="D320" s="1163"/>
      <c r="E320" s="1163"/>
      <c r="F320" s="1163"/>
      <c r="G320" s="1163"/>
      <c r="H320" s="1163"/>
      <c r="I320" s="1176"/>
      <c r="J320" s="1176"/>
      <c r="K320" s="1176"/>
      <c r="L320" s="1176"/>
      <c r="M320" s="1176"/>
      <c r="N320" s="1176"/>
      <c r="O320" s="1176"/>
    </row>
    <row r="321" spans="1:18" ht="16.5" x14ac:dyDescent="0.2">
      <c r="A321" s="1197" t="s">
        <v>535</v>
      </c>
      <c r="B321" s="1159"/>
      <c r="C321" s="1160" t="s">
        <v>11</v>
      </c>
      <c r="D321" s="1160" t="s">
        <v>568</v>
      </c>
      <c r="E321" s="1160">
        <f>ROUND(E326*36.71%,0)</f>
        <v>16894</v>
      </c>
      <c r="F321" s="1160">
        <f>ROUND(F326*36.71%,0)</f>
        <v>16509</v>
      </c>
      <c r="G321" s="1160">
        <f>ROUND(F321*2.5,0)</f>
        <v>41273</v>
      </c>
      <c r="H321" s="1162" t="s">
        <v>573</v>
      </c>
      <c r="I321" s="1167">
        <f>ROUND(I326*38.61%,2)</f>
        <v>51.91</v>
      </c>
      <c r="J321" s="1167">
        <v>90</v>
      </c>
      <c r="K321" s="1167">
        <v>5.85</v>
      </c>
      <c r="L321" s="1167">
        <f>ROUND(G321*J321*12/10000000,2)</f>
        <v>4.46</v>
      </c>
      <c r="M321" s="1167">
        <f>ROUND(I321*1000000*K321/10000000,2)</f>
        <v>30.37</v>
      </c>
      <c r="N321" s="1167"/>
      <c r="O321" s="1167"/>
    </row>
    <row r="322" spans="1:18" ht="16.5" x14ac:dyDescent="0.2">
      <c r="A322" s="1197" t="s">
        <v>535</v>
      </c>
      <c r="B322" s="1159"/>
      <c r="C322" s="1160"/>
      <c r="D322" s="1160" t="s">
        <v>569</v>
      </c>
      <c r="E322" s="1160">
        <f>ROUND(E326*57.54%,0)</f>
        <v>26479</v>
      </c>
      <c r="F322" s="1160">
        <f>ROUND(F326*57.54%,0)</f>
        <v>25877</v>
      </c>
      <c r="G322" s="1160">
        <f>ROUND(F322*12.7,0)</f>
        <v>328638</v>
      </c>
      <c r="H322" s="1162" t="s">
        <v>574</v>
      </c>
      <c r="I322" s="1167">
        <f>ROUND(I326*35.9%,2)</f>
        <v>48.27</v>
      </c>
      <c r="J322" s="1167">
        <v>100</v>
      </c>
      <c r="K322" s="1167">
        <v>6.85</v>
      </c>
      <c r="L322" s="1167">
        <f>ROUND(G322*J322*12/10000000,2)</f>
        <v>39.44</v>
      </c>
      <c r="M322" s="1167">
        <f>ROUND(I322*1000000*K322/10000000,2)</f>
        <v>33.06</v>
      </c>
      <c r="N322" s="1167"/>
      <c r="O322" s="1167"/>
    </row>
    <row r="323" spans="1:18" ht="16.5" x14ac:dyDescent="0.2">
      <c r="A323" s="1197" t="s">
        <v>535</v>
      </c>
      <c r="B323" s="1159"/>
      <c r="C323" s="1160"/>
      <c r="D323" s="1160" t="s">
        <v>570</v>
      </c>
      <c r="E323" s="1160">
        <f>ROUND(E326*5.4%,0)</f>
        <v>2485</v>
      </c>
      <c r="F323" s="1160">
        <f>ROUND(F326*5.4%,0)</f>
        <v>2428</v>
      </c>
      <c r="G323" s="1160">
        <f>ROUND(F323*59.15,0)</f>
        <v>143616</v>
      </c>
      <c r="H323" s="1162" t="s">
        <v>575</v>
      </c>
      <c r="I323" s="1167">
        <f>I326-I321-I322</f>
        <v>34.269999999999989</v>
      </c>
      <c r="J323" s="1167">
        <v>125</v>
      </c>
      <c r="K323" s="1167">
        <v>7.15</v>
      </c>
      <c r="L323" s="1167">
        <f>ROUND(G323*J323*12/10000000,2)</f>
        <v>21.54</v>
      </c>
      <c r="M323" s="1167">
        <f>ROUND(I323*1000000*K323/10000000,2)</f>
        <v>24.5</v>
      </c>
      <c r="N323" s="1167"/>
      <c r="O323" s="1167"/>
    </row>
    <row r="324" spans="1:18" ht="16.5" x14ac:dyDescent="0.2">
      <c r="A324" s="1197" t="s">
        <v>535</v>
      </c>
      <c r="B324" s="1159"/>
      <c r="C324" s="1160"/>
      <c r="D324" s="1160" t="s">
        <v>571</v>
      </c>
      <c r="E324" s="1160">
        <f>ROUND(E326*0.351329%,0)-1</f>
        <v>161</v>
      </c>
      <c r="F324" s="1160">
        <f>ROUND(F326*0.351329%,0)</f>
        <v>158</v>
      </c>
      <c r="G324" s="1160">
        <f>ROUND(F324*86.5,0)</f>
        <v>13667</v>
      </c>
      <c r="H324" s="1162"/>
      <c r="I324" s="1167"/>
      <c r="J324" s="1167">
        <v>190</v>
      </c>
      <c r="K324" s="1167"/>
      <c r="L324" s="1167">
        <f>ROUND(G324*J324*12/10000000,2)</f>
        <v>3.12</v>
      </c>
      <c r="M324" s="1167"/>
      <c r="N324" s="1167"/>
      <c r="O324" s="1167"/>
    </row>
    <row r="325" spans="1:18" ht="16.5" x14ac:dyDescent="0.2">
      <c r="A325" s="1197" t="s">
        <v>535</v>
      </c>
      <c r="B325" s="1159"/>
      <c r="C325" s="1160"/>
      <c r="D325" s="1160" t="s">
        <v>572</v>
      </c>
      <c r="E325" s="1160">
        <f>E326-E321-E322-E323-E324</f>
        <v>0</v>
      </c>
      <c r="F325" s="1160">
        <f>F326-F321-F322-F323-F324</f>
        <v>0</v>
      </c>
      <c r="G325" s="1160">
        <f>ROUND(F325*124.15384,0)</f>
        <v>0</v>
      </c>
      <c r="H325" s="1162"/>
      <c r="I325" s="1167"/>
      <c r="J325" s="1167">
        <v>225</v>
      </c>
      <c r="K325" s="1167"/>
      <c r="L325" s="1167">
        <f>ROUND(G325*J325*12/10000000,2)</f>
        <v>0</v>
      </c>
      <c r="M325" s="1167"/>
      <c r="N325" s="1167"/>
      <c r="O325" s="1167"/>
    </row>
    <row r="326" spans="1:18" ht="16.5" x14ac:dyDescent="0.2">
      <c r="A326" s="1197" t="s">
        <v>535</v>
      </c>
      <c r="B326" s="1164"/>
      <c r="C326" s="1165"/>
      <c r="D326" s="1166" t="s">
        <v>486</v>
      </c>
      <c r="E326" s="1169">
        <f>E327-E319</f>
        <v>46019</v>
      </c>
      <c r="F326" s="1169">
        <f>F327-F319</f>
        <v>44972</v>
      </c>
      <c r="G326" s="1165">
        <f>SUM(G321:G325)</f>
        <v>527194</v>
      </c>
      <c r="H326" s="1165"/>
      <c r="I326" s="1170">
        <f>I327-I319</f>
        <v>134.44999999999999</v>
      </c>
      <c r="J326" s="1170"/>
      <c r="K326" s="1170"/>
      <c r="L326" s="1170">
        <f>SUM(L321:L325)</f>
        <v>68.56</v>
      </c>
      <c r="M326" s="1170">
        <f>SUM(M321:M325)</f>
        <v>87.93</v>
      </c>
      <c r="N326" s="1170">
        <f>L326+M326</f>
        <v>156.49</v>
      </c>
      <c r="O326" s="1177">
        <f>ROUND(N326/I326*10,2)</f>
        <v>11.64</v>
      </c>
      <c r="R326" s="1224" t="e">
        <f>+N326-#REF!</f>
        <v>#REF!</v>
      </c>
    </row>
    <row r="327" spans="1:18" ht="16.5" x14ac:dyDescent="0.2">
      <c r="A327" s="1197" t="s">
        <v>535</v>
      </c>
      <c r="B327" s="1164">
        <v>6</v>
      </c>
      <c r="C327" s="1165" t="s">
        <v>567</v>
      </c>
      <c r="D327" s="1165"/>
      <c r="E327" s="1169">
        <f>Sales_FY24!$P$98</f>
        <v>57102</v>
      </c>
      <c r="F327" s="1169">
        <f>Sales_FY24!$V$98</f>
        <v>55803</v>
      </c>
      <c r="G327" s="1169">
        <f>G319+G326</f>
        <v>723996</v>
      </c>
      <c r="H327" s="1165"/>
      <c r="I327" s="1170">
        <f>Sales_FY24!$Q$98</f>
        <v>192.7</v>
      </c>
      <c r="J327" s="1170"/>
      <c r="K327" s="1170"/>
      <c r="L327" s="1170" t="e">
        <f>L319+L326</f>
        <v>#REF!</v>
      </c>
      <c r="M327" s="1170" t="e">
        <f>M319+M326</f>
        <v>#REF!</v>
      </c>
      <c r="N327" s="1170" t="e">
        <f>L327+M327</f>
        <v>#REF!</v>
      </c>
      <c r="O327" s="1177" t="e">
        <f>ROUND(N327/I327*10,2)</f>
        <v>#REF!</v>
      </c>
    </row>
    <row r="328" spans="1:18" ht="16.5" x14ac:dyDescent="0.2">
      <c r="A328" s="1197" t="s">
        <v>535</v>
      </c>
      <c r="B328" s="1163"/>
      <c r="C328" s="1163"/>
      <c r="D328" s="1163"/>
      <c r="E328" s="1163"/>
      <c r="F328" s="1163"/>
      <c r="G328" s="1163"/>
      <c r="H328" s="1163"/>
      <c r="I328" s="1176"/>
      <c r="J328" s="1176"/>
      <c r="K328" s="1176"/>
      <c r="L328" s="1176"/>
      <c r="M328" s="1176"/>
      <c r="N328" s="1176"/>
      <c r="O328" s="1176"/>
    </row>
    <row r="329" spans="1:18" ht="16.5" x14ac:dyDescent="0.2">
      <c r="A329" s="1197" t="s">
        <v>535</v>
      </c>
      <c r="B329" s="1159"/>
      <c r="C329" s="1160" t="s">
        <v>512</v>
      </c>
      <c r="D329" s="1160" t="s">
        <v>578</v>
      </c>
      <c r="E329" s="1168">
        <f>Sales_FY24!$P$99</f>
        <v>34123</v>
      </c>
      <c r="F329" s="1168">
        <f>Sales_FY24!$V$99</f>
        <v>33465</v>
      </c>
      <c r="G329" s="1160">
        <f>ROUND(F329*7.5,0)</f>
        <v>250988</v>
      </c>
      <c r="H329" s="1162" t="s">
        <v>561</v>
      </c>
      <c r="I329" s="1167">
        <f>Sales_FY24!$Q$99</f>
        <v>301.37</v>
      </c>
      <c r="J329" s="1167" t="e">
        <f>+#REF!</f>
        <v>#REF!</v>
      </c>
      <c r="K329" s="1167" t="e">
        <f>+#REF!</f>
        <v>#REF!</v>
      </c>
      <c r="L329" s="1167" t="e">
        <f>ROUND(G329*J329*12/10000000,2)</f>
        <v>#REF!</v>
      </c>
      <c r="M329" s="1167" t="e">
        <f>ROUND(I329*1000000*K329/10000000,2)</f>
        <v>#REF!</v>
      </c>
      <c r="N329" s="1167" t="e">
        <f>L329+M329</f>
        <v>#REF!</v>
      </c>
      <c r="O329" s="1192"/>
    </row>
    <row r="330" spans="1:18" ht="16.5" x14ac:dyDescent="0.2">
      <c r="A330" s="1197" t="s">
        <v>535</v>
      </c>
      <c r="B330" s="1159"/>
      <c r="C330" s="1160"/>
      <c r="D330" s="1160" t="s">
        <v>579</v>
      </c>
      <c r="E330" s="1168"/>
      <c r="F330" s="1168"/>
      <c r="G330" s="1160"/>
      <c r="H330" s="1162"/>
      <c r="I330" s="1167"/>
      <c r="J330" s="1167" t="e">
        <f>+#REF!</f>
        <v>#REF!</v>
      </c>
      <c r="K330" s="1167"/>
      <c r="L330" s="1167"/>
      <c r="M330" s="1167"/>
      <c r="N330" s="1167"/>
      <c r="O330" s="1192"/>
    </row>
    <row r="331" spans="1:18" ht="16.5" x14ac:dyDescent="0.2">
      <c r="A331" s="1197" t="s">
        <v>535</v>
      </c>
      <c r="B331" s="1164"/>
      <c r="C331" s="1165"/>
      <c r="D331" s="1166" t="s">
        <v>486</v>
      </c>
      <c r="E331" s="1169">
        <f>SUM(E329:E330)</f>
        <v>34123</v>
      </c>
      <c r="F331" s="1169">
        <f>SUM(F329:F330)</f>
        <v>33465</v>
      </c>
      <c r="G331" s="1169">
        <f>SUM(G329:G330)</f>
        <v>250988</v>
      </c>
      <c r="H331" s="1165"/>
      <c r="I331" s="1170">
        <f>SUM(I329:I330)</f>
        <v>301.37</v>
      </c>
      <c r="J331" s="1170"/>
      <c r="K331" s="1170"/>
      <c r="L331" s="1170" t="e">
        <f>SUM(L329:L330)</f>
        <v>#REF!</v>
      </c>
      <c r="M331" s="1170" t="e">
        <f>SUM(M329:M330)</f>
        <v>#REF!</v>
      </c>
      <c r="N331" s="1170" t="e">
        <f>L331+M331</f>
        <v>#REF!</v>
      </c>
      <c r="O331" s="1177" t="e">
        <f>ROUND(N331/I331*10,2)</f>
        <v>#REF!</v>
      </c>
    </row>
    <row r="332" spans="1:18" ht="16.5" x14ac:dyDescent="0.2">
      <c r="A332" s="1197" t="s">
        <v>535</v>
      </c>
      <c r="B332" s="1163"/>
      <c r="C332" s="1163"/>
      <c r="D332" s="1163"/>
      <c r="E332" s="1163"/>
      <c r="F332" s="1163"/>
      <c r="G332" s="1163"/>
      <c r="H332" s="1163"/>
      <c r="I332" s="1176"/>
      <c r="J332" s="1176"/>
      <c r="K332" s="1176"/>
      <c r="L332" s="1176"/>
      <c r="M332" s="1176"/>
      <c r="N332" s="1176"/>
      <c r="O332" s="1176"/>
    </row>
    <row r="333" spans="1:18" ht="16.5" x14ac:dyDescent="0.2">
      <c r="A333" s="1197" t="s">
        <v>535</v>
      </c>
      <c r="B333" s="1159"/>
      <c r="C333" s="1160" t="s">
        <v>513</v>
      </c>
      <c r="D333" s="1160" t="s">
        <v>580</v>
      </c>
      <c r="E333" s="1168">
        <f>Sales_FY24!$P$100</f>
        <v>30426</v>
      </c>
      <c r="F333" s="1168">
        <f>Sales_FY24!$V$100</f>
        <v>29804</v>
      </c>
      <c r="G333" s="1160">
        <f>ROUND(F333*3.5,0)</f>
        <v>104314</v>
      </c>
      <c r="H333" s="1162" t="s">
        <v>561</v>
      </c>
      <c r="I333" s="1167">
        <f>Sales_FY24!$Q$100</f>
        <v>133.87</v>
      </c>
      <c r="J333" s="1167" t="e">
        <f>+#REF!</f>
        <v>#REF!</v>
      </c>
      <c r="K333" s="1167" t="e">
        <f>+#REF!</f>
        <v>#REF!</v>
      </c>
      <c r="L333" s="1167" t="e">
        <f>ROUND(G333*J333*12/10000000,2)</f>
        <v>#REF!</v>
      </c>
      <c r="M333" s="1167" t="e">
        <f>ROUND(I333*1000000*K333/10000000,2)</f>
        <v>#REF!</v>
      </c>
      <c r="N333" s="1167" t="e">
        <f>L333+M333</f>
        <v>#REF!</v>
      </c>
      <c r="O333" s="1192" t="e">
        <f>ROUND(N333/I333*10,2)</f>
        <v>#REF!</v>
      </c>
    </row>
    <row r="334" spans="1:18" ht="16.5" x14ac:dyDescent="0.2">
      <c r="A334" s="1197" t="s">
        <v>535</v>
      </c>
      <c r="B334" s="1163"/>
      <c r="C334" s="1163"/>
      <c r="D334" s="1163"/>
      <c r="E334" s="1163"/>
      <c r="F334" s="1163"/>
      <c r="G334" s="1163"/>
      <c r="H334" s="1163"/>
      <c r="I334" s="1176"/>
      <c r="J334" s="1176"/>
      <c r="K334" s="1176"/>
      <c r="L334" s="1176"/>
      <c r="M334" s="1176"/>
      <c r="N334" s="1176"/>
      <c r="O334" s="1176"/>
    </row>
    <row r="335" spans="1:18" ht="16.5" x14ac:dyDescent="0.2">
      <c r="A335" s="1197" t="s">
        <v>535</v>
      </c>
      <c r="B335" s="1159"/>
      <c r="C335" s="1160" t="s">
        <v>526</v>
      </c>
      <c r="D335" s="1160" t="s">
        <v>581</v>
      </c>
      <c r="E335" s="1168">
        <f>Sales_FY24!$P$101</f>
        <v>175</v>
      </c>
      <c r="F335" s="1168">
        <f>Sales_FY24!$V$101</f>
        <v>98</v>
      </c>
      <c r="G335" s="1160">
        <f>ROUND(F335*2.5,0)</f>
        <v>245</v>
      </c>
      <c r="H335" s="1162" t="s">
        <v>561</v>
      </c>
      <c r="I335" s="1167">
        <f>Sales_FY24!$Q$101</f>
        <v>14</v>
      </c>
      <c r="J335" s="1167" t="e">
        <f>+#REF!</f>
        <v>#REF!</v>
      </c>
      <c r="K335" s="1167" t="e">
        <f>+#REF!</f>
        <v>#REF!</v>
      </c>
      <c r="L335" s="1167" t="e">
        <f>ROUND(G335*J335*12/10000000,2)</f>
        <v>#REF!</v>
      </c>
      <c r="M335" s="1167" t="e">
        <f>ROUND(I335*1000000*K335/10000000,2)</f>
        <v>#REF!</v>
      </c>
      <c r="N335" s="1167" t="e">
        <f>L335+M335</f>
        <v>#REF!</v>
      </c>
      <c r="O335" s="1192"/>
    </row>
    <row r="336" spans="1:18" ht="16.5" x14ac:dyDescent="0.2">
      <c r="A336" s="1197" t="s">
        <v>535</v>
      </c>
      <c r="B336" s="1159"/>
      <c r="C336" s="1160"/>
      <c r="D336" s="1160" t="s">
        <v>582</v>
      </c>
      <c r="E336" s="1168"/>
      <c r="F336" s="1168"/>
      <c r="G336" s="1160"/>
      <c r="H336" s="1162"/>
      <c r="I336" s="1167"/>
      <c r="J336" s="1167" t="e">
        <f>+#REF!</f>
        <v>#REF!</v>
      </c>
      <c r="K336" s="1167"/>
      <c r="L336" s="1167"/>
      <c r="M336" s="1167"/>
      <c r="N336" s="1167"/>
      <c r="O336" s="1192"/>
    </row>
    <row r="337" spans="1:18" ht="16.5" x14ac:dyDescent="0.2">
      <c r="A337" s="1197" t="s">
        <v>535</v>
      </c>
      <c r="B337" s="1159"/>
      <c r="C337" s="1160"/>
      <c r="D337" s="1160" t="s">
        <v>583</v>
      </c>
      <c r="E337" s="1168"/>
      <c r="F337" s="1168"/>
      <c r="G337" s="1160"/>
      <c r="H337" s="1162"/>
      <c r="I337" s="1167"/>
      <c r="J337" s="1167" t="e">
        <f>+#REF!</f>
        <v>#REF!</v>
      </c>
      <c r="K337" s="1167"/>
      <c r="L337" s="1167"/>
      <c r="M337" s="1167"/>
      <c r="N337" s="1167"/>
      <c r="O337" s="1192"/>
    </row>
    <row r="338" spans="1:18" ht="16.5" x14ac:dyDescent="0.2">
      <c r="A338" s="1197" t="s">
        <v>535</v>
      </c>
      <c r="B338" s="1164"/>
      <c r="C338" s="1165"/>
      <c r="D338" s="1166" t="s">
        <v>486</v>
      </c>
      <c r="E338" s="1169">
        <f>SUM(E335:E337)</f>
        <v>175</v>
      </c>
      <c r="F338" s="1169">
        <f>SUM(F335:F337)</f>
        <v>98</v>
      </c>
      <c r="G338" s="1169">
        <f>SUM(G335:G337)</f>
        <v>245</v>
      </c>
      <c r="H338" s="1165"/>
      <c r="I338" s="1170">
        <f>SUM(I335:I337)</f>
        <v>14</v>
      </c>
      <c r="J338" s="1170"/>
      <c r="K338" s="1170"/>
      <c r="L338" s="1170" t="e">
        <f>SUM(L335:L337)</f>
        <v>#REF!</v>
      </c>
      <c r="M338" s="1170" t="e">
        <f>SUM(M335:M337)</f>
        <v>#REF!</v>
      </c>
      <c r="N338" s="1170" t="e">
        <f>L338+M338</f>
        <v>#REF!</v>
      </c>
      <c r="O338" s="1177"/>
    </row>
    <row r="339" spans="1:18" ht="16.5" x14ac:dyDescent="0.2">
      <c r="A339" s="1197" t="s">
        <v>535</v>
      </c>
      <c r="B339" s="1164">
        <v>7</v>
      </c>
      <c r="C339" s="1165" t="s">
        <v>577</v>
      </c>
      <c r="D339" s="1165"/>
      <c r="E339" s="1169">
        <f>E331+E333+E338</f>
        <v>64724</v>
      </c>
      <c r="F339" s="1169">
        <f>F331+F333+F338</f>
        <v>63367</v>
      </c>
      <c r="G339" s="1169">
        <f>G331+G333+G338</f>
        <v>355547</v>
      </c>
      <c r="H339" s="1165"/>
      <c r="I339" s="1170">
        <f>I331+I333+I338</f>
        <v>449.24</v>
      </c>
      <c r="J339" s="1170"/>
      <c r="K339" s="1170"/>
      <c r="L339" s="1170" t="e">
        <f>L331+L333+L338</f>
        <v>#REF!</v>
      </c>
      <c r="M339" s="1170" t="e">
        <f>M331+M333+M338</f>
        <v>#REF!</v>
      </c>
      <c r="N339" s="1170" t="e">
        <f>L339+M339</f>
        <v>#REF!</v>
      </c>
      <c r="O339" s="1177" t="e">
        <f>ROUND(N339/I339*10,2)</f>
        <v>#REF!</v>
      </c>
    </row>
    <row r="340" spans="1:18" ht="16.5" x14ac:dyDescent="0.2">
      <c r="A340" s="1197" t="s">
        <v>535</v>
      </c>
      <c r="B340" s="1163"/>
      <c r="C340" s="1163"/>
      <c r="D340" s="1163"/>
      <c r="E340" s="1163"/>
      <c r="F340" s="1163"/>
      <c r="G340" s="1163"/>
      <c r="H340" s="1163"/>
      <c r="I340" s="1176"/>
      <c r="J340" s="1176"/>
      <c r="K340" s="1176"/>
      <c r="L340" s="1176"/>
      <c r="M340" s="1176"/>
      <c r="N340" s="1176"/>
      <c r="O340" s="1176"/>
    </row>
    <row r="341" spans="1:18" ht="16.5" x14ac:dyDescent="0.2">
      <c r="A341" s="1197" t="s">
        <v>535</v>
      </c>
      <c r="B341" s="1159"/>
      <c r="C341" s="1160" t="s">
        <v>584</v>
      </c>
      <c r="D341" s="1160" t="s">
        <v>586</v>
      </c>
      <c r="E341" s="1160">
        <f>ROUND(E343*99.8235%,0)</f>
        <v>141390</v>
      </c>
      <c r="F341" s="1160">
        <f>ROUND(F343*99.8235%,0)</f>
        <v>141390</v>
      </c>
      <c r="G341" s="1160">
        <f>ROUND(F341*1.95,0)</f>
        <v>275711</v>
      </c>
      <c r="H341" s="1162" t="s">
        <v>561</v>
      </c>
      <c r="I341" s="1167">
        <f>ROUND(I343*99.35794%,2)</f>
        <v>18.57</v>
      </c>
      <c r="J341" s="1167" t="e">
        <f>+#REF!</f>
        <v>#REF!</v>
      </c>
      <c r="K341" s="1167" t="e">
        <f>+#REF!</f>
        <v>#REF!</v>
      </c>
      <c r="L341" s="1167" t="e">
        <f>ROUND(G341*J341*4/10000000,2)</f>
        <v>#REF!</v>
      </c>
      <c r="M341" s="1198" t="e">
        <f>ROUND(I341*1000000*K341/10000000,2)-ROUND(I341*1000000*K341/10000000,2)</f>
        <v>#REF!</v>
      </c>
      <c r="N341" s="1167" t="e">
        <f>L341+M341</f>
        <v>#REF!</v>
      </c>
      <c r="O341" s="1192"/>
    </row>
    <row r="342" spans="1:18" ht="16.5" x14ac:dyDescent="0.2">
      <c r="A342" s="1197" t="s">
        <v>535</v>
      </c>
      <c r="B342" s="1159"/>
      <c r="C342" s="1160" t="s">
        <v>585</v>
      </c>
      <c r="D342" s="1160" t="s">
        <v>586</v>
      </c>
      <c r="E342" s="1168">
        <f>E343-E341</f>
        <v>250</v>
      </c>
      <c r="F342" s="1168">
        <f>F343-F341</f>
        <v>250</v>
      </c>
      <c r="G342" s="1160">
        <f>ROUND(F342*1.45,0)</f>
        <v>363</v>
      </c>
      <c r="H342" s="1162" t="s">
        <v>561</v>
      </c>
      <c r="I342" s="1167">
        <f>I343-I341</f>
        <v>0.12000000000000099</v>
      </c>
      <c r="J342" s="1167" t="e">
        <f>+#REF!</f>
        <v>#REF!</v>
      </c>
      <c r="K342" s="1167" t="e">
        <f>+#REF!</f>
        <v>#REF!</v>
      </c>
      <c r="L342" s="1167" t="e">
        <f>ROUND(G342*J342*12/10000000,2)</f>
        <v>#REF!</v>
      </c>
      <c r="M342" s="1167" t="e">
        <f>ROUND(I342*1000000*K342/10000000,2)</f>
        <v>#REF!</v>
      </c>
      <c r="N342" s="1167" t="e">
        <f>L342+M342</f>
        <v>#REF!</v>
      </c>
      <c r="O342" s="1192"/>
    </row>
    <row r="343" spans="1:18" ht="16.5" x14ac:dyDescent="0.2">
      <c r="A343" s="1197" t="s">
        <v>535</v>
      </c>
      <c r="B343" s="1164">
        <v>8</v>
      </c>
      <c r="C343" s="1165" t="s">
        <v>587</v>
      </c>
      <c r="D343" s="1165"/>
      <c r="E343" s="1169">
        <f>Sales_FY24!$P$102</f>
        <v>141640</v>
      </c>
      <c r="F343" s="1169">
        <f>Sales_FY24!$V$102</f>
        <v>141640</v>
      </c>
      <c r="G343" s="1169">
        <f>SUM(G341:G342)</f>
        <v>276074</v>
      </c>
      <c r="H343" s="1165"/>
      <c r="I343" s="1170">
        <f>Sales_FY24!$Q$102</f>
        <v>18.690000000000001</v>
      </c>
      <c r="J343" s="1170"/>
      <c r="K343" s="1170"/>
      <c r="L343" s="1170" t="e">
        <f>SUM(L341:L342)</f>
        <v>#REF!</v>
      </c>
      <c r="M343" s="1170" t="e">
        <f>SUM(M341:M342)</f>
        <v>#REF!</v>
      </c>
      <c r="N343" s="1170" t="e">
        <f>L343+M343</f>
        <v>#REF!</v>
      </c>
      <c r="O343" s="1177" t="e">
        <f>ROUND(N343/I343*10,2)</f>
        <v>#REF!</v>
      </c>
    </row>
    <row r="344" spans="1:18" ht="16.5" x14ac:dyDescent="0.2">
      <c r="A344" s="1197" t="s">
        <v>535</v>
      </c>
      <c r="B344" s="1163"/>
      <c r="C344" s="1163"/>
      <c r="D344" s="1163"/>
      <c r="E344" s="1163"/>
      <c r="F344" s="1163"/>
      <c r="G344" s="1163"/>
      <c r="H344" s="1163"/>
      <c r="I344" s="1176"/>
      <c r="J344" s="1176"/>
      <c r="K344" s="1176"/>
      <c r="L344" s="1176"/>
      <c r="M344" s="1176"/>
      <c r="N344" s="1176"/>
      <c r="O344" s="1176"/>
    </row>
    <row r="345" spans="1:18" ht="16.5" x14ac:dyDescent="0.2">
      <c r="A345" s="1197" t="s">
        <v>535</v>
      </c>
      <c r="B345" s="1194"/>
      <c r="C345" s="1195" t="s">
        <v>588</v>
      </c>
      <c r="D345" s="1195"/>
      <c r="E345" s="1196">
        <f>E274+E287+E298+E307+E312+E327+E339+E343</f>
        <v>3951212</v>
      </c>
      <c r="F345" s="1196">
        <f>F274+F287+F298+F307+F312+F327+F339+F343</f>
        <v>3912037</v>
      </c>
      <c r="G345" s="1196">
        <f>G274+G287+G298+G307+G312+G327+G339+G343</f>
        <v>6512321</v>
      </c>
      <c r="H345" s="1195"/>
      <c r="I345" s="1193">
        <f>I274+I287+I298+I307+I312+I327+I339+I343</f>
        <v>5450.9499999999989</v>
      </c>
      <c r="J345" s="1193"/>
      <c r="K345" s="1193"/>
      <c r="L345" s="1193" t="e">
        <f>L274+L287+L298+L307+L312+L327+L339+L343</f>
        <v>#REF!</v>
      </c>
      <c r="M345" s="1193" t="e">
        <f>M274+M287+M298+M307+M312+M327+M339+M343</f>
        <v>#REF!</v>
      </c>
      <c r="N345" s="1193" t="e">
        <f>L345+M345</f>
        <v>#REF!</v>
      </c>
      <c r="O345" s="1193" t="e">
        <f>ROUND(N345/I345*10,2)</f>
        <v>#REF!</v>
      </c>
    </row>
    <row r="346" spans="1:18" ht="16.5" x14ac:dyDescent="0.2">
      <c r="A346" s="1197" t="s">
        <v>535</v>
      </c>
      <c r="B346" s="1163"/>
      <c r="C346" s="1163"/>
      <c r="D346" s="1163"/>
      <c r="E346" s="1163"/>
      <c r="F346" s="1176"/>
      <c r="G346" s="1163"/>
      <c r="H346" s="1163"/>
      <c r="I346" s="1176"/>
      <c r="J346" s="1176"/>
      <c r="K346" s="1176"/>
      <c r="L346" s="1176"/>
      <c r="M346" s="1176"/>
      <c r="N346" s="1176"/>
      <c r="O346" s="1176"/>
    </row>
    <row r="347" spans="1:18" ht="16.5" x14ac:dyDescent="0.2">
      <c r="A347" s="1197" t="s">
        <v>535</v>
      </c>
      <c r="B347" s="1159">
        <v>9</v>
      </c>
      <c r="C347" s="1160" t="s">
        <v>16</v>
      </c>
      <c r="D347" s="1160" t="s">
        <v>589</v>
      </c>
      <c r="E347" s="1168">
        <f>Sales_FY24!$P$105</f>
        <v>223</v>
      </c>
      <c r="F347" s="1168">
        <f>Sales_FY24!$V$105</f>
        <v>214</v>
      </c>
      <c r="G347" s="1160">
        <f>ROUND(F347*640,0)</f>
        <v>136960</v>
      </c>
      <c r="H347" s="1162" t="s">
        <v>561</v>
      </c>
      <c r="I347" s="1167">
        <f>Sales_FY24!$Q$105</f>
        <v>539.47</v>
      </c>
      <c r="J347" s="1167" t="e">
        <f>+#REF!</f>
        <v>#REF!</v>
      </c>
      <c r="K347" s="1167" t="e">
        <f>+#REF!</f>
        <v>#REF!</v>
      </c>
      <c r="L347" s="1167" t="e">
        <f>ROUND((G347*85%)*J347*12/10000000,2)</f>
        <v>#REF!</v>
      </c>
      <c r="M347" s="1167" t="e">
        <f>ROUND(I347*1000000*K347/10000000,2)</f>
        <v>#REF!</v>
      </c>
      <c r="N347" s="1167" t="e">
        <f>L347+M347</f>
        <v>#REF!</v>
      </c>
      <c r="O347" s="1192" t="e">
        <f>ROUND(N347/I347*10,2)</f>
        <v>#REF!</v>
      </c>
    </row>
    <row r="348" spans="1:18" ht="16.5" x14ac:dyDescent="0.2">
      <c r="A348" s="1197" t="s">
        <v>535</v>
      </c>
      <c r="B348" s="1163"/>
      <c r="C348" s="1163"/>
      <c r="D348" s="1163"/>
      <c r="E348" s="1163"/>
      <c r="F348" s="1163"/>
      <c r="G348" s="1163"/>
      <c r="H348" s="1163"/>
      <c r="I348" s="1176"/>
      <c r="J348" s="1176"/>
      <c r="K348" s="1176"/>
      <c r="L348" s="1176"/>
      <c r="M348" s="1176"/>
      <c r="N348" s="1176"/>
      <c r="O348" s="1176"/>
    </row>
    <row r="349" spans="1:18" ht="16.5" x14ac:dyDescent="0.2">
      <c r="A349" s="1197" t="s">
        <v>535</v>
      </c>
      <c r="B349" s="1159"/>
      <c r="C349" s="1160" t="s">
        <v>593</v>
      </c>
      <c r="D349" s="1160" t="s">
        <v>589</v>
      </c>
      <c r="E349" s="1168">
        <f>E351</f>
        <v>0</v>
      </c>
      <c r="F349" s="1168">
        <f>F351</f>
        <v>0</v>
      </c>
      <c r="G349" s="1160">
        <f>ROUND(F349*0,0)</f>
        <v>0</v>
      </c>
      <c r="H349" s="1162" t="s">
        <v>591</v>
      </c>
      <c r="I349" s="1167">
        <f>ROUND(I351*0%,2)</f>
        <v>0</v>
      </c>
      <c r="J349" s="1167" t="e">
        <f>+#REF!</f>
        <v>#REF!</v>
      </c>
      <c r="K349" s="1167" t="e">
        <f>+#REF!</f>
        <v>#REF!</v>
      </c>
      <c r="L349" s="1167" t="e">
        <f>ROUND((G349*85%)*J349*12/10000000,2)</f>
        <v>#REF!</v>
      </c>
      <c r="M349" s="1167" t="e">
        <f>ROUND(I349*1000000*K349/10000000,2)</f>
        <v>#REF!</v>
      </c>
      <c r="N349" s="1167"/>
      <c r="O349" s="1192"/>
    </row>
    <row r="350" spans="1:18" ht="16.5" x14ac:dyDescent="0.2">
      <c r="A350" s="1197" t="s">
        <v>535</v>
      </c>
      <c r="B350" s="1159"/>
      <c r="C350" s="1160"/>
      <c r="D350" s="1160"/>
      <c r="E350" s="1168"/>
      <c r="F350" s="1168"/>
      <c r="G350" s="1160"/>
      <c r="H350" s="1162" t="s">
        <v>590</v>
      </c>
      <c r="I350" s="1167">
        <f>I351-I349</f>
        <v>0</v>
      </c>
      <c r="J350" s="1167"/>
      <c r="K350" s="1167" t="e">
        <f>+#REF!</f>
        <v>#REF!</v>
      </c>
      <c r="L350" s="1167"/>
      <c r="M350" s="1167" t="e">
        <f>ROUND(I350*1000000*K350/10000000,2)</f>
        <v>#REF!</v>
      </c>
      <c r="N350" s="1167"/>
      <c r="O350" s="1192"/>
    </row>
    <row r="351" spans="1:18" ht="16.5" x14ac:dyDescent="0.2">
      <c r="A351" s="1197" t="s">
        <v>535</v>
      </c>
      <c r="B351" s="1164"/>
      <c r="C351" s="1165"/>
      <c r="D351" s="1166" t="s">
        <v>486</v>
      </c>
      <c r="E351" s="1169">
        <f>ROUND(E356*0%,0)</f>
        <v>0</v>
      </c>
      <c r="F351" s="1169">
        <f>ROUND(F356*0%,0)</f>
        <v>0</v>
      </c>
      <c r="G351" s="1169">
        <f>SUM(G349:G350)</f>
        <v>0</v>
      </c>
      <c r="H351" s="1165"/>
      <c r="I351" s="1170">
        <f>ROUND(I356*0%,2)</f>
        <v>0</v>
      </c>
      <c r="J351" s="1170"/>
      <c r="K351" s="1170"/>
      <c r="L351" s="1170" t="e">
        <f>SUM(L349:L350)</f>
        <v>#REF!</v>
      </c>
      <c r="M351" s="1170" t="e">
        <f>SUM(M349:M350)</f>
        <v>#REF!</v>
      </c>
      <c r="N351" s="1170" t="e">
        <f>L351+M351</f>
        <v>#REF!</v>
      </c>
      <c r="O351" s="1177"/>
      <c r="R351" s="1224" t="e">
        <f>+N351-#REF!</f>
        <v>#REF!</v>
      </c>
    </row>
    <row r="352" spans="1:18" ht="16.5" x14ac:dyDescent="0.2">
      <c r="A352" s="1197" t="s">
        <v>535</v>
      </c>
      <c r="B352" s="1163"/>
      <c r="C352" s="1163"/>
      <c r="D352" s="1163"/>
      <c r="E352" s="1163"/>
      <c r="F352" s="1163"/>
      <c r="G352" s="1163"/>
      <c r="H352" s="1163"/>
      <c r="I352" s="1176"/>
      <c r="J352" s="1176"/>
      <c r="K352" s="1176"/>
      <c r="L352" s="1176"/>
      <c r="M352" s="1176"/>
      <c r="N352" s="1176"/>
      <c r="O352" s="1176"/>
    </row>
    <row r="353" spans="1:18" ht="16.5" x14ac:dyDescent="0.2">
      <c r="A353" s="1197" t="s">
        <v>535</v>
      </c>
      <c r="B353" s="1159"/>
      <c r="C353" s="1160" t="s">
        <v>594</v>
      </c>
      <c r="D353" s="1160" t="s">
        <v>589</v>
      </c>
      <c r="E353" s="1168">
        <f>E355</f>
        <v>1491</v>
      </c>
      <c r="F353" s="1168">
        <f>F355</f>
        <v>1441</v>
      </c>
      <c r="G353" s="1160">
        <f>ROUND(F353*560,0)</f>
        <v>806960</v>
      </c>
      <c r="H353" s="1162" t="s">
        <v>591</v>
      </c>
      <c r="I353" s="1167">
        <f>ROUND(I355*38.5%,2)</f>
        <v>311.10000000000002</v>
      </c>
      <c r="J353" s="1167" t="e">
        <f>+#REF!</f>
        <v>#REF!</v>
      </c>
      <c r="K353" s="1167" t="e">
        <f>+#REF!</f>
        <v>#REF!</v>
      </c>
      <c r="L353" s="1167" t="e">
        <f>ROUND((G353*85%)*J353*12/10000000,2)</f>
        <v>#REF!</v>
      </c>
      <c r="M353" s="1167" t="e">
        <f>ROUND(I353*1000000*K353/10000000,2)</f>
        <v>#REF!</v>
      </c>
      <c r="N353" s="1167"/>
      <c r="O353" s="1192"/>
    </row>
    <row r="354" spans="1:18" ht="16.5" x14ac:dyDescent="0.2">
      <c r="A354" s="1197" t="s">
        <v>535</v>
      </c>
      <c r="B354" s="1159"/>
      <c r="C354" s="1160"/>
      <c r="D354" s="1160"/>
      <c r="E354" s="1168"/>
      <c r="F354" s="1168"/>
      <c r="G354" s="1160"/>
      <c r="H354" s="1162" t="s">
        <v>590</v>
      </c>
      <c r="I354" s="1167">
        <f>I355-I353</f>
        <v>496.93999999999994</v>
      </c>
      <c r="J354" s="1167"/>
      <c r="K354" s="1167" t="e">
        <f>+#REF!</f>
        <v>#REF!</v>
      </c>
      <c r="L354" s="1167"/>
      <c r="M354" s="1167" t="e">
        <f>ROUND(I354*1000000*K354/10000000,2)</f>
        <v>#REF!</v>
      </c>
      <c r="N354" s="1167"/>
      <c r="O354" s="1192"/>
    </row>
    <row r="355" spans="1:18" ht="16.5" x14ac:dyDescent="0.2">
      <c r="A355" s="1197" t="s">
        <v>535</v>
      </c>
      <c r="B355" s="1164"/>
      <c r="C355" s="1165"/>
      <c r="D355" s="1166" t="s">
        <v>486</v>
      </c>
      <c r="E355" s="1169">
        <f>E356-E351</f>
        <v>1491</v>
      </c>
      <c r="F355" s="1169">
        <f>F356-F351</f>
        <v>1441</v>
      </c>
      <c r="G355" s="1169">
        <f>SUM(G353:G354)</f>
        <v>806960</v>
      </c>
      <c r="H355" s="1165"/>
      <c r="I355" s="1170">
        <f>I356-I351</f>
        <v>808.04</v>
      </c>
      <c r="J355" s="1170"/>
      <c r="K355" s="1170"/>
      <c r="L355" s="1170" t="e">
        <f>SUM(L353:L354)</f>
        <v>#REF!</v>
      </c>
      <c r="M355" s="1170" t="e">
        <f>SUM(M353:M354)</f>
        <v>#REF!</v>
      </c>
      <c r="N355" s="1170" t="e">
        <f>L355+M355</f>
        <v>#REF!</v>
      </c>
      <c r="O355" s="1177"/>
      <c r="R355" s="1224" t="e">
        <f>+N355-#REF!</f>
        <v>#REF!</v>
      </c>
    </row>
    <row r="356" spans="1:18" ht="16.5" x14ac:dyDescent="0.2">
      <c r="A356" s="1197" t="s">
        <v>535</v>
      </c>
      <c r="B356" s="1164">
        <v>10</v>
      </c>
      <c r="C356" s="1165" t="s">
        <v>592</v>
      </c>
      <c r="D356" s="1165"/>
      <c r="E356" s="1169">
        <f>Sales_FY24!$P$106</f>
        <v>1491</v>
      </c>
      <c r="F356" s="1169">
        <f>Sales_FY24!$V$106</f>
        <v>1441</v>
      </c>
      <c r="G356" s="1169">
        <f>G351+G355</f>
        <v>806960</v>
      </c>
      <c r="H356" s="1165"/>
      <c r="I356" s="1170">
        <f>Sales_FY24!$Q$106</f>
        <v>808.04</v>
      </c>
      <c r="J356" s="1170"/>
      <c r="K356" s="1170"/>
      <c r="L356" s="1169" t="e">
        <f>L351+L355</f>
        <v>#REF!</v>
      </c>
      <c r="M356" s="1169" t="e">
        <f>M351+M355</f>
        <v>#REF!</v>
      </c>
      <c r="N356" s="1170" t="e">
        <f>L356+M356</f>
        <v>#REF!</v>
      </c>
      <c r="O356" s="1177" t="e">
        <f>ROUND(N356/I356*10,2)</f>
        <v>#REF!</v>
      </c>
    </row>
    <row r="357" spans="1:18" ht="16.5" x14ac:dyDescent="0.2">
      <c r="A357" s="1197" t="s">
        <v>535</v>
      </c>
      <c r="B357" s="1163"/>
      <c r="C357" s="1163"/>
      <c r="D357" s="1163"/>
      <c r="E357" s="1163"/>
      <c r="F357" s="1163"/>
      <c r="G357" s="1163"/>
      <c r="H357" s="1163"/>
      <c r="I357" s="1176"/>
      <c r="J357" s="1176"/>
      <c r="K357" s="1176"/>
      <c r="L357" s="1176"/>
      <c r="M357" s="1176"/>
      <c r="N357" s="1176"/>
      <c r="O357" s="1176"/>
    </row>
    <row r="358" spans="1:18" ht="16.5" x14ac:dyDescent="0.2">
      <c r="A358" s="1197" t="s">
        <v>535</v>
      </c>
      <c r="B358" s="1159"/>
      <c r="C358" s="1160" t="s">
        <v>596</v>
      </c>
      <c r="D358" s="1160" t="s">
        <v>589</v>
      </c>
      <c r="E358" s="1168">
        <f>E360</f>
        <v>0</v>
      </c>
      <c r="F358" s="1168">
        <f>F360</f>
        <v>0</v>
      </c>
      <c r="G358" s="1160">
        <f>ROUND(F358*0,0)</f>
        <v>0</v>
      </c>
      <c r="H358" s="1162" t="s">
        <v>598</v>
      </c>
      <c r="I358" s="1167">
        <f>ROUND(I360*0%,2)</f>
        <v>0</v>
      </c>
      <c r="J358" s="1167" t="e">
        <f>+#REF!</f>
        <v>#REF!</v>
      </c>
      <c r="K358" s="1167" t="e">
        <f>+#REF!</f>
        <v>#REF!</v>
      </c>
      <c r="L358" s="1167" t="e">
        <f>ROUND((G358*85%)*J358*12/10000000,2)</f>
        <v>#REF!</v>
      </c>
      <c r="M358" s="1167" t="e">
        <f>ROUND(I358*1000000*K358/10000000,2)</f>
        <v>#REF!</v>
      </c>
      <c r="N358" s="1167"/>
      <c r="O358" s="1192"/>
    </row>
    <row r="359" spans="1:18" ht="16.5" x14ac:dyDescent="0.2">
      <c r="A359" s="1197" t="s">
        <v>535</v>
      </c>
      <c r="B359" s="1159"/>
      <c r="C359" s="1160"/>
      <c r="D359" s="1160"/>
      <c r="E359" s="1168"/>
      <c r="F359" s="1168"/>
      <c r="G359" s="1160"/>
      <c r="H359" s="1162" t="s">
        <v>599</v>
      </c>
      <c r="I359" s="1167">
        <f>I360-I358</f>
        <v>0</v>
      </c>
      <c r="J359" s="1167"/>
      <c r="K359" s="1167" t="e">
        <f>+#REF!</f>
        <v>#REF!</v>
      </c>
      <c r="L359" s="1167"/>
      <c r="M359" s="1167" t="e">
        <f>ROUND(I359*1000000*K359/10000000,2)</f>
        <v>#REF!</v>
      </c>
      <c r="N359" s="1167"/>
      <c r="O359" s="1192"/>
    </row>
    <row r="360" spans="1:18" ht="16.5" x14ac:dyDescent="0.2">
      <c r="A360" s="1197" t="s">
        <v>535</v>
      </c>
      <c r="B360" s="1164"/>
      <c r="C360" s="1165"/>
      <c r="D360" s="1166" t="s">
        <v>486</v>
      </c>
      <c r="E360" s="1169">
        <f>ROUND(E365*0%,0)</f>
        <v>0</v>
      </c>
      <c r="F360" s="1169">
        <f>ROUND(F365*0%,0)</f>
        <v>0</v>
      </c>
      <c r="G360" s="1169">
        <f>SUM(G358:G359)</f>
        <v>0</v>
      </c>
      <c r="H360" s="1165"/>
      <c r="I360" s="1170">
        <f>ROUND(I365*0%,2)</f>
        <v>0</v>
      </c>
      <c r="J360" s="1170"/>
      <c r="K360" s="1170"/>
      <c r="L360" s="1170" t="e">
        <f>SUM(L358:L359)</f>
        <v>#REF!</v>
      </c>
      <c r="M360" s="1170" t="e">
        <f>SUM(M358:M359)</f>
        <v>#REF!</v>
      </c>
      <c r="N360" s="1170" t="e">
        <f>L360+M360</f>
        <v>#REF!</v>
      </c>
      <c r="O360" s="1177"/>
      <c r="R360" s="1224" t="e">
        <f>+N360-#REF!</f>
        <v>#REF!</v>
      </c>
    </row>
    <row r="361" spans="1:18" ht="16.5" x14ac:dyDescent="0.2">
      <c r="A361" s="1197" t="s">
        <v>535</v>
      </c>
      <c r="B361" s="1163"/>
      <c r="C361" s="1163"/>
      <c r="D361" s="1163"/>
      <c r="E361" s="1163"/>
      <c r="F361" s="1163"/>
      <c r="G361" s="1163"/>
      <c r="H361" s="1163"/>
      <c r="I361" s="1176"/>
      <c r="J361" s="1176"/>
      <c r="K361" s="1176"/>
      <c r="L361" s="1176"/>
      <c r="M361" s="1176"/>
      <c r="N361" s="1176"/>
      <c r="O361" s="1176"/>
    </row>
    <row r="362" spans="1:18" ht="16.5" x14ac:dyDescent="0.2">
      <c r="A362" s="1197" t="s">
        <v>535</v>
      </c>
      <c r="B362" s="1159"/>
      <c r="C362" s="1160" t="s">
        <v>597</v>
      </c>
      <c r="D362" s="1160" t="s">
        <v>589</v>
      </c>
      <c r="E362" s="1168">
        <f>E364</f>
        <v>1018</v>
      </c>
      <c r="F362" s="1168">
        <f>F364</f>
        <v>974</v>
      </c>
      <c r="G362" s="1160">
        <f>ROUND(F362*138,0)</f>
        <v>134412</v>
      </c>
      <c r="H362" s="1162" t="s">
        <v>598</v>
      </c>
      <c r="I362" s="1167">
        <f>ROUND(I364*80%,2)</f>
        <v>86.46</v>
      </c>
      <c r="J362" s="1167" t="e">
        <f>+#REF!</f>
        <v>#REF!</v>
      </c>
      <c r="K362" s="1167" t="e">
        <f>+#REF!</f>
        <v>#REF!</v>
      </c>
      <c r="L362" s="1167" t="e">
        <f>ROUND((G362*85%)*J362*12/10000000,2)</f>
        <v>#REF!</v>
      </c>
      <c r="M362" s="1167" t="e">
        <f>ROUND(I362*1000000*K362/10000000,2)</f>
        <v>#REF!</v>
      </c>
      <c r="N362" s="1167"/>
      <c r="O362" s="1192"/>
    </row>
    <row r="363" spans="1:18" ht="16.5" x14ac:dyDescent="0.2">
      <c r="A363" s="1197" t="s">
        <v>535</v>
      </c>
      <c r="B363" s="1159"/>
      <c r="C363" s="1160"/>
      <c r="D363" s="1160"/>
      <c r="E363" s="1168"/>
      <c r="F363" s="1168"/>
      <c r="G363" s="1160"/>
      <c r="H363" s="1162" t="s">
        <v>599</v>
      </c>
      <c r="I363" s="1167">
        <f>I364-I362</f>
        <v>21.61</v>
      </c>
      <c r="J363" s="1167"/>
      <c r="K363" s="1167" t="e">
        <f>+#REF!</f>
        <v>#REF!</v>
      </c>
      <c r="L363" s="1167"/>
      <c r="M363" s="1167" t="e">
        <f>ROUND(I363*1000000*K363/10000000,2)</f>
        <v>#REF!</v>
      </c>
      <c r="N363" s="1167"/>
      <c r="O363" s="1192"/>
    </row>
    <row r="364" spans="1:18" ht="16.5" x14ac:dyDescent="0.2">
      <c r="A364" s="1197" t="s">
        <v>535</v>
      </c>
      <c r="B364" s="1164"/>
      <c r="C364" s="1165"/>
      <c r="D364" s="1166" t="s">
        <v>486</v>
      </c>
      <c r="E364" s="1169">
        <f>E365-E360</f>
        <v>1018</v>
      </c>
      <c r="F364" s="1169">
        <f>F365-F360</f>
        <v>974</v>
      </c>
      <c r="G364" s="1169">
        <f>SUM(G362:G363)</f>
        <v>134412</v>
      </c>
      <c r="H364" s="1165"/>
      <c r="I364" s="1170">
        <f>I365-I360</f>
        <v>108.07</v>
      </c>
      <c r="J364" s="1170"/>
      <c r="K364" s="1170"/>
      <c r="L364" s="1170" t="e">
        <f>SUM(L362:L363)</f>
        <v>#REF!</v>
      </c>
      <c r="M364" s="1170" t="e">
        <f>SUM(M362:M363)</f>
        <v>#REF!</v>
      </c>
      <c r="N364" s="1170" t="e">
        <f>L364+M364</f>
        <v>#REF!</v>
      </c>
      <c r="O364" s="1177"/>
      <c r="R364" s="1224" t="e">
        <f>+N364-#REF!</f>
        <v>#REF!</v>
      </c>
    </row>
    <row r="365" spans="1:18" ht="16.5" x14ac:dyDescent="0.2">
      <c r="A365" s="1197" t="s">
        <v>535</v>
      </c>
      <c r="B365" s="1164">
        <v>11</v>
      </c>
      <c r="C365" s="1165" t="s">
        <v>595</v>
      </c>
      <c r="D365" s="1165"/>
      <c r="E365" s="1169">
        <f>Sales_FY24!$P$107</f>
        <v>1018</v>
      </c>
      <c r="F365" s="1169">
        <f>Sales_FY24!$V$107</f>
        <v>974</v>
      </c>
      <c r="G365" s="1169">
        <f>G360+G364</f>
        <v>134412</v>
      </c>
      <c r="H365" s="1165"/>
      <c r="I365" s="1170">
        <f>Sales_FY24!$Q$107</f>
        <v>108.07</v>
      </c>
      <c r="J365" s="1170"/>
      <c r="K365" s="1170"/>
      <c r="L365" s="1170" t="e">
        <f>L360+L364</f>
        <v>#REF!</v>
      </c>
      <c r="M365" s="1170" t="e">
        <f>M360+M364</f>
        <v>#REF!</v>
      </c>
      <c r="N365" s="1170" t="e">
        <f>L365+M365</f>
        <v>#REF!</v>
      </c>
      <c r="O365" s="1177" t="e">
        <f>ROUND(N365/I365*10,2)</f>
        <v>#REF!</v>
      </c>
    </row>
    <row r="366" spans="1:18" ht="16.5" x14ac:dyDescent="0.2">
      <c r="A366" s="1197" t="s">
        <v>535</v>
      </c>
      <c r="B366" s="1163"/>
      <c r="C366" s="1163"/>
      <c r="D366" s="1163"/>
      <c r="E366" s="1163"/>
      <c r="F366" s="1163"/>
      <c r="G366" s="1163"/>
      <c r="H366" s="1163"/>
      <c r="I366" s="1176"/>
      <c r="J366" s="1176"/>
      <c r="K366" s="1176"/>
      <c r="L366" s="1176"/>
      <c r="M366" s="1176"/>
      <c r="N366" s="1176"/>
      <c r="O366" s="1176"/>
    </row>
    <row r="367" spans="1:18" ht="16.5" x14ac:dyDescent="0.2">
      <c r="A367" s="1197" t="s">
        <v>535</v>
      </c>
      <c r="B367" s="1159"/>
      <c r="C367" s="1160" t="s">
        <v>601</v>
      </c>
      <c r="D367" s="1160" t="s">
        <v>589</v>
      </c>
      <c r="E367" s="1168">
        <f>E369</f>
        <v>286</v>
      </c>
      <c r="F367" s="1168">
        <f>F369</f>
        <v>275</v>
      </c>
      <c r="G367" s="1160">
        <f>ROUND(F367*140,0)</f>
        <v>38500</v>
      </c>
      <c r="H367" s="1162" t="s">
        <v>591</v>
      </c>
      <c r="I367" s="1167">
        <f>ROUND(I369*85%,2)</f>
        <v>38.17</v>
      </c>
      <c r="J367" s="1167" t="e">
        <f>+#REF!</f>
        <v>#REF!</v>
      </c>
      <c r="K367" s="1167" t="e">
        <f>+#REF!</f>
        <v>#REF!</v>
      </c>
      <c r="L367" s="1167" t="e">
        <f>ROUND((G367*85%)*J367*12/10000000,2)</f>
        <v>#REF!</v>
      </c>
      <c r="M367" s="1167" t="e">
        <f>ROUND(I367*1000000*K367/10000000,2)</f>
        <v>#REF!</v>
      </c>
      <c r="N367" s="1167"/>
      <c r="O367" s="1192"/>
    </row>
    <row r="368" spans="1:18" ht="16.5" x14ac:dyDescent="0.2">
      <c r="A368" s="1197" t="s">
        <v>535</v>
      </c>
      <c r="B368" s="1159"/>
      <c r="C368" s="1160"/>
      <c r="D368" s="1160"/>
      <c r="E368" s="1168"/>
      <c r="F368" s="1168"/>
      <c r="G368" s="1160"/>
      <c r="H368" s="1162" t="s">
        <v>590</v>
      </c>
      <c r="I368" s="1167">
        <f>I369-I367</f>
        <v>6.7299999999999969</v>
      </c>
      <c r="J368" s="1167"/>
      <c r="K368" s="1167" t="e">
        <f>+#REF!</f>
        <v>#REF!</v>
      </c>
      <c r="L368" s="1167"/>
      <c r="M368" s="1167" t="e">
        <f>ROUND(I368*1000000*K368/10000000,2)</f>
        <v>#REF!</v>
      </c>
      <c r="N368" s="1167"/>
      <c r="O368" s="1192"/>
    </row>
    <row r="369" spans="1:15" ht="16.5" x14ac:dyDescent="0.2">
      <c r="A369" s="1197" t="s">
        <v>535</v>
      </c>
      <c r="B369" s="1164"/>
      <c r="C369" s="1165"/>
      <c r="D369" s="1166" t="s">
        <v>486</v>
      </c>
      <c r="E369" s="1169">
        <f>ROUND(E374*70.22%,0)</f>
        <v>286</v>
      </c>
      <c r="F369" s="1169">
        <f>ROUND(F374*70.22%,0)</f>
        <v>275</v>
      </c>
      <c r="G369" s="1169">
        <f>SUM(G367:G368)</f>
        <v>38500</v>
      </c>
      <c r="H369" s="1165"/>
      <c r="I369" s="1170">
        <f>ROUND(I374*70.71%,2)</f>
        <v>44.9</v>
      </c>
      <c r="J369" s="1170"/>
      <c r="K369" s="1170"/>
      <c r="L369" s="1170" t="e">
        <f>SUM(L367:L368)</f>
        <v>#REF!</v>
      </c>
      <c r="M369" s="1170" t="e">
        <f>SUM(M367:M368)</f>
        <v>#REF!</v>
      </c>
      <c r="N369" s="1170" t="e">
        <f>L369+M369</f>
        <v>#REF!</v>
      </c>
      <c r="O369" s="1177" t="e">
        <f>ROUND(N369/I369*10,2)</f>
        <v>#REF!</v>
      </c>
    </row>
    <row r="370" spans="1:15" ht="16.5" x14ac:dyDescent="0.2">
      <c r="A370" s="1197" t="s">
        <v>535</v>
      </c>
      <c r="B370" s="1163"/>
      <c r="C370" s="1163"/>
      <c r="D370" s="1163"/>
      <c r="E370" s="1163"/>
      <c r="F370" s="1163"/>
      <c r="G370" s="1163"/>
      <c r="H370" s="1163"/>
      <c r="I370" s="1176"/>
      <c r="J370" s="1176"/>
      <c r="K370" s="1176"/>
      <c r="L370" s="1176"/>
      <c r="M370" s="1176"/>
      <c r="N370" s="1176"/>
      <c r="O370" s="1176"/>
    </row>
    <row r="371" spans="1:15" ht="16.5" x14ac:dyDescent="0.2">
      <c r="A371" s="1197" t="s">
        <v>535</v>
      </c>
      <c r="B371" s="1159"/>
      <c r="C371" s="1160" t="s">
        <v>602</v>
      </c>
      <c r="D371" s="1160" t="s">
        <v>589</v>
      </c>
      <c r="E371" s="1168">
        <f>E373</f>
        <v>121</v>
      </c>
      <c r="F371" s="1168">
        <f>F373</f>
        <v>117</v>
      </c>
      <c r="G371" s="1160">
        <f>ROUND(F371*160,0)</f>
        <v>18720</v>
      </c>
      <c r="H371" s="1162" t="s">
        <v>591</v>
      </c>
      <c r="I371" s="1167">
        <f>ROUND(I373*80%,2)</f>
        <v>14.88</v>
      </c>
      <c r="J371" s="1167" t="e">
        <f>+#REF!</f>
        <v>#REF!</v>
      </c>
      <c r="K371" s="1167" t="e">
        <f>+#REF!</f>
        <v>#REF!</v>
      </c>
      <c r="L371" s="1167" t="e">
        <f>ROUND((G371*85%)*J371*12/10000000,2)</f>
        <v>#REF!</v>
      </c>
      <c r="M371" s="1167" t="e">
        <f>ROUND(I371*1000000*K371/10000000,2)</f>
        <v>#REF!</v>
      </c>
      <c r="N371" s="1167"/>
      <c r="O371" s="1192"/>
    </row>
    <row r="372" spans="1:15" ht="16.5" x14ac:dyDescent="0.2">
      <c r="A372" s="1197" t="s">
        <v>535</v>
      </c>
      <c r="B372" s="1159"/>
      <c r="C372" s="1160"/>
      <c r="D372" s="1160"/>
      <c r="E372" s="1168"/>
      <c r="F372" s="1168"/>
      <c r="G372" s="1160"/>
      <c r="H372" s="1162" t="s">
        <v>590</v>
      </c>
      <c r="I372" s="1167">
        <f>I373-I371</f>
        <v>3.7200000000000006</v>
      </c>
      <c r="J372" s="1167"/>
      <c r="K372" s="1167" t="e">
        <f>+#REF!</f>
        <v>#REF!</v>
      </c>
      <c r="L372" s="1167"/>
      <c r="M372" s="1167" t="e">
        <f>ROUND(I372*1000000*K372/10000000,2)</f>
        <v>#REF!</v>
      </c>
      <c r="N372" s="1167"/>
      <c r="O372" s="1192"/>
    </row>
    <row r="373" spans="1:15" ht="16.5" x14ac:dyDescent="0.2">
      <c r="A373" s="1197" t="s">
        <v>535</v>
      </c>
      <c r="B373" s="1164"/>
      <c r="C373" s="1165"/>
      <c r="D373" s="1166" t="s">
        <v>486</v>
      </c>
      <c r="E373" s="1169">
        <f>E374-E369</f>
        <v>121</v>
      </c>
      <c r="F373" s="1169">
        <f>F374-F369</f>
        <v>117</v>
      </c>
      <c r="G373" s="1169">
        <f>SUM(G371:G372)</f>
        <v>18720</v>
      </c>
      <c r="H373" s="1165"/>
      <c r="I373" s="1170">
        <f>I374-I369</f>
        <v>18.600000000000001</v>
      </c>
      <c r="J373" s="1170"/>
      <c r="K373" s="1170"/>
      <c r="L373" s="1170" t="e">
        <f>SUM(L371:L372)</f>
        <v>#REF!</v>
      </c>
      <c r="M373" s="1170" t="e">
        <f>SUM(M371:M372)</f>
        <v>#REF!</v>
      </c>
      <c r="N373" s="1170" t="e">
        <f>L373+M373</f>
        <v>#REF!</v>
      </c>
      <c r="O373" s="1177" t="e">
        <f>ROUND(N373/I373*10,2)</f>
        <v>#REF!</v>
      </c>
    </row>
    <row r="374" spans="1:15" ht="16.5" x14ac:dyDescent="0.2">
      <c r="A374" s="1197" t="s">
        <v>535</v>
      </c>
      <c r="B374" s="1164">
        <v>12</v>
      </c>
      <c r="C374" s="1165" t="s">
        <v>600</v>
      </c>
      <c r="D374" s="1165"/>
      <c r="E374" s="1169">
        <f>Sales_FY24!$P$108</f>
        <v>407</v>
      </c>
      <c r="F374" s="1169">
        <f>Sales_FY24!$V$108</f>
        <v>392</v>
      </c>
      <c r="G374" s="1169">
        <f>G369+G373</f>
        <v>57220</v>
      </c>
      <c r="H374" s="1165"/>
      <c r="I374" s="1170">
        <f>Sales_FY24!$Q$108</f>
        <v>63.5</v>
      </c>
      <c r="J374" s="1170"/>
      <c r="K374" s="1170"/>
      <c r="L374" s="1170" t="e">
        <f>L369+L373</f>
        <v>#REF!</v>
      </c>
      <c r="M374" s="1170" t="e">
        <f>M369+M373</f>
        <v>#REF!</v>
      </c>
      <c r="N374" s="1170" t="e">
        <f>L374+M374</f>
        <v>#REF!</v>
      </c>
      <c r="O374" s="1177" t="e">
        <f>ROUND(N374/I374*10,2)</f>
        <v>#REF!</v>
      </c>
    </row>
    <row r="375" spans="1:15" ht="16.5" x14ac:dyDescent="0.2">
      <c r="A375" s="1197" t="s">
        <v>535</v>
      </c>
      <c r="B375" s="1163"/>
      <c r="C375" s="1163"/>
      <c r="D375" s="1163"/>
      <c r="E375" s="1163"/>
      <c r="F375" s="1163"/>
      <c r="G375" s="1163"/>
      <c r="H375" s="1163"/>
      <c r="I375" s="1176"/>
      <c r="J375" s="1176"/>
      <c r="K375" s="1176"/>
      <c r="L375" s="1176"/>
      <c r="M375" s="1176"/>
      <c r="N375" s="1176"/>
      <c r="O375" s="1176"/>
    </row>
    <row r="376" spans="1:15" ht="16.5" x14ac:dyDescent="0.2">
      <c r="A376" s="1197" t="s">
        <v>535</v>
      </c>
      <c r="B376" s="1159"/>
      <c r="C376" s="1160" t="s">
        <v>612</v>
      </c>
      <c r="D376" s="1160" t="s">
        <v>604</v>
      </c>
      <c r="E376" s="1168">
        <f>ROUND(E380*97.93103%,0)</f>
        <v>152</v>
      </c>
      <c r="F376" s="1168">
        <f>ROUND(F380*97.33333%,0)</f>
        <v>146</v>
      </c>
      <c r="G376" s="1160">
        <f>ROUND(F376*1190,0)</f>
        <v>173740</v>
      </c>
      <c r="H376" s="1162" t="s">
        <v>561</v>
      </c>
      <c r="I376" s="1167">
        <f>ROUND(I380*99.65045%,2)</f>
        <v>171.05</v>
      </c>
      <c r="J376" s="1167" t="e">
        <f>+#REF!</f>
        <v>#REF!</v>
      </c>
      <c r="K376" s="1167" t="e">
        <f>+#REF!</f>
        <v>#REF!</v>
      </c>
      <c r="L376" s="1167" t="e">
        <f>IF((ROUND(G376*J376*1/10000000,2))&gt;(ROUND(I376*1000000*K376/10000000,2)),(ROUND(G376*J376*1/10000000,2)),0)</f>
        <v>#REF!</v>
      </c>
      <c r="M376" s="1167" t="e">
        <f>IF((ROUND(I376*1000000*K376/10000000,2))&gt;(ROUND(G376*J376*1/10000000,2)),(ROUND(I376*1000000*K376/10000000,2)),0)</f>
        <v>#REF!</v>
      </c>
      <c r="N376" s="1167" t="e">
        <f>L376+M376</f>
        <v>#REF!</v>
      </c>
      <c r="O376" s="1192" t="e">
        <f>ROUND(N376/I376*10,2)</f>
        <v>#REF!</v>
      </c>
    </row>
    <row r="377" spans="1:15" ht="16.5" x14ac:dyDescent="0.2">
      <c r="A377" s="1197" t="s">
        <v>535</v>
      </c>
      <c r="B377" s="1159"/>
      <c r="C377" s="1160" t="s">
        <v>613</v>
      </c>
      <c r="D377" s="1160" t="s">
        <v>604</v>
      </c>
      <c r="E377" s="1168">
        <f>ROUND(E380*0%,0)</f>
        <v>0</v>
      </c>
      <c r="F377" s="1168">
        <f>ROUND(F380*0%,0)</f>
        <v>0</v>
      </c>
      <c r="G377" s="1160">
        <f>ROUND(F377*895,0)</f>
        <v>0</v>
      </c>
      <c r="H377" s="1162" t="s">
        <v>561</v>
      </c>
      <c r="I377" s="1167">
        <f>ROUND(I380*0%,2)</f>
        <v>0</v>
      </c>
      <c r="J377" s="1167" t="e">
        <f>+#REF!</f>
        <v>#REF!</v>
      </c>
      <c r="K377" s="1167" t="e">
        <f>+#REF!</f>
        <v>#REF!</v>
      </c>
      <c r="L377" s="1167" t="e">
        <f>ROUND(G377*J377*12/10000000,2)</f>
        <v>#REF!</v>
      </c>
      <c r="M377" s="1167" t="e">
        <f>ROUND(I377*1000000*K377/10000000,2)</f>
        <v>#REF!</v>
      </c>
      <c r="N377" s="1167" t="e">
        <f>L377+M377</f>
        <v>#REF!</v>
      </c>
      <c r="O377" s="1192"/>
    </row>
    <row r="378" spans="1:15" ht="16.5" x14ac:dyDescent="0.2">
      <c r="A378" s="1197" t="s">
        <v>535</v>
      </c>
      <c r="B378" s="1159"/>
      <c r="C378" s="1160" t="s">
        <v>614</v>
      </c>
      <c r="D378" s="1160" t="s">
        <v>604</v>
      </c>
      <c r="E378" s="1168">
        <f>ROUND(E380*0%,0)</f>
        <v>0</v>
      </c>
      <c r="F378" s="1168">
        <f>ROUND(F380*0%,0)</f>
        <v>0</v>
      </c>
      <c r="G378" s="1160">
        <f>ROUND(F378*0,0)</f>
        <v>0</v>
      </c>
      <c r="H378" s="1162" t="s">
        <v>561</v>
      </c>
      <c r="I378" s="1167">
        <f>ROUND(I380*0%,2)</f>
        <v>0</v>
      </c>
      <c r="J378" s="1167" t="e">
        <f>+#REF!</f>
        <v>#REF!</v>
      </c>
      <c r="K378" s="1167" t="e">
        <f>+#REF!</f>
        <v>#REF!</v>
      </c>
      <c r="L378" s="1167" t="e">
        <f>ROUND(G378*J378*12/10000000,2)</f>
        <v>#REF!</v>
      </c>
      <c r="M378" s="1167" t="e">
        <f>ROUND(I378*1000000*K378/10000000,2)</f>
        <v>#REF!</v>
      </c>
      <c r="N378" s="1167" t="e">
        <f>L378+M378</f>
        <v>#REF!</v>
      </c>
      <c r="O378" s="1192"/>
    </row>
    <row r="379" spans="1:15" ht="16.5" x14ac:dyDescent="0.2">
      <c r="A379" s="1197" t="s">
        <v>535</v>
      </c>
      <c r="B379" s="1159"/>
      <c r="C379" s="1160" t="s">
        <v>615</v>
      </c>
      <c r="D379" s="1160" t="s">
        <v>604</v>
      </c>
      <c r="E379" s="1168">
        <f>ROUND(E380*2.06896%,0)</f>
        <v>3</v>
      </c>
      <c r="F379" s="1168">
        <f>ROUND(F380*2.06896%,0)</f>
        <v>3</v>
      </c>
      <c r="G379" s="1160">
        <f>ROUND(F379*75,0)</f>
        <v>225</v>
      </c>
      <c r="H379" s="1162" t="s">
        <v>561</v>
      </c>
      <c r="I379" s="1167">
        <f>+I380-I376-I377-I378</f>
        <v>0.59999999999999432</v>
      </c>
      <c r="J379" s="1167" t="e">
        <f>+#REF!</f>
        <v>#REF!</v>
      </c>
      <c r="K379" s="1167" t="e">
        <f>+#REF!</f>
        <v>#REF!</v>
      </c>
      <c r="L379" s="1167" t="e">
        <f>IF((ROUND(G379*J379*1/10000000,2))&gt;(ROUND(I379*1000000*K379/10000000,2)),(ROUND(G379*J379*1/10000000,2)),0)</f>
        <v>#REF!</v>
      </c>
      <c r="M379" s="1167" t="e">
        <f>IF((ROUND(I379*1000000*K379/10000000,2))&gt;(ROUND(G379*J379*1/10000000,2)),(ROUND(I379*1000000*K379/10000000,2)),0)</f>
        <v>#REF!</v>
      </c>
      <c r="N379" s="1167" t="e">
        <f>L379+M379</f>
        <v>#REF!</v>
      </c>
      <c r="O379" s="1192" t="e">
        <f>ROUND(N379/I379*10,2)</f>
        <v>#REF!</v>
      </c>
    </row>
    <row r="380" spans="1:15" ht="16.5" x14ac:dyDescent="0.2">
      <c r="A380" s="1197" t="s">
        <v>535</v>
      </c>
      <c r="B380" s="1164">
        <v>13</v>
      </c>
      <c r="C380" s="1165" t="s">
        <v>603</v>
      </c>
      <c r="D380" s="1165"/>
      <c r="E380" s="1169">
        <f>Sales_FY24!$P$109</f>
        <v>155</v>
      </c>
      <c r="F380" s="1169">
        <f>Sales_FY24!$V$109</f>
        <v>150</v>
      </c>
      <c r="G380" s="1169">
        <f>SUM(G376:G379)</f>
        <v>173965</v>
      </c>
      <c r="H380" s="1165"/>
      <c r="I380" s="1170">
        <f>Sales_FY24!$Q$109</f>
        <v>171.65</v>
      </c>
      <c r="J380" s="1170"/>
      <c r="K380" s="1170"/>
      <c r="L380" s="1170" t="e">
        <f>SUM(L376:L379)</f>
        <v>#REF!</v>
      </c>
      <c r="M380" s="1170" t="e">
        <f>SUM(M376:M379)</f>
        <v>#REF!</v>
      </c>
      <c r="N380" s="1170" t="e">
        <f>L380+M380</f>
        <v>#REF!</v>
      </c>
      <c r="O380" s="1177" t="e">
        <f>ROUND(N380/I380*10,2)</f>
        <v>#REF!</v>
      </c>
    </row>
    <row r="381" spans="1:15" ht="16.5" x14ac:dyDescent="0.2">
      <c r="A381" s="1197" t="s">
        <v>535</v>
      </c>
      <c r="B381" s="1163"/>
      <c r="C381" s="1163"/>
      <c r="D381" s="1163"/>
      <c r="E381" s="1163"/>
      <c r="F381" s="1163"/>
      <c r="G381" s="1163"/>
      <c r="H381" s="1163"/>
      <c r="I381" s="1176"/>
      <c r="J381" s="1176"/>
      <c r="K381" s="1176"/>
      <c r="L381" s="1176"/>
      <c r="M381" s="1176"/>
      <c r="N381" s="1176"/>
      <c r="O381" s="1176"/>
    </row>
    <row r="382" spans="1:15" ht="16.5" x14ac:dyDescent="0.2">
      <c r="A382" s="1197" t="s">
        <v>535</v>
      </c>
      <c r="B382" s="1159">
        <v>14</v>
      </c>
      <c r="C382" s="1160" t="s">
        <v>312</v>
      </c>
      <c r="D382" s="1160" t="s">
        <v>589</v>
      </c>
      <c r="E382" s="1168">
        <f>Sales_FY24!$P$110</f>
        <v>81</v>
      </c>
      <c r="F382" s="1168">
        <f>Sales_FY24!$V$110</f>
        <v>72</v>
      </c>
      <c r="G382" s="1160">
        <f>ROUND(F382*112.5,0)</f>
        <v>8100</v>
      </c>
      <c r="H382" s="1162" t="s">
        <v>561</v>
      </c>
      <c r="I382" s="1167">
        <f>Sales_FY24!$Q$110</f>
        <v>4.32</v>
      </c>
      <c r="J382" s="1167" t="e">
        <f>+#REF!</f>
        <v>#REF!</v>
      </c>
      <c r="K382" s="1167" t="e">
        <f>+#REF!</f>
        <v>#REF!</v>
      </c>
      <c r="L382" s="1167" t="e">
        <f>ROUND((G382*85%)*J382*12/10000000,2)</f>
        <v>#REF!</v>
      </c>
      <c r="M382" s="1167" t="e">
        <f>ROUND(I382*1000000*K382/10000000,2)</f>
        <v>#REF!</v>
      </c>
      <c r="N382" s="1167" t="e">
        <f>L382+M382</f>
        <v>#REF!</v>
      </c>
      <c r="O382" s="1192" t="e">
        <f>ROUND(N382/I382*10,2)</f>
        <v>#REF!</v>
      </c>
    </row>
    <row r="383" spans="1:15" ht="16.5" x14ac:dyDescent="0.2">
      <c r="A383" s="1197" t="s">
        <v>535</v>
      </c>
      <c r="B383" s="1163"/>
      <c r="C383" s="1163"/>
      <c r="D383" s="1163"/>
      <c r="E383" s="1163"/>
      <c r="F383" s="1163"/>
      <c r="G383" s="1163"/>
      <c r="H383" s="1163"/>
      <c r="I383" s="1176"/>
      <c r="J383" s="1176"/>
      <c r="K383" s="1176"/>
      <c r="L383" s="1176"/>
      <c r="M383" s="1176"/>
      <c r="N383" s="1176"/>
      <c r="O383" s="1176"/>
    </row>
    <row r="384" spans="1:15" ht="16.5" x14ac:dyDescent="0.2">
      <c r="A384" s="1197" t="s">
        <v>535</v>
      </c>
      <c r="B384" s="1159">
        <v>15</v>
      </c>
      <c r="C384" s="1160" t="s">
        <v>313</v>
      </c>
      <c r="D384" s="1160" t="s">
        <v>589</v>
      </c>
      <c r="E384" s="1168">
        <f>Sales_FY24!$P$111</f>
        <v>79</v>
      </c>
      <c r="F384" s="1168">
        <f>Sales_FY24!$V$111</f>
        <v>79</v>
      </c>
      <c r="G384" s="1160">
        <f>ROUND(F384*482,0)</f>
        <v>38078</v>
      </c>
      <c r="H384" s="1162" t="s">
        <v>561</v>
      </c>
      <c r="I384" s="1167">
        <f>Sales_FY24!$Q$111</f>
        <v>7.73</v>
      </c>
      <c r="J384" s="1167" t="e">
        <f>+#REF!</f>
        <v>#REF!</v>
      </c>
      <c r="K384" s="1167" t="e">
        <f>+#REF!</f>
        <v>#REF!</v>
      </c>
      <c r="L384" s="1167" t="e">
        <f>ROUND((G384*100%)*J384*12/10000000,2)</f>
        <v>#REF!</v>
      </c>
      <c r="M384" s="1167" t="e">
        <f>ROUND(I384*1000000*K384/10000000,2)</f>
        <v>#REF!</v>
      </c>
      <c r="N384" s="1167" t="e">
        <f>L384+M384</f>
        <v>#REF!</v>
      </c>
      <c r="O384" s="1192" t="e">
        <f>ROUND(N384/I384*10,2)</f>
        <v>#REF!</v>
      </c>
    </row>
    <row r="385" spans="1:19" ht="16.5" x14ac:dyDescent="0.2">
      <c r="A385" s="1197" t="s">
        <v>535</v>
      </c>
      <c r="B385" s="1163"/>
      <c r="C385" s="1163"/>
      <c r="D385" s="1163"/>
      <c r="E385" s="1163"/>
      <c r="F385" s="1163"/>
      <c r="G385" s="1163"/>
      <c r="H385" s="1163"/>
      <c r="I385" s="1176"/>
      <c r="J385" s="1176"/>
      <c r="K385" s="1176"/>
      <c r="L385" s="1176"/>
      <c r="M385" s="1176"/>
      <c r="N385" s="1176"/>
      <c r="O385" s="1176"/>
    </row>
    <row r="386" spans="1:19" ht="16.5" x14ac:dyDescent="0.2">
      <c r="A386" s="1197" t="s">
        <v>535</v>
      </c>
      <c r="B386" s="1194"/>
      <c r="C386" s="1195" t="s">
        <v>605</v>
      </c>
      <c r="D386" s="1195"/>
      <c r="E386" s="1196">
        <f>E347+E356+E365+E374+E380+E382+E384</f>
        <v>3454</v>
      </c>
      <c r="F386" s="1196">
        <f>F347+F356+F365+F374+F380+F382+F384</f>
        <v>3322</v>
      </c>
      <c r="G386" s="1196">
        <f>G347+G356+G365+G374+G380+G382+G384</f>
        <v>1355695</v>
      </c>
      <c r="H386" s="1195"/>
      <c r="I386" s="1193">
        <f>I347+I356+I365+I374+I380+I382+I384</f>
        <v>1702.78</v>
      </c>
      <c r="J386" s="1193"/>
      <c r="K386" s="1193"/>
      <c r="L386" s="1193" t="e">
        <f>L347+L356+L365+L374+L380+L382+L384</f>
        <v>#REF!</v>
      </c>
      <c r="M386" s="1193" t="e">
        <f>M347+M356+M365+M374+M380+M382+M384</f>
        <v>#REF!</v>
      </c>
      <c r="N386" s="1193" t="e">
        <f>L386+M386</f>
        <v>#REF!</v>
      </c>
      <c r="O386" s="1193" t="e">
        <f>ROUND(N386/I386*10,2)</f>
        <v>#REF!</v>
      </c>
    </row>
    <row r="387" spans="1:19" ht="16.5" x14ac:dyDescent="0.2">
      <c r="A387" s="1197" t="s">
        <v>535</v>
      </c>
      <c r="B387" s="1163"/>
      <c r="C387" s="1163"/>
      <c r="D387" s="1163"/>
      <c r="E387" s="1163"/>
      <c r="F387" s="1163"/>
      <c r="G387" s="1163"/>
      <c r="H387" s="1163"/>
      <c r="I387" s="1176"/>
      <c r="J387" s="1176"/>
      <c r="K387" s="1176"/>
      <c r="L387" s="1176"/>
      <c r="M387" s="1176"/>
      <c r="N387" s="1176"/>
      <c r="O387" s="1176"/>
    </row>
    <row r="388" spans="1:19" ht="16.5" x14ac:dyDescent="0.2">
      <c r="A388" s="1197" t="s">
        <v>535</v>
      </c>
      <c r="B388" s="1194"/>
      <c r="C388" s="1195" t="s">
        <v>606</v>
      </c>
      <c r="D388" s="1195"/>
      <c r="E388" s="1196">
        <f>E345+E386</f>
        <v>3954666</v>
      </c>
      <c r="F388" s="1196">
        <f>F345+F386</f>
        <v>3915359</v>
      </c>
      <c r="G388" s="1196">
        <f>G345+G386</f>
        <v>7868016</v>
      </c>
      <c r="H388" s="1195"/>
      <c r="I388" s="1193">
        <f>I345+I386</f>
        <v>7153.7299999999987</v>
      </c>
      <c r="J388" s="1193"/>
      <c r="K388" s="1193"/>
      <c r="L388" s="1193" t="e">
        <f>L345+L386</f>
        <v>#REF!</v>
      </c>
      <c r="M388" s="1193" t="e">
        <f>M345+M386</f>
        <v>#REF!</v>
      </c>
      <c r="N388" s="1193" t="e">
        <f>L388+M388</f>
        <v>#REF!</v>
      </c>
      <c r="O388" s="1193" t="e">
        <f>ROUND(N388/I388*10,2)</f>
        <v>#REF!</v>
      </c>
    </row>
    <row r="389" spans="1:19" ht="16.5" x14ac:dyDescent="0.2">
      <c r="A389" s="1197" t="s">
        <v>535</v>
      </c>
      <c r="B389" s="1163"/>
      <c r="C389" s="1163"/>
      <c r="D389" s="1163"/>
      <c r="E389" s="1163"/>
      <c r="F389" s="1163"/>
      <c r="G389" s="1163"/>
      <c r="H389" s="1163"/>
      <c r="I389" s="1176"/>
      <c r="J389" s="1176"/>
      <c r="K389" s="1176"/>
      <c r="L389" s="1176"/>
      <c r="M389" s="1176"/>
      <c r="N389" s="1176"/>
      <c r="O389" s="1176"/>
    </row>
    <row r="390" spans="1:19" ht="16.5" x14ac:dyDescent="0.2">
      <c r="A390" s="1197" t="s">
        <v>535</v>
      </c>
      <c r="B390" s="1159">
        <v>16</v>
      </c>
      <c r="C390" s="1160"/>
      <c r="D390" s="1160"/>
      <c r="E390" s="1168"/>
      <c r="F390" s="1168"/>
      <c r="G390" s="1160"/>
      <c r="H390" s="1162"/>
      <c r="I390" s="1167"/>
      <c r="J390" s="1167"/>
      <c r="K390" s="1167"/>
      <c r="L390" s="1167"/>
      <c r="M390" s="1167"/>
      <c r="N390" s="1167"/>
      <c r="O390" s="1192"/>
    </row>
    <row r="391" spans="1:19" ht="16.5" x14ac:dyDescent="0.2">
      <c r="A391" s="1197" t="s">
        <v>535</v>
      </c>
      <c r="B391" s="1163"/>
      <c r="C391" s="1163"/>
      <c r="D391" s="1163"/>
      <c r="E391" s="1163"/>
      <c r="F391" s="1163"/>
      <c r="G391" s="1163"/>
      <c r="H391" s="1163"/>
      <c r="I391" s="1176"/>
      <c r="J391" s="1176"/>
      <c r="K391" s="1176"/>
      <c r="L391" s="1176"/>
      <c r="M391" s="1176"/>
      <c r="N391" s="1176"/>
      <c r="O391" s="1176"/>
    </row>
    <row r="392" spans="1:19" ht="16.5" x14ac:dyDescent="0.2">
      <c r="A392" s="1197" t="s">
        <v>535</v>
      </c>
      <c r="B392" s="1159">
        <v>17</v>
      </c>
      <c r="C392" s="1160"/>
      <c r="D392" s="1160"/>
      <c r="E392" s="1168"/>
      <c r="F392" s="1168"/>
      <c r="G392" s="1160"/>
      <c r="H392" s="1162"/>
      <c r="I392" s="1167"/>
      <c r="J392" s="1167"/>
      <c r="K392" s="1167"/>
      <c r="L392" s="1167"/>
      <c r="M392" s="1167"/>
      <c r="N392" s="1167"/>
      <c r="O392" s="1192"/>
    </row>
    <row r="393" spans="1:19" ht="16.5" x14ac:dyDescent="0.2">
      <c r="A393" s="1197" t="s">
        <v>535</v>
      </c>
      <c r="B393" s="1163"/>
      <c r="C393" s="1163"/>
      <c r="D393" s="1163"/>
      <c r="E393" s="1163"/>
      <c r="F393" s="1163"/>
      <c r="G393" s="1163"/>
      <c r="H393" s="1163"/>
      <c r="I393" s="1176"/>
      <c r="J393" s="1176"/>
      <c r="K393" s="1176"/>
      <c r="L393" s="1176"/>
      <c r="M393" s="1176"/>
      <c r="N393" s="1176"/>
      <c r="O393" s="1176"/>
    </row>
    <row r="394" spans="1:19" ht="16.5" x14ac:dyDescent="0.2">
      <c r="A394" s="1197" t="s">
        <v>535</v>
      </c>
      <c r="B394" s="1159">
        <v>18</v>
      </c>
      <c r="C394" s="1160"/>
      <c r="D394" s="1160" t="s">
        <v>305</v>
      </c>
      <c r="E394" s="1168"/>
      <c r="F394" s="1168"/>
      <c r="G394" s="1160"/>
      <c r="H394" s="1162"/>
      <c r="I394" s="1167"/>
      <c r="J394" s="1167"/>
      <c r="K394" s="1167"/>
      <c r="L394" s="1167">
        <v>0</v>
      </c>
      <c r="M394" s="1167">
        <f>ROUND((93.05+(93.05*13.18574%))+12.65+51.12,2)</f>
        <v>169.09</v>
      </c>
      <c r="N394" s="1167">
        <f>L394+M394</f>
        <v>169.09</v>
      </c>
      <c r="O394" s="1192"/>
    </row>
    <row r="395" spans="1:19" ht="16.5" x14ac:dyDescent="0.2">
      <c r="A395" s="1197" t="s">
        <v>535</v>
      </c>
      <c r="B395" s="1163"/>
      <c r="C395" s="1163"/>
      <c r="D395" s="1163"/>
      <c r="E395" s="1163"/>
      <c r="F395" s="1163"/>
      <c r="G395" s="1163"/>
      <c r="H395" s="1163"/>
      <c r="I395" s="1176"/>
      <c r="J395" s="1176"/>
      <c r="K395" s="1176"/>
      <c r="L395" s="1176"/>
      <c r="M395" s="1176"/>
      <c r="N395" s="1176"/>
      <c r="O395" s="1176"/>
    </row>
    <row r="396" spans="1:19" ht="16.5" x14ac:dyDescent="0.2">
      <c r="A396" s="1197" t="s">
        <v>535</v>
      </c>
      <c r="B396" s="1194"/>
      <c r="C396" s="1195" t="s">
        <v>607</v>
      </c>
      <c r="D396" s="1195"/>
      <c r="E396" s="1196">
        <f>E388+E394+E390+E392</f>
        <v>3954666</v>
      </c>
      <c r="F396" s="1196">
        <f>F388+F394+F390+F392</f>
        <v>3915359</v>
      </c>
      <c r="G396" s="1196">
        <f>G388+G394+G390+G392</f>
        <v>7868016</v>
      </c>
      <c r="H396" s="1195"/>
      <c r="I396" s="1193">
        <f>I388+I394+I390+I392</f>
        <v>7153.7299999999987</v>
      </c>
      <c r="J396" s="1193"/>
      <c r="K396" s="1193"/>
      <c r="L396" s="1193" t="e">
        <f>L388+L394+L390+L392</f>
        <v>#REF!</v>
      </c>
      <c r="M396" s="1193" t="e">
        <f>M388+M394+M390+M392</f>
        <v>#REF!</v>
      </c>
      <c r="N396" s="1193" t="e">
        <f>L396+M396</f>
        <v>#REF!</v>
      </c>
      <c r="O396" s="1193" t="e">
        <f>ROUND(N396/I396*10,2)</f>
        <v>#REF!</v>
      </c>
      <c r="R396" s="1224" t="e">
        <f>+#REF!</f>
        <v>#REF!</v>
      </c>
      <c r="S396" s="1224" t="e">
        <f>+N396-R396</f>
        <v>#REF!</v>
      </c>
    </row>
    <row r="398" spans="1:19" x14ac:dyDescent="0.15">
      <c r="L398" s="1224"/>
      <c r="M398" s="1224"/>
      <c r="N398" s="1224"/>
      <c r="O398" s="1224"/>
    </row>
    <row r="400" spans="1:19" x14ac:dyDescent="0.15">
      <c r="B400" s="1172" t="s">
        <v>609</v>
      </c>
      <c r="D400" s="1173" t="s">
        <v>608</v>
      </c>
    </row>
    <row r="401" spans="1:18" x14ac:dyDescent="0.15">
      <c r="B401" s="1187" t="s">
        <v>472</v>
      </c>
      <c r="C401" s="1187" t="s">
        <v>474</v>
      </c>
      <c r="D401" s="1188" t="s">
        <v>3</v>
      </c>
      <c r="E401" s="1187" t="s">
        <v>49</v>
      </c>
      <c r="F401" s="1187" t="s">
        <v>469</v>
      </c>
      <c r="G401" s="1187" t="s">
        <v>467</v>
      </c>
      <c r="H401" s="1188" t="s">
        <v>475</v>
      </c>
      <c r="I401" s="1188" t="s">
        <v>475</v>
      </c>
      <c r="J401" s="1187" t="s">
        <v>477</v>
      </c>
      <c r="K401" s="1187" t="s">
        <v>480</v>
      </c>
      <c r="L401" s="1189" t="s">
        <v>610</v>
      </c>
      <c r="M401" s="1189" t="s">
        <v>611</v>
      </c>
      <c r="N401" s="1189" t="s">
        <v>488</v>
      </c>
      <c r="O401" s="1189" t="s">
        <v>489</v>
      </c>
    </row>
    <row r="402" spans="1:18" x14ac:dyDescent="0.15">
      <c r="B402" s="1190" t="s">
        <v>473</v>
      </c>
      <c r="C402" s="1190" t="s">
        <v>31</v>
      </c>
      <c r="D402" s="1191"/>
      <c r="E402" s="1190" t="s">
        <v>33</v>
      </c>
      <c r="F402" s="1190" t="s">
        <v>33</v>
      </c>
      <c r="G402" s="1190" t="s">
        <v>468</v>
      </c>
      <c r="H402" s="1191" t="s">
        <v>487</v>
      </c>
      <c r="I402" s="1191" t="s">
        <v>476</v>
      </c>
      <c r="J402" s="1190" t="s">
        <v>479</v>
      </c>
      <c r="K402" s="1190" t="s">
        <v>478</v>
      </c>
      <c r="L402" s="1190" t="s">
        <v>481</v>
      </c>
      <c r="M402" s="1190" t="s">
        <v>481</v>
      </c>
      <c r="N402" s="1190" t="s">
        <v>481</v>
      </c>
      <c r="O402" s="1190" t="s">
        <v>478</v>
      </c>
    </row>
    <row r="403" spans="1:18" ht="16.5" x14ac:dyDescent="0.2">
      <c r="A403" s="1197" t="s">
        <v>537</v>
      </c>
      <c r="B403" s="1159"/>
      <c r="C403" s="1160" t="s">
        <v>38</v>
      </c>
      <c r="D403" s="1160" t="s">
        <v>482</v>
      </c>
      <c r="E403" s="1168">
        <f>Sales_FY24!$P$129</f>
        <v>688814</v>
      </c>
      <c r="F403" s="1168">
        <f>Sales_FY24!$V$129</f>
        <v>688814</v>
      </c>
      <c r="G403" s="1160">
        <f>ROUND(E403*0.05548,0)</f>
        <v>38215</v>
      </c>
      <c r="H403" s="1167"/>
      <c r="I403" s="1167">
        <f>Sales_FY24!$Q$129</f>
        <v>159.85</v>
      </c>
      <c r="J403" s="1167" t="e">
        <f>+#REF!</f>
        <v>#REF!</v>
      </c>
      <c r="K403" s="1167" t="e">
        <f>+#REF!</f>
        <v>#REF!</v>
      </c>
      <c r="L403" s="1167"/>
      <c r="M403" s="1167" t="e">
        <f>ROUND(I403*1000000*K403/10000000,2)</f>
        <v>#REF!</v>
      </c>
      <c r="N403" s="1175" t="e">
        <f>+L403+M403</f>
        <v>#REF!</v>
      </c>
      <c r="O403" s="1171" t="e">
        <f>ROUND(N403/I403*10,2)</f>
        <v>#REF!</v>
      </c>
    </row>
    <row r="404" spans="1:18" ht="16.5" x14ac:dyDescent="0.2">
      <c r="A404" s="1197" t="s">
        <v>537</v>
      </c>
      <c r="B404" s="1159"/>
      <c r="C404" s="1160" t="s">
        <v>38</v>
      </c>
      <c r="D404" s="1161" t="s">
        <v>483</v>
      </c>
      <c r="E404" s="1168">
        <f>Sales_FY24!$P$130</f>
        <v>69386</v>
      </c>
      <c r="F404" s="1168">
        <f>Sales_FY24!$V$130</f>
        <v>69386</v>
      </c>
      <c r="G404" s="1160">
        <f>ROUND(E404*0.10524,0)</f>
        <v>7302</v>
      </c>
      <c r="H404" s="1162" t="s">
        <v>426</v>
      </c>
      <c r="I404" s="1167">
        <f>ROUND(F404*50*12/1000000,2)</f>
        <v>41.63</v>
      </c>
      <c r="J404" s="1167">
        <v>100</v>
      </c>
      <c r="K404" s="1167">
        <f>+K415</f>
        <v>4.0999999999999996</v>
      </c>
      <c r="L404" s="1167">
        <f>ROUND((F404*J404*12)/10000000,2)</f>
        <v>8.33</v>
      </c>
      <c r="M404" s="1167">
        <f>ROUND(I404*1000000*K404/10000000,2)</f>
        <v>17.07</v>
      </c>
      <c r="N404" s="1167"/>
      <c r="O404" s="1167"/>
    </row>
    <row r="405" spans="1:18" ht="16.5" x14ac:dyDescent="0.2">
      <c r="A405" s="1197" t="s">
        <v>537</v>
      </c>
      <c r="B405" s="1159"/>
      <c r="C405" s="1160"/>
      <c r="D405" s="1161"/>
      <c r="E405" s="1160"/>
      <c r="F405" s="1160"/>
      <c r="G405" s="1160"/>
      <c r="H405" s="1162" t="s">
        <v>432</v>
      </c>
      <c r="I405" s="1167">
        <f>I406-I404</f>
        <v>28.740000000000002</v>
      </c>
      <c r="J405" s="1167"/>
      <c r="K405" s="1167">
        <f>+K416</f>
        <v>5.6</v>
      </c>
      <c r="L405" s="1167"/>
      <c r="M405" s="1167">
        <f>ROUND(I405*1000000*K405/10000000,2)</f>
        <v>16.09</v>
      </c>
      <c r="N405" s="1167"/>
      <c r="O405" s="1167"/>
    </row>
    <row r="406" spans="1:18" ht="16.5" x14ac:dyDescent="0.2">
      <c r="A406" s="1197" t="s">
        <v>537</v>
      </c>
      <c r="B406" s="1172"/>
      <c r="C406" s="1173"/>
      <c r="D406" s="1174" t="s">
        <v>486</v>
      </c>
      <c r="E406" s="1173">
        <f>SUM(E404:E405)</f>
        <v>69386</v>
      </c>
      <c r="F406" s="1173">
        <f>SUM(F404:F405)</f>
        <v>69386</v>
      </c>
      <c r="G406" s="1173">
        <f>SUM(G404:G405)</f>
        <v>7302</v>
      </c>
      <c r="H406" s="1173"/>
      <c r="I406" s="1175">
        <f>Sales_FY24!$Q$130</f>
        <v>70.37</v>
      </c>
      <c r="J406" s="1175"/>
      <c r="K406" s="1175"/>
      <c r="L406" s="1175">
        <f>SUM(L404:L405)</f>
        <v>8.33</v>
      </c>
      <c r="M406" s="1175">
        <f>SUM(M404:M405)</f>
        <v>33.159999999999997</v>
      </c>
      <c r="N406" s="1175">
        <f>+L406+M406</f>
        <v>41.489999999999995</v>
      </c>
      <c r="O406" s="1171">
        <f>ROUND(N406/I406*10,2)</f>
        <v>5.9</v>
      </c>
    </row>
    <row r="407" spans="1:18" ht="16.5" x14ac:dyDescent="0.2">
      <c r="A407" s="1197" t="s">
        <v>537</v>
      </c>
      <c r="B407" s="1164">
        <v>1</v>
      </c>
      <c r="C407" s="1165" t="s">
        <v>484</v>
      </c>
      <c r="D407" s="1165"/>
      <c r="E407" s="1169">
        <f>+E403+E406</f>
        <v>758200</v>
      </c>
      <c r="F407" s="1169">
        <f>+F403+F406</f>
        <v>758200</v>
      </c>
      <c r="G407" s="1169">
        <f>+G403+G406</f>
        <v>45517</v>
      </c>
      <c r="H407" s="1165"/>
      <c r="I407" s="1170">
        <f>+I403+I406</f>
        <v>230.22</v>
      </c>
      <c r="J407" s="1170"/>
      <c r="K407" s="1170"/>
      <c r="L407" s="1170">
        <f>+L403+L406</f>
        <v>8.33</v>
      </c>
      <c r="M407" s="1170" t="e">
        <f>+M403+M406</f>
        <v>#REF!</v>
      </c>
      <c r="N407" s="1170" t="e">
        <f>L407+M407</f>
        <v>#REF!</v>
      </c>
      <c r="O407" s="1170"/>
      <c r="R407" s="1224" t="e">
        <f>+N407-#REF!</f>
        <v>#REF!</v>
      </c>
    </row>
    <row r="408" spans="1:18" ht="16.5" x14ac:dyDescent="0.2">
      <c r="A408" s="1197" t="s">
        <v>537</v>
      </c>
      <c r="B408" s="1163"/>
      <c r="C408" s="1163"/>
      <c r="D408" s="1163"/>
      <c r="E408" s="1163"/>
      <c r="F408" s="1163"/>
      <c r="G408" s="1163"/>
      <c r="H408" s="1163"/>
      <c r="I408" s="1176"/>
      <c r="J408" s="1176"/>
      <c r="K408" s="1176"/>
      <c r="L408" s="1176"/>
      <c r="M408" s="1176"/>
      <c r="N408" s="1176"/>
      <c r="O408" s="1176"/>
    </row>
    <row r="409" spans="1:18" ht="16.5" x14ac:dyDescent="0.2">
      <c r="A409" s="1197" t="s">
        <v>537</v>
      </c>
      <c r="B409" s="1159"/>
      <c r="C409" s="1160" t="s">
        <v>485</v>
      </c>
      <c r="D409" s="1160" t="s">
        <v>43</v>
      </c>
      <c r="E409" s="1160">
        <f>ROUND(E413*67%,0)</f>
        <v>1098890</v>
      </c>
      <c r="F409" s="1160">
        <f>ROUND(F413*67%,0)</f>
        <v>1075078</v>
      </c>
      <c r="G409" s="1160">
        <f>ROUND(F409*0.9,0)</f>
        <v>967570</v>
      </c>
      <c r="H409" s="1162" t="s">
        <v>426</v>
      </c>
      <c r="I409" s="1167">
        <f>ROUND(I413*49%,2)</f>
        <v>560.95000000000005</v>
      </c>
      <c r="J409" s="1167" t="e">
        <f>+#REF!</f>
        <v>#REF!</v>
      </c>
      <c r="K409" s="1167" t="e">
        <f>+#REF!</f>
        <v>#REF!</v>
      </c>
      <c r="L409" s="1167" t="e">
        <f>ROUND((F409*J409*12)/10000000,2)</f>
        <v>#REF!</v>
      </c>
      <c r="M409" s="1167" t="e">
        <f>ROUND(I409*1000000*K409/10000000,2)</f>
        <v>#REF!</v>
      </c>
      <c r="N409" s="1167"/>
      <c r="O409" s="1171"/>
    </row>
    <row r="410" spans="1:18" ht="16.5" x14ac:dyDescent="0.2">
      <c r="A410" s="1197" t="s">
        <v>537</v>
      </c>
      <c r="B410" s="1159"/>
      <c r="C410" s="1160"/>
      <c r="D410" s="1160" t="s">
        <v>451</v>
      </c>
      <c r="E410" s="1160">
        <f>ROUND(E413*33%,0)</f>
        <v>541244</v>
      </c>
      <c r="F410" s="1160">
        <f>ROUND(F413*33%,0)</f>
        <v>529516</v>
      </c>
      <c r="G410" s="1160">
        <f>ROUND(F410*2.5,0)</f>
        <v>1323790</v>
      </c>
      <c r="H410" s="1162" t="s">
        <v>432</v>
      </c>
      <c r="I410" s="1167">
        <f>ROUND(I413*23%,2)</f>
        <v>263.3</v>
      </c>
      <c r="J410" s="1167" t="e">
        <f>+#REF!</f>
        <v>#REF!</v>
      </c>
      <c r="K410" s="1167" t="e">
        <f>+#REF!</f>
        <v>#REF!</v>
      </c>
      <c r="L410" s="1167" t="e">
        <f>ROUND(((F410*J409*12)+((G410-F410)*J410*12))/10000000,2)</f>
        <v>#REF!</v>
      </c>
      <c r="M410" s="1167" t="e">
        <f>ROUND(I410*1000000*K410/10000000,2)</f>
        <v>#REF!</v>
      </c>
      <c r="N410" s="1167"/>
      <c r="O410" s="1167"/>
    </row>
    <row r="411" spans="1:18" ht="16.5" x14ac:dyDescent="0.2">
      <c r="A411" s="1197" t="s">
        <v>537</v>
      </c>
      <c r="B411" s="1159"/>
      <c r="C411" s="1160"/>
      <c r="D411" s="1160" t="s">
        <v>444</v>
      </c>
      <c r="E411" s="1160">
        <f>+E413-E409-E410</f>
        <v>0</v>
      </c>
      <c r="F411" s="1160">
        <f>+F413-F409-F410</f>
        <v>0</v>
      </c>
      <c r="G411" s="1160">
        <f>ROUND(F411*0,0)</f>
        <v>0</v>
      </c>
      <c r="H411" s="1162" t="s">
        <v>380</v>
      </c>
      <c r="I411" s="1167">
        <f>ROUND(I413*10%,2)</f>
        <v>114.48</v>
      </c>
      <c r="J411" s="1167" t="e">
        <f>+#REF!</f>
        <v>#REF!</v>
      </c>
      <c r="K411" s="1167" t="e">
        <f>+#REF!</f>
        <v>#REF!</v>
      </c>
      <c r="L411" s="1167" t="e">
        <f>ROUND(((F411*J409*12)+(F411*49*12*J410)+((G411-(F411*50))*12*J411))/10000000,2)</f>
        <v>#REF!</v>
      </c>
      <c r="M411" s="1167" t="e">
        <f>ROUND(I411*1000000*K411/10000000,2)</f>
        <v>#REF!</v>
      </c>
      <c r="N411" s="1167"/>
      <c r="O411" s="1167"/>
    </row>
    <row r="412" spans="1:18" ht="16.5" x14ac:dyDescent="0.2">
      <c r="A412" s="1197" t="s">
        <v>537</v>
      </c>
      <c r="B412" s="1159"/>
      <c r="C412" s="1160"/>
      <c r="D412" s="1160"/>
      <c r="E412" s="1160"/>
      <c r="F412" s="1160"/>
      <c r="G412" s="1160"/>
      <c r="H412" s="1162" t="s">
        <v>411</v>
      </c>
      <c r="I412" s="1167">
        <f>+I413-I409-I410-I411</f>
        <v>206.06999999999988</v>
      </c>
      <c r="J412" s="1167"/>
      <c r="K412" s="1167" t="e">
        <f>+#REF!</f>
        <v>#REF!</v>
      </c>
      <c r="L412" s="1167"/>
      <c r="M412" s="1167" t="e">
        <f>ROUND(I412*1000000*K412/10000000,2)</f>
        <v>#REF!</v>
      </c>
      <c r="N412" s="1167"/>
      <c r="O412" s="1167"/>
    </row>
    <row r="413" spans="1:18" ht="16.5" x14ac:dyDescent="0.2">
      <c r="A413" s="1197" t="s">
        <v>537</v>
      </c>
      <c r="B413" s="1164"/>
      <c r="C413" s="1165"/>
      <c r="D413" s="1166" t="s">
        <v>486</v>
      </c>
      <c r="E413" s="1165">
        <f>ROUND(E420*49%,0)</f>
        <v>1640134</v>
      </c>
      <c r="F413" s="1165">
        <f>ROUND(F420*49%,0)</f>
        <v>1604594</v>
      </c>
      <c r="G413" s="1165">
        <f>SUM(G409:G412)</f>
        <v>2291360</v>
      </c>
      <c r="H413" s="1165"/>
      <c r="I413" s="1170">
        <f>ROUND(I420*65.45%,2)</f>
        <v>1144.8</v>
      </c>
      <c r="J413" s="1170"/>
      <c r="K413" s="1170"/>
      <c r="L413" s="1170" t="e">
        <f>SUM(L409:L412)</f>
        <v>#REF!</v>
      </c>
      <c r="M413" s="1170" t="e">
        <f>SUM(M409:M412)</f>
        <v>#REF!</v>
      </c>
      <c r="N413" s="1170" t="e">
        <f>L413+M413</f>
        <v>#REF!</v>
      </c>
      <c r="O413" s="1177" t="e">
        <f>ROUND(N413/I413*10,2)</f>
        <v>#REF!</v>
      </c>
      <c r="R413" s="1224" t="e">
        <f>+N413-#REF!</f>
        <v>#REF!</v>
      </c>
    </row>
    <row r="414" spans="1:18" ht="16.5" x14ac:dyDescent="0.2">
      <c r="A414" s="1197" t="s">
        <v>537</v>
      </c>
      <c r="B414" s="1163"/>
      <c r="C414" s="1163"/>
      <c r="D414" s="1163"/>
      <c r="E414" s="1163"/>
      <c r="F414" s="1163"/>
      <c r="G414" s="1163"/>
      <c r="H414" s="1163"/>
      <c r="I414" s="1176"/>
      <c r="J414" s="1176"/>
      <c r="K414" s="1176"/>
      <c r="L414" s="1176"/>
      <c r="M414" s="1176"/>
      <c r="N414" s="1176"/>
      <c r="O414" s="1176"/>
    </row>
    <row r="415" spans="1:18" ht="16.5" x14ac:dyDescent="0.2">
      <c r="A415" s="1197" t="s">
        <v>537</v>
      </c>
      <c r="B415" s="1159"/>
      <c r="C415" s="1160" t="s">
        <v>555</v>
      </c>
      <c r="D415" s="1160" t="s">
        <v>43</v>
      </c>
      <c r="E415" s="1160">
        <f>ROUND(E419*75%,0)</f>
        <v>1280309</v>
      </c>
      <c r="F415" s="1160">
        <f>ROUND(F419*75%,0)</f>
        <v>1252566</v>
      </c>
      <c r="G415" s="1160">
        <f>ROUND(F415*0.7,0)</f>
        <v>876796</v>
      </c>
      <c r="H415" s="1162" t="s">
        <v>426</v>
      </c>
      <c r="I415" s="1167">
        <f>ROUND(I419*77%,2)</f>
        <v>465.33</v>
      </c>
      <c r="J415" s="1167">
        <v>100</v>
      </c>
      <c r="K415" s="1167">
        <v>4.0999999999999996</v>
      </c>
      <c r="L415" s="1167">
        <f>ROUND((F415*J415*12)/10000000,2)</f>
        <v>150.31</v>
      </c>
      <c r="M415" s="1167">
        <f>ROUND(I415*1000000*K415/10000000,2)</f>
        <v>190.79</v>
      </c>
      <c r="N415" s="1167"/>
      <c r="O415" s="1167"/>
    </row>
    <row r="416" spans="1:18" ht="16.5" x14ac:dyDescent="0.2">
      <c r="A416" s="1197" t="s">
        <v>537</v>
      </c>
      <c r="B416" s="1159"/>
      <c r="C416" s="1160"/>
      <c r="D416" s="1160" t="s">
        <v>451</v>
      </c>
      <c r="E416" s="1160">
        <f>ROUND(E419*25%,0)-1</f>
        <v>426769</v>
      </c>
      <c r="F416" s="1160">
        <f>ROUND(F419*25%,0)</f>
        <v>417522</v>
      </c>
      <c r="G416" s="1160">
        <f>ROUND(F416*2.75,0)</f>
        <v>1148186</v>
      </c>
      <c r="H416" s="1162" t="s">
        <v>432</v>
      </c>
      <c r="I416" s="1167">
        <f>ROUND(I419*13%,2)</f>
        <v>78.56</v>
      </c>
      <c r="J416" s="1167">
        <v>110</v>
      </c>
      <c r="K416" s="1167">
        <v>5.6</v>
      </c>
      <c r="L416" s="1167">
        <f>ROUND(((F416*J415*12)+((G416-F416)*J416*12))/10000000,2)</f>
        <v>146.55000000000001</v>
      </c>
      <c r="M416" s="1167">
        <f>ROUND(I416*1000000*K416/10000000,2)</f>
        <v>43.99</v>
      </c>
      <c r="N416" s="1167"/>
      <c r="O416" s="1167"/>
    </row>
    <row r="417" spans="1:18" ht="16.5" x14ac:dyDescent="0.2">
      <c r="A417" s="1197" t="s">
        <v>537</v>
      </c>
      <c r="B417" s="1159"/>
      <c r="C417" s="1160"/>
      <c r="D417" s="1160" t="s">
        <v>444</v>
      </c>
      <c r="E417" s="1160">
        <f>+E419-E415-E416</f>
        <v>0</v>
      </c>
      <c r="F417" s="1160">
        <f>+F419-F415-F416</f>
        <v>0</v>
      </c>
      <c r="G417" s="1160">
        <f>ROUND(F417*0,0)</f>
        <v>0</v>
      </c>
      <c r="H417" s="1162" t="s">
        <v>380</v>
      </c>
      <c r="I417" s="1167">
        <f>ROUND(I419*4%,2)</f>
        <v>24.17</v>
      </c>
      <c r="J417" s="1167">
        <v>175</v>
      </c>
      <c r="K417" s="1167">
        <v>7.15</v>
      </c>
      <c r="L417" s="1167">
        <f>ROUND(((F417*J415*12)+(F417*49*12*J416)+((G417-(F417*50))*12*J417))/10000000,2)</f>
        <v>0</v>
      </c>
      <c r="M417" s="1167">
        <f>ROUND(I417*1000000*K417/10000000,2)</f>
        <v>17.28</v>
      </c>
      <c r="N417" s="1167"/>
      <c r="O417" s="1167"/>
    </row>
    <row r="418" spans="1:18" ht="16.5" x14ac:dyDescent="0.2">
      <c r="A418" s="1197" t="s">
        <v>537</v>
      </c>
      <c r="B418" s="1159"/>
      <c r="C418" s="1160"/>
      <c r="D418" s="1160"/>
      <c r="E418" s="1160"/>
      <c r="F418" s="1160"/>
      <c r="G418" s="1160"/>
      <c r="H418" s="1162" t="s">
        <v>411</v>
      </c>
      <c r="I418" s="1167">
        <f>+I419-I415-I416-I417</f>
        <v>36.259999999999948</v>
      </c>
      <c r="J418" s="1167"/>
      <c r="K418" s="1167">
        <v>8.1999999999999993</v>
      </c>
      <c r="L418" s="1167"/>
      <c r="M418" s="1167">
        <f>ROUND(I418*1000000*K418/10000000,2)</f>
        <v>29.73</v>
      </c>
      <c r="N418" s="1167"/>
      <c r="O418" s="1167"/>
    </row>
    <row r="419" spans="1:18" ht="16.5" x14ac:dyDescent="0.2">
      <c r="A419" s="1197" t="s">
        <v>537</v>
      </c>
      <c r="B419" s="1164"/>
      <c r="C419" s="1165"/>
      <c r="D419" s="1166" t="s">
        <v>486</v>
      </c>
      <c r="E419" s="1169">
        <f>E420-E413</f>
        <v>1707078</v>
      </c>
      <c r="F419" s="1169">
        <f>F420-F413</f>
        <v>1670088</v>
      </c>
      <c r="G419" s="1165">
        <f>SUM(G415:G418)</f>
        <v>2024982</v>
      </c>
      <c r="H419" s="1165"/>
      <c r="I419" s="1170">
        <f>I420-I413</f>
        <v>604.31999999999994</v>
      </c>
      <c r="J419" s="1170"/>
      <c r="K419" s="1170"/>
      <c r="L419" s="1170">
        <f>SUM(L415:L418)</f>
        <v>296.86</v>
      </c>
      <c r="M419" s="1170">
        <f>SUM(M415:M418)</f>
        <v>281.79000000000002</v>
      </c>
      <c r="N419" s="1170">
        <f>L419+M419</f>
        <v>578.65000000000009</v>
      </c>
      <c r="O419" s="1177">
        <f>ROUND(N419/I419*10,2)</f>
        <v>9.58</v>
      </c>
      <c r="R419" s="1224" t="e">
        <f>+N419-#REF!</f>
        <v>#REF!</v>
      </c>
    </row>
    <row r="420" spans="1:18" ht="16.5" x14ac:dyDescent="0.2">
      <c r="A420" s="1197" t="s">
        <v>537</v>
      </c>
      <c r="B420" s="1164">
        <v>2</v>
      </c>
      <c r="C420" s="1165" t="s">
        <v>490</v>
      </c>
      <c r="D420" s="1165"/>
      <c r="E420" s="1169">
        <f>Sales_FY24!$P$131</f>
        <v>3347212</v>
      </c>
      <c r="F420" s="1169">
        <f>Sales_FY24!$V$131</f>
        <v>3274682</v>
      </c>
      <c r="G420" s="1169">
        <f>G413+G419</f>
        <v>4316342</v>
      </c>
      <c r="H420" s="1165"/>
      <c r="I420" s="1170">
        <f>Sales_FY24!$Q$131</f>
        <v>1749.12</v>
      </c>
      <c r="J420" s="1170"/>
      <c r="K420" s="1170"/>
      <c r="L420" s="1170" t="e">
        <f>L413+L419</f>
        <v>#REF!</v>
      </c>
      <c r="M420" s="1170" t="e">
        <f>M413+M419</f>
        <v>#REF!</v>
      </c>
      <c r="N420" s="1170" t="e">
        <f>L420+M420</f>
        <v>#REF!</v>
      </c>
      <c r="O420" s="1177" t="e">
        <f>ROUND(N420/I420*10,2)</f>
        <v>#REF!</v>
      </c>
      <c r="R420" s="1224"/>
    </row>
    <row r="421" spans="1:18" ht="16.5" x14ac:dyDescent="0.2">
      <c r="A421" s="1197" t="s">
        <v>537</v>
      </c>
      <c r="B421" s="1163"/>
      <c r="C421" s="1163"/>
      <c r="D421" s="1163"/>
      <c r="E421" s="1163"/>
      <c r="F421" s="1163"/>
      <c r="G421" s="1163"/>
      <c r="H421" s="1163"/>
      <c r="I421" s="1176"/>
      <c r="J421" s="1176"/>
      <c r="K421" s="1176"/>
      <c r="L421" s="1176"/>
      <c r="M421" s="1176"/>
      <c r="N421" s="1176"/>
      <c r="O421" s="1176"/>
    </row>
    <row r="422" spans="1:18" ht="16.5" x14ac:dyDescent="0.2">
      <c r="A422" s="1197" t="s">
        <v>537</v>
      </c>
      <c r="B422" s="1159"/>
      <c r="C422" s="1160" t="s">
        <v>491</v>
      </c>
      <c r="D422" s="1160" t="s">
        <v>492</v>
      </c>
      <c r="E422" s="1160">
        <f>ROUND(E425*63%,0)</f>
        <v>3393</v>
      </c>
      <c r="F422" s="1160">
        <f>ROUND(F425*63%,0)</f>
        <v>3345</v>
      </c>
      <c r="G422" s="1160">
        <f>ROUND(F422*3.5,0)</f>
        <v>11708</v>
      </c>
      <c r="H422" s="1162" t="s">
        <v>493</v>
      </c>
      <c r="I422" s="1167">
        <f>ROUND(I425*42%,2)</f>
        <v>8</v>
      </c>
      <c r="J422" s="1167" t="e">
        <f>+#REF!</f>
        <v>#REF!</v>
      </c>
      <c r="K422" s="1167" t="e">
        <f>+#REF!</f>
        <v>#REF!</v>
      </c>
      <c r="L422" s="1167" t="e">
        <f>ROUND(G422*J422*12/10000000,2)</f>
        <v>#REF!</v>
      </c>
      <c r="M422" s="1167" t="e">
        <f>ROUND(I422*1000000*K422/10000000,2)</f>
        <v>#REF!</v>
      </c>
      <c r="N422" s="1167"/>
      <c r="O422" s="1167"/>
    </row>
    <row r="423" spans="1:18" ht="16.5" x14ac:dyDescent="0.2">
      <c r="A423" s="1197" t="s">
        <v>537</v>
      </c>
      <c r="B423" s="1159"/>
      <c r="C423" s="1160"/>
      <c r="D423" s="1160" t="s">
        <v>444</v>
      </c>
      <c r="E423" s="1160">
        <f>E425-E422</f>
        <v>1993</v>
      </c>
      <c r="F423" s="1160">
        <f>F425-F422</f>
        <v>1965</v>
      </c>
      <c r="G423" s="1160">
        <f>ROUND(F423*55,0)</f>
        <v>108075</v>
      </c>
      <c r="H423" s="1162" t="s">
        <v>411</v>
      </c>
      <c r="I423" s="1167">
        <f>I425-I422</f>
        <v>11.04</v>
      </c>
      <c r="J423" s="1167" t="e">
        <f>+#REF!</f>
        <v>#REF!</v>
      </c>
      <c r="K423" s="1167" t="e">
        <f>+#REF!</f>
        <v>#REF!</v>
      </c>
      <c r="L423" s="1167" t="e">
        <f>ROUND(((F423*J422*50*12)+((G423-(F423*50))*J423*12))/10000000,2)</f>
        <v>#REF!</v>
      </c>
      <c r="M423" s="1167" t="e">
        <f>ROUND(I423*1000000*K423/10000000,2)</f>
        <v>#REF!</v>
      </c>
      <c r="N423" s="1167"/>
      <c r="O423" s="1167"/>
    </row>
    <row r="424" spans="1:18" ht="16.5" x14ac:dyDescent="0.2">
      <c r="A424" s="1197" t="s">
        <v>537</v>
      </c>
      <c r="B424" s="1159"/>
      <c r="C424" s="1160"/>
      <c r="D424" s="1160" t="s">
        <v>556</v>
      </c>
      <c r="E424" s="1160"/>
      <c r="F424" s="1160"/>
      <c r="G424" s="1160"/>
      <c r="H424" s="1162"/>
      <c r="I424" s="1167"/>
      <c r="J424" s="1186" t="e">
        <f>+#REF!</f>
        <v>#REF!</v>
      </c>
      <c r="K424" s="1167"/>
      <c r="L424" s="1167"/>
      <c r="M424" s="1167"/>
      <c r="N424" s="1167"/>
      <c r="O424" s="1167"/>
    </row>
    <row r="425" spans="1:18" ht="16.5" x14ac:dyDescent="0.2">
      <c r="A425" s="1197" t="s">
        <v>537</v>
      </c>
      <c r="B425" s="1164"/>
      <c r="C425" s="1165"/>
      <c r="D425" s="1166" t="s">
        <v>486</v>
      </c>
      <c r="E425" s="1165">
        <f>ROUND(E431*66.36%,0)</f>
        <v>5386</v>
      </c>
      <c r="F425" s="1165">
        <f>ROUND(F431*66.36%,0)</f>
        <v>5310</v>
      </c>
      <c r="G425" s="1165">
        <f>SUM(G422:G423)</f>
        <v>119783</v>
      </c>
      <c r="H425" s="1165"/>
      <c r="I425" s="1170">
        <f>ROUND(I431*77%,2)</f>
        <v>19.04</v>
      </c>
      <c r="J425" s="1170"/>
      <c r="K425" s="1170"/>
      <c r="L425" s="1170" t="e">
        <f>SUM(L422:L423)</f>
        <v>#REF!</v>
      </c>
      <c r="M425" s="1170" t="e">
        <f>SUM(M422:M423)</f>
        <v>#REF!</v>
      </c>
      <c r="N425" s="1170" t="e">
        <f>L425+M425</f>
        <v>#REF!</v>
      </c>
      <c r="O425" s="1177" t="e">
        <f>ROUND(N425/I425*10,2)</f>
        <v>#REF!</v>
      </c>
      <c r="R425" s="1224" t="e">
        <f>+N425-#REF!</f>
        <v>#REF!</v>
      </c>
    </row>
    <row r="426" spans="1:18" ht="16.5" x14ac:dyDescent="0.2">
      <c r="A426" s="1197" t="s">
        <v>537</v>
      </c>
      <c r="B426" s="1163"/>
      <c r="C426" s="1163"/>
      <c r="D426" s="1163"/>
      <c r="E426" s="1163"/>
      <c r="F426" s="1163"/>
      <c r="G426" s="1163"/>
      <c r="H426" s="1163"/>
      <c r="I426" s="1176"/>
      <c r="J426" s="1176"/>
      <c r="K426" s="1176"/>
      <c r="L426" s="1176"/>
      <c r="M426" s="1176"/>
      <c r="N426" s="1176"/>
      <c r="O426" s="1176"/>
    </row>
    <row r="427" spans="1:18" ht="16.5" x14ac:dyDescent="0.2">
      <c r="A427" s="1197" t="s">
        <v>537</v>
      </c>
      <c r="B427" s="1159"/>
      <c r="C427" s="1160" t="s">
        <v>554</v>
      </c>
      <c r="D427" s="1160" t="s">
        <v>492</v>
      </c>
      <c r="E427" s="1160">
        <f>ROUND(E430*68%,0)</f>
        <v>1856</v>
      </c>
      <c r="F427" s="1160">
        <f>ROUND(F430*68%,0)</f>
        <v>1831</v>
      </c>
      <c r="G427" s="1160">
        <f>ROUND(F427*2,0)</f>
        <v>3662</v>
      </c>
      <c r="H427" s="1162" t="s">
        <v>493</v>
      </c>
      <c r="I427" s="1167">
        <f>ROUND(I430*33.08%,2)</f>
        <v>1.88</v>
      </c>
      <c r="J427" s="1167">
        <v>120</v>
      </c>
      <c r="K427" s="1167">
        <v>7.3</v>
      </c>
      <c r="L427" s="1167">
        <f>ROUND(G427*J427*12/10000000,2)</f>
        <v>0.53</v>
      </c>
      <c r="M427" s="1167">
        <f>ROUND(I427*1000000*K427/10000000,2)</f>
        <v>1.37</v>
      </c>
      <c r="N427" s="1167"/>
      <c r="O427" s="1167"/>
    </row>
    <row r="428" spans="1:18" ht="16.5" x14ac:dyDescent="0.2">
      <c r="A428" s="1197" t="s">
        <v>537</v>
      </c>
      <c r="B428" s="1159"/>
      <c r="C428" s="1160"/>
      <c r="D428" s="1160" t="s">
        <v>444</v>
      </c>
      <c r="E428" s="1160">
        <f>E430-E427</f>
        <v>874</v>
      </c>
      <c r="F428" s="1160">
        <f>F430-F427</f>
        <v>861</v>
      </c>
      <c r="G428" s="1160">
        <f>ROUND(F428*52,0)</f>
        <v>44772</v>
      </c>
      <c r="H428" s="1162" t="s">
        <v>411</v>
      </c>
      <c r="I428" s="1167">
        <f>I430-I427</f>
        <v>3.8100000000000014</v>
      </c>
      <c r="J428" s="1167">
        <v>175</v>
      </c>
      <c r="K428" s="1167">
        <v>8.5500000000000007</v>
      </c>
      <c r="L428" s="1167">
        <f>ROUND(((F428*J427*50*12)+((G428-(F428*50))*J428*12))/10000000,2)</f>
        <v>6.56</v>
      </c>
      <c r="M428" s="1167">
        <f>ROUND(I428*1000000*K428/10000000,2)</f>
        <v>3.26</v>
      </c>
      <c r="N428" s="1167"/>
      <c r="O428" s="1167"/>
    </row>
    <row r="429" spans="1:18" ht="16.5" x14ac:dyDescent="0.2">
      <c r="A429" s="1197" t="s">
        <v>537</v>
      </c>
      <c r="B429" s="1159"/>
      <c r="C429" s="1160"/>
      <c r="D429" s="1160" t="s">
        <v>556</v>
      </c>
      <c r="E429" s="1160"/>
      <c r="F429" s="1160"/>
      <c r="G429" s="1160"/>
      <c r="H429" s="1162"/>
      <c r="I429" s="1167"/>
      <c r="J429" s="1186">
        <v>150</v>
      </c>
      <c r="K429" s="1167"/>
      <c r="L429" s="1167"/>
      <c r="M429" s="1167"/>
      <c r="N429" s="1167"/>
      <c r="O429" s="1167"/>
    </row>
    <row r="430" spans="1:18" ht="16.5" x14ac:dyDescent="0.2">
      <c r="A430" s="1197" t="s">
        <v>537</v>
      </c>
      <c r="B430" s="1164"/>
      <c r="C430" s="1165"/>
      <c r="D430" s="1166" t="s">
        <v>486</v>
      </c>
      <c r="E430" s="1169">
        <f>E431-E425</f>
        <v>2730</v>
      </c>
      <c r="F430" s="1169">
        <f>F431-F425</f>
        <v>2692</v>
      </c>
      <c r="G430" s="1165">
        <f>SUM(G427:G428)</f>
        <v>48434</v>
      </c>
      <c r="H430" s="1165"/>
      <c r="I430" s="1170">
        <f>I431-I425</f>
        <v>5.6900000000000013</v>
      </c>
      <c r="J430" s="1170"/>
      <c r="K430" s="1170"/>
      <c r="L430" s="1170">
        <f>SUM(L427:L428)</f>
        <v>7.09</v>
      </c>
      <c r="M430" s="1170">
        <f>SUM(M427:M428)</f>
        <v>4.63</v>
      </c>
      <c r="N430" s="1170">
        <f>L430+M430</f>
        <v>11.719999999999999</v>
      </c>
      <c r="O430" s="1177">
        <f>ROUND(N430/I430*10,2)</f>
        <v>20.6</v>
      </c>
      <c r="R430" s="1224" t="e">
        <f>+N430-#REF!</f>
        <v>#REF!</v>
      </c>
    </row>
    <row r="431" spans="1:18" ht="16.5" x14ac:dyDescent="0.2">
      <c r="A431" s="1197" t="s">
        <v>537</v>
      </c>
      <c r="B431" s="1164">
        <v>3</v>
      </c>
      <c r="C431" s="1165" t="s">
        <v>553</v>
      </c>
      <c r="D431" s="1165"/>
      <c r="E431" s="1169">
        <f>Sales_FY24!$P$132</f>
        <v>8116</v>
      </c>
      <c r="F431" s="1169">
        <f>Sales_FY24!$V$132</f>
        <v>8002</v>
      </c>
      <c r="G431" s="1169">
        <f>G422+G430</f>
        <v>60142</v>
      </c>
      <c r="H431" s="1165"/>
      <c r="I431" s="1170">
        <f>Sales_FY24!$Q$132</f>
        <v>24.73</v>
      </c>
      <c r="J431" s="1170"/>
      <c r="K431" s="1170"/>
      <c r="L431" s="1170" t="e">
        <f>L425+L430</f>
        <v>#REF!</v>
      </c>
      <c r="M431" s="1170" t="e">
        <f>M425+M430</f>
        <v>#REF!</v>
      </c>
      <c r="N431" s="1170" t="e">
        <f>L431+M431</f>
        <v>#REF!</v>
      </c>
      <c r="O431" s="1177" t="e">
        <f>ROUND(N431/I431*10,2)</f>
        <v>#REF!</v>
      </c>
    </row>
    <row r="432" spans="1:18" ht="16.5" x14ac:dyDescent="0.2">
      <c r="A432" s="1197" t="s">
        <v>537</v>
      </c>
      <c r="B432" s="1163"/>
      <c r="C432" s="1163"/>
      <c r="D432" s="1163"/>
      <c r="E432" s="1163"/>
      <c r="F432" s="1163"/>
      <c r="G432" s="1163"/>
      <c r="H432" s="1163"/>
      <c r="I432" s="1176"/>
      <c r="J432" s="1176"/>
      <c r="K432" s="1176"/>
      <c r="L432" s="1176"/>
      <c r="M432" s="1176"/>
      <c r="N432" s="1176"/>
      <c r="O432" s="1176"/>
    </row>
    <row r="433" spans="1:18" ht="16.5" x14ac:dyDescent="0.2">
      <c r="A433" s="1197" t="s">
        <v>537</v>
      </c>
      <c r="B433" s="1159"/>
      <c r="C433" s="1160" t="s">
        <v>69</v>
      </c>
      <c r="D433" s="1160" t="s">
        <v>492</v>
      </c>
      <c r="E433" s="1160">
        <f>ROUND(E435*100%,0)</f>
        <v>336891</v>
      </c>
      <c r="F433" s="1160">
        <f>ROUND(F435*100%,0)</f>
        <v>328412</v>
      </c>
      <c r="G433" s="1160">
        <f>ROUND(F433*2.5,0)</f>
        <v>821030</v>
      </c>
      <c r="H433" s="1162" t="s">
        <v>426</v>
      </c>
      <c r="I433" s="1167">
        <f>ROUND(I435*22%,2)</f>
        <v>80.7</v>
      </c>
      <c r="J433" s="1167" t="e">
        <f>+#REF!</f>
        <v>#REF!</v>
      </c>
      <c r="K433" s="1167" t="e">
        <f>+#REF!</f>
        <v>#REF!</v>
      </c>
      <c r="L433" s="1167" t="e">
        <f>ROUND(G433*J433*12/10000000,2)</f>
        <v>#REF!</v>
      </c>
      <c r="M433" s="1167" t="e">
        <f>ROUND(I433*1000000*K433/10000000,2)</f>
        <v>#REF!</v>
      </c>
      <c r="N433" s="1167"/>
      <c r="O433" s="1167"/>
    </row>
    <row r="434" spans="1:18" ht="16.5" x14ac:dyDescent="0.2">
      <c r="A434" s="1197" t="s">
        <v>537</v>
      </c>
      <c r="B434" s="1159"/>
      <c r="C434" s="1160"/>
      <c r="D434" s="1160" t="s">
        <v>444</v>
      </c>
      <c r="E434" s="1160">
        <f>E435-E433</f>
        <v>0</v>
      </c>
      <c r="F434" s="1160">
        <f>F435-F433</f>
        <v>0</v>
      </c>
      <c r="G434" s="1160">
        <f>ROUND(F434*0,0)</f>
        <v>0</v>
      </c>
      <c r="H434" s="1162" t="s">
        <v>558</v>
      </c>
      <c r="I434" s="1167">
        <f>I435-I433</f>
        <v>286.13</v>
      </c>
      <c r="J434" s="1167" t="e">
        <f>+#REF!</f>
        <v>#REF!</v>
      </c>
      <c r="K434" s="1167" t="e">
        <f>+#REF!</f>
        <v>#REF!</v>
      </c>
      <c r="L434" s="1167" t="e">
        <f>ROUND(((F434*J433*50*12)+((G434-(F434*50))*J434*12))/10000000,2)</f>
        <v>#REF!</v>
      </c>
      <c r="M434" s="1167" t="e">
        <f>ROUND(I434*1000000*K434/10000000,2)</f>
        <v>#REF!</v>
      </c>
      <c r="N434" s="1167"/>
      <c r="O434" s="1167"/>
    </row>
    <row r="435" spans="1:18" ht="16.5" x14ac:dyDescent="0.2">
      <c r="A435" s="1197" t="s">
        <v>537</v>
      </c>
      <c r="B435" s="1164"/>
      <c r="C435" s="1165"/>
      <c r="D435" s="1166" t="s">
        <v>486</v>
      </c>
      <c r="E435" s="1165">
        <f>ROUND(E440*69.67%,0)</f>
        <v>336891</v>
      </c>
      <c r="F435" s="1165">
        <f>ROUND(F440*69.67%,0)</f>
        <v>328412</v>
      </c>
      <c r="G435" s="1165">
        <f>SUM(G433:G434)</f>
        <v>821030</v>
      </c>
      <c r="H435" s="1165"/>
      <c r="I435" s="1170">
        <f>ROUND(I440*66.5%,2)</f>
        <v>366.83</v>
      </c>
      <c r="J435" s="1170"/>
      <c r="K435" s="1170"/>
      <c r="L435" s="1170" t="e">
        <f>SUM(L433:L434)</f>
        <v>#REF!</v>
      </c>
      <c r="M435" s="1170" t="e">
        <f>SUM(M433:M434)</f>
        <v>#REF!</v>
      </c>
      <c r="N435" s="1170" t="e">
        <f>L435+M435</f>
        <v>#REF!</v>
      </c>
      <c r="O435" s="1177" t="e">
        <f>ROUND(N435/I435*10,2)</f>
        <v>#REF!</v>
      </c>
      <c r="R435" s="1224" t="e">
        <f>+N435-#REF!</f>
        <v>#REF!</v>
      </c>
    </row>
    <row r="436" spans="1:18" ht="16.5" x14ac:dyDescent="0.2">
      <c r="A436" s="1197" t="s">
        <v>537</v>
      </c>
      <c r="B436" s="1163"/>
      <c r="C436" s="1163"/>
      <c r="D436" s="1163"/>
      <c r="E436" s="1163"/>
      <c r="F436" s="1163"/>
      <c r="G436" s="1163"/>
      <c r="H436" s="1163"/>
      <c r="I436" s="1176"/>
      <c r="J436" s="1176"/>
      <c r="K436" s="1176"/>
      <c r="L436" s="1176"/>
      <c r="M436" s="1176"/>
      <c r="N436" s="1176"/>
      <c r="O436" s="1176"/>
    </row>
    <row r="437" spans="1:18" ht="16.5" x14ac:dyDescent="0.2">
      <c r="A437" s="1197" t="s">
        <v>537</v>
      </c>
      <c r="B437" s="1159"/>
      <c r="C437" s="1160" t="s">
        <v>76</v>
      </c>
      <c r="D437" s="1160" t="s">
        <v>492</v>
      </c>
      <c r="E437" s="1160">
        <f>ROUND(E439*100%,0)</f>
        <v>146661</v>
      </c>
      <c r="F437" s="1160">
        <f>ROUND(F439*100%,0)</f>
        <v>142970</v>
      </c>
      <c r="G437" s="1160">
        <f>ROUND(F437*1.5,0)</f>
        <v>214455</v>
      </c>
      <c r="H437" s="1162" t="s">
        <v>426</v>
      </c>
      <c r="I437" s="1167">
        <f>ROUND(I439*15.3%,2)</f>
        <v>28.27</v>
      </c>
      <c r="J437" s="1167">
        <v>125</v>
      </c>
      <c r="K437" s="1167">
        <v>8.4</v>
      </c>
      <c r="L437" s="1167">
        <f>ROUND(G437*J437*12/10000000,2)</f>
        <v>32.17</v>
      </c>
      <c r="M437" s="1167">
        <f>ROUND(I437*1000000*K437/10000000,2)</f>
        <v>23.75</v>
      </c>
      <c r="N437" s="1167"/>
      <c r="O437" s="1167"/>
    </row>
    <row r="438" spans="1:18" ht="16.5" x14ac:dyDescent="0.2">
      <c r="A438" s="1197" t="s">
        <v>537</v>
      </c>
      <c r="B438" s="1159"/>
      <c r="C438" s="1160"/>
      <c r="D438" s="1160" t="s">
        <v>444</v>
      </c>
      <c r="E438" s="1160">
        <f>E439-E437</f>
        <v>0</v>
      </c>
      <c r="F438" s="1160">
        <f>F439-F437</f>
        <v>0</v>
      </c>
      <c r="G438" s="1160">
        <f>ROUND(F438*0,0)</f>
        <v>0</v>
      </c>
      <c r="H438" s="1162" t="s">
        <v>558</v>
      </c>
      <c r="I438" s="1167">
        <f>I439-I437</f>
        <v>156.53</v>
      </c>
      <c r="J438" s="1167">
        <v>230</v>
      </c>
      <c r="K438" s="1167">
        <v>9.4</v>
      </c>
      <c r="L438" s="1167">
        <f>ROUND(((F438*J437*50*12)+((G438-(F438*50))*J438*12))/10000000,2)</f>
        <v>0</v>
      </c>
      <c r="M438" s="1167">
        <f>ROUND(I438*1000000*K438/10000000,2)</f>
        <v>147.13999999999999</v>
      </c>
      <c r="N438" s="1167"/>
      <c r="O438" s="1167"/>
    </row>
    <row r="439" spans="1:18" ht="16.5" x14ac:dyDescent="0.2">
      <c r="A439" s="1197" t="s">
        <v>537</v>
      </c>
      <c r="B439" s="1164"/>
      <c r="C439" s="1165"/>
      <c r="D439" s="1166" t="s">
        <v>486</v>
      </c>
      <c r="E439" s="1169">
        <f>E440-E435</f>
        <v>146661</v>
      </c>
      <c r="F439" s="1169">
        <f>F440-F435</f>
        <v>142970</v>
      </c>
      <c r="G439" s="1165">
        <f>SUM(G437:G438)</f>
        <v>214455</v>
      </c>
      <c r="H439" s="1165"/>
      <c r="I439" s="1170">
        <f>I440-I435</f>
        <v>184.8</v>
      </c>
      <c r="J439" s="1170"/>
      <c r="K439" s="1170"/>
      <c r="L439" s="1170">
        <f>SUM(L437:L438)</f>
        <v>32.17</v>
      </c>
      <c r="M439" s="1170">
        <f>SUM(M437:M438)</f>
        <v>170.89</v>
      </c>
      <c r="N439" s="1170">
        <f>L439+M439</f>
        <v>203.06</v>
      </c>
      <c r="O439" s="1177">
        <f>ROUND(N439/I439*10,2)</f>
        <v>10.99</v>
      </c>
      <c r="R439" s="1224" t="e">
        <f>+N439-#REF!</f>
        <v>#REF!</v>
      </c>
    </row>
    <row r="440" spans="1:18" ht="16.5" x14ac:dyDescent="0.2">
      <c r="A440" s="1197" t="s">
        <v>537</v>
      </c>
      <c r="B440" s="1164">
        <v>4</v>
      </c>
      <c r="C440" s="1165" t="s">
        <v>557</v>
      </c>
      <c r="D440" s="1165"/>
      <c r="E440" s="1169">
        <f>Sales_FY24!$P$133</f>
        <v>483552</v>
      </c>
      <c r="F440" s="1169">
        <f>Sales_FY24!$V$133</f>
        <v>471382</v>
      </c>
      <c r="G440" s="1169">
        <f>G435+G439</f>
        <v>1035485</v>
      </c>
      <c r="H440" s="1165"/>
      <c r="I440" s="1170">
        <f>Sales_FY24!$Q$133</f>
        <v>551.63</v>
      </c>
      <c r="J440" s="1170"/>
      <c r="K440" s="1170"/>
      <c r="L440" s="1170" t="e">
        <f>L435+L439</f>
        <v>#REF!</v>
      </c>
      <c r="M440" s="1170" t="e">
        <f>M435+M439</f>
        <v>#REF!</v>
      </c>
      <c r="N440" s="1170" t="e">
        <f>L440+M440</f>
        <v>#REF!</v>
      </c>
      <c r="O440" s="1177" t="e">
        <f>ROUND(N440/I440*10,2)</f>
        <v>#REF!</v>
      </c>
    </row>
    <row r="441" spans="1:18" ht="16.5" x14ac:dyDescent="0.2">
      <c r="A441" s="1197" t="s">
        <v>537</v>
      </c>
      <c r="B441" s="1163"/>
      <c r="C441" s="1163"/>
      <c r="D441" s="1163"/>
      <c r="E441" s="1163"/>
      <c r="F441" s="1163"/>
      <c r="G441" s="1163"/>
      <c r="H441" s="1163"/>
      <c r="I441" s="1176"/>
      <c r="J441" s="1176"/>
      <c r="K441" s="1176"/>
      <c r="L441" s="1176"/>
      <c r="M441" s="1176"/>
      <c r="N441" s="1176"/>
      <c r="O441" s="1176"/>
    </row>
    <row r="442" spans="1:18" ht="16.5" x14ac:dyDescent="0.2">
      <c r="A442" s="1197" t="s">
        <v>537</v>
      </c>
      <c r="B442" s="1159"/>
      <c r="C442" s="1160" t="s">
        <v>559</v>
      </c>
      <c r="D442" s="1160" t="s">
        <v>560</v>
      </c>
      <c r="E442" s="1160">
        <f>Sales_FY24!$P$134</f>
        <v>1021548</v>
      </c>
      <c r="F442" s="1160">
        <f>Sales_FY24!$V$134</f>
        <v>1012927</v>
      </c>
      <c r="G442" s="1160">
        <f>ROUND(F442*6.75,0)</f>
        <v>6837257</v>
      </c>
      <c r="H442" s="1162" t="s">
        <v>561</v>
      </c>
      <c r="I442" s="1167">
        <f>Sales_FY24!$Q$134</f>
        <v>6902.41</v>
      </c>
      <c r="J442" s="1167"/>
      <c r="K442" s="1167" t="e">
        <f>+#REF!</f>
        <v>#REF!</v>
      </c>
      <c r="L442" s="1167">
        <f>ROUND(G442*J442*12/10000000,2)</f>
        <v>0</v>
      </c>
      <c r="M442" s="1167" t="e">
        <f>ROUND(I442*1000000*K442/10000000,2)</f>
        <v>#REF!</v>
      </c>
      <c r="N442" s="1167" t="e">
        <f>L442+M442</f>
        <v>#REF!</v>
      </c>
      <c r="O442" s="1192" t="e">
        <f>ROUND(N442/I442*10,2)</f>
        <v>#REF!</v>
      </c>
    </row>
    <row r="443" spans="1:18" ht="16.5" x14ac:dyDescent="0.2">
      <c r="A443" s="1197" t="s">
        <v>537</v>
      </c>
      <c r="B443" s="1159"/>
      <c r="C443" s="1160" t="s">
        <v>562</v>
      </c>
      <c r="D443" s="1160" t="s">
        <v>563</v>
      </c>
      <c r="E443" s="1168">
        <f>Sales_FY24!$P$135</f>
        <v>934</v>
      </c>
      <c r="F443" s="1160">
        <f>Sales_FY24!$V$135</f>
        <v>933</v>
      </c>
      <c r="G443" s="1160">
        <f>ROUND(F443*26.45,0)</f>
        <v>24678</v>
      </c>
      <c r="H443" s="1162" t="s">
        <v>561</v>
      </c>
      <c r="I443" s="1167">
        <f>Sales_FY24!$Q$135</f>
        <v>16.41</v>
      </c>
      <c r="J443" s="1167" t="e">
        <f>+#REF!</f>
        <v>#REF!</v>
      </c>
      <c r="K443" s="1167" t="e">
        <f>+#REF!</f>
        <v>#REF!</v>
      </c>
      <c r="L443" s="1167" t="e">
        <f>ROUND(G443*J443*12/10000000,2)</f>
        <v>#REF!</v>
      </c>
      <c r="M443" s="1167" t="e">
        <f>ROUND(I443*1000000*K443/10000000,2)</f>
        <v>#REF!</v>
      </c>
      <c r="N443" s="1167" t="e">
        <f>L443+M443</f>
        <v>#REF!</v>
      </c>
      <c r="O443" s="1192" t="e">
        <f>ROUND(N443/I443*10,2)</f>
        <v>#REF!</v>
      </c>
    </row>
    <row r="444" spans="1:18" ht="16.5" x14ac:dyDescent="0.2">
      <c r="A444" s="1197" t="s">
        <v>537</v>
      </c>
      <c r="B444" s="1159"/>
      <c r="C444" s="1160" t="s">
        <v>564</v>
      </c>
      <c r="D444" s="1160" t="s">
        <v>565</v>
      </c>
      <c r="E444" s="1168">
        <f>Sales_FY24!$P$136</f>
        <v>560</v>
      </c>
      <c r="F444" s="1160">
        <f>Sales_FY24!$V$136</f>
        <v>540</v>
      </c>
      <c r="G444" s="1160">
        <f>ROUND(F444*7.25,0)</f>
        <v>3915</v>
      </c>
      <c r="H444" s="1162" t="s">
        <v>561</v>
      </c>
      <c r="I444" s="1167">
        <f>Sales_FY24!$Q$136</f>
        <v>0.9</v>
      </c>
      <c r="J444" s="1167" t="e">
        <f>+#REF!</f>
        <v>#REF!</v>
      </c>
      <c r="K444" s="1167" t="e">
        <f>+#REF!</f>
        <v>#REF!</v>
      </c>
      <c r="L444" s="1167" t="e">
        <f>ROUND(G444*J444*12/10000000,2)</f>
        <v>#REF!</v>
      </c>
      <c r="M444" s="1167" t="e">
        <f>ROUND(I444*1000000*K444/10000000,2)</f>
        <v>#REF!</v>
      </c>
      <c r="N444" s="1167" t="e">
        <f>L444+M444</f>
        <v>#REF!</v>
      </c>
      <c r="O444" s="1192" t="e">
        <f>ROUND(N444/I444*10,2)</f>
        <v>#REF!</v>
      </c>
    </row>
    <row r="445" spans="1:18" ht="16.5" x14ac:dyDescent="0.2">
      <c r="A445" s="1197" t="s">
        <v>537</v>
      </c>
      <c r="B445" s="1164">
        <v>5</v>
      </c>
      <c r="C445" s="1165" t="s">
        <v>566</v>
      </c>
      <c r="D445" s="1165"/>
      <c r="E445" s="1169">
        <f>SUM(E442:E444)</f>
        <v>1023042</v>
      </c>
      <c r="F445" s="1169">
        <f>SUM(F442:F444)</f>
        <v>1014400</v>
      </c>
      <c r="G445" s="1169">
        <f>SUM(G442:G444)</f>
        <v>6865850</v>
      </c>
      <c r="H445" s="1165"/>
      <c r="I445" s="1170">
        <f>SUM(I442:I444)</f>
        <v>6919.7199999999993</v>
      </c>
      <c r="J445" s="1170"/>
      <c r="K445" s="1170"/>
      <c r="L445" s="1170" t="e">
        <f>SUM(L442:L444)</f>
        <v>#REF!</v>
      </c>
      <c r="M445" s="1170" t="e">
        <f>SUM(M442:M444)</f>
        <v>#REF!</v>
      </c>
      <c r="N445" s="1170" t="e">
        <f>SUM(N442:N444)</f>
        <v>#REF!</v>
      </c>
      <c r="O445" s="1177" t="e">
        <f>ROUND(N445/I445*10,2)</f>
        <v>#REF!</v>
      </c>
    </row>
    <row r="446" spans="1:18" ht="16.5" x14ac:dyDescent="0.2">
      <c r="A446" s="1197" t="s">
        <v>537</v>
      </c>
      <c r="B446" s="1163"/>
      <c r="C446" s="1163"/>
      <c r="D446" s="1163"/>
      <c r="E446" s="1163"/>
      <c r="F446" s="1163"/>
      <c r="G446" s="1163"/>
      <c r="H446" s="1163"/>
      <c r="I446" s="1176"/>
      <c r="J446" s="1176"/>
      <c r="K446" s="1176"/>
      <c r="L446" s="1176"/>
      <c r="M446" s="1176"/>
      <c r="N446" s="1176"/>
      <c r="O446" s="1176"/>
    </row>
    <row r="447" spans="1:18" ht="16.5" x14ac:dyDescent="0.2">
      <c r="A447" s="1197" t="s">
        <v>537</v>
      </c>
      <c r="B447" s="1159"/>
      <c r="C447" s="1160" t="s">
        <v>9</v>
      </c>
      <c r="D447" s="1160" t="s">
        <v>568</v>
      </c>
      <c r="E447" s="1160">
        <f>ROUND(E452*65%,0)</f>
        <v>24272</v>
      </c>
      <c r="F447" s="1160">
        <f>ROUND(F452*65%,0)</f>
        <v>23804</v>
      </c>
      <c r="G447" s="1160">
        <f>ROUND(F447*4.4,0)</f>
        <v>104738</v>
      </c>
      <c r="H447" s="1162" t="s">
        <v>573</v>
      </c>
      <c r="I447" s="1167">
        <f>ROUND(I452*60%,2)</f>
        <v>76.88</v>
      </c>
      <c r="J447" s="1167" t="e">
        <f>+#REF!</f>
        <v>#REF!</v>
      </c>
      <c r="K447" s="1167" t="e">
        <f>+#REF!</f>
        <v>#REF!</v>
      </c>
      <c r="L447" s="1167" t="e">
        <f>ROUND(G447*J447*12/10000000,2)</f>
        <v>#REF!</v>
      </c>
      <c r="M447" s="1167" t="e">
        <f>ROUND(I447*1000000*K447/10000000,2)</f>
        <v>#REF!</v>
      </c>
      <c r="N447" s="1167"/>
      <c r="O447" s="1167"/>
    </row>
    <row r="448" spans="1:18" ht="16.5" x14ac:dyDescent="0.2">
      <c r="A448" s="1197" t="s">
        <v>537</v>
      </c>
      <c r="B448" s="1159"/>
      <c r="C448" s="1160"/>
      <c r="D448" s="1160" t="s">
        <v>569</v>
      </c>
      <c r="E448" s="1160">
        <f>ROUND(E452*25%,0)</f>
        <v>9335</v>
      </c>
      <c r="F448" s="1160">
        <f>ROUND(F452*25%,0)-1</f>
        <v>9155</v>
      </c>
      <c r="G448" s="1160">
        <f>ROUND(F448*16.2,0)</f>
        <v>148311</v>
      </c>
      <c r="H448" s="1162" t="s">
        <v>574</v>
      </c>
      <c r="I448" s="1167">
        <f>ROUND(I452*25%,2)</f>
        <v>32.03</v>
      </c>
      <c r="J448" s="1167" t="e">
        <f>+#REF!</f>
        <v>#REF!</v>
      </c>
      <c r="K448" s="1167" t="e">
        <f>+#REF!</f>
        <v>#REF!</v>
      </c>
      <c r="L448" s="1167" t="e">
        <f>ROUND(G448*J448*12/10000000,2)</f>
        <v>#REF!</v>
      </c>
      <c r="M448" s="1167" t="e">
        <f>ROUND(I448*1000000*K448/10000000,2)</f>
        <v>#REF!</v>
      </c>
      <c r="N448" s="1167"/>
      <c r="O448" s="1167"/>
    </row>
    <row r="449" spans="1:18" ht="16.5" x14ac:dyDescent="0.2">
      <c r="A449" s="1197" t="s">
        <v>537</v>
      </c>
      <c r="B449" s="1159"/>
      <c r="C449" s="1160"/>
      <c r="D449" s="1160" t="s">
        <v>570</v>
      </c>
      <c r="E449" s="1160">
        <f>ROUND(E452*7%,0)</f>
        <v>2614</v>
      </c>
      <c r="F449" s="1160">
        <f>ROUND(F452*7%,0)</f>
        <v>2564</v>
      </c>
      <c r="G449" s="1160">
        <f>ROUND(F449*58,0)</f>
        <v>148712</v>
      </c>
      <c r="H449" s="1162" t="s">
        <v>575</v>
      </c>
      <c r="I449" s="1167">
        <f>I452-I447-I448</f>
        <v>19.22</v>
      </c>
      <c r="J449" s="1167" t="e">
        <f>+#REF!</f>
        <v>#REF!</v>
      </c>
      <c r="K449" s="1167" t="e">
        <f>+#REF!</f>
        <v>#REF!</v>
      </c>
      <c r="L449" s="1167" t="e">
        <f>ROUND(G449*J449*12/10000000,2)</f>
        <v>#REF!</v>
      </c>
      <c r="M449" s="1167" t="e">
        <f>ROUND(I449*1000000*K449/10000000,2)</f>
        <v>#REF!</v>
      </c>
      <c r="N449" s="1167"/>
      <c r="O449" s="1167"/>
    </row>
    <row r="450" spans="1:18" ht="16.5" x14ac:dyDescent="0.2">
      <c r="A450" s="1197" t="s">
        <v>537</v>
      </c>
      <c r="B450" s="1159"/>
      <c r="C450" s="1160"/>
      <c r="D450" s="1160" t="s">
        <v>571</v>
      </c>
      <c r="E450" s="1160">
        <f>ROUND(E452*3%,0)</f>
        <v>1120</v>
      </c>
      <c r="F450" s="1160">
        <f>ROUND(F452*3%,0)</f>
        <v>1099</v>
      </c>
      <c r="G450" s="1160">
        <f>ROUND(F450*75,0)</f>
        <v>82425</v>
      </c>
      <c r="H450" s="1162"/>
      <c r="I450" s="1167"/>
      <c r="J450" s="1167" t="e">
        <f>+#REF!</f>
        <v>#REF!</v>
      </c>
      <c r="K450" s="1167"/>
      <c r="L450" s="1167" t="e">
        <f>ROUND(G450*J450*12/10000000,2)</f>
        <v>#REF!</v>
      </c>
      <c r="M450" s="1167"/>
      <c r="N450" s="1167"/>
      <c r="O450" s="1167"/>
    </row>
    <row r="451" spans="1:18" ht="16.5" x14ac:dyDescent="0.2">
      <c r="A451" s="1197" t="s">
        <v>537</v>
      </c>
      <c r="B451" s="1159"/>
      <c r="C451" s="1160"/>
      <c r="D451" s="1160" t="s">
        <v>572</v>
      </c>
      <c r="E451" s="1160">
        <f>E452-E447-E448-E449-E450</f>
        <v>0</v>
      </c>
      <c r="F451" s="1160">
        <f>F452-F447-F448-F449-F450</f>
        <v>0</v>
      </c>
      <c r="G451" s="1160">
        <f>ROUND(F451*124.15384,0)</f>
        <v>0</v>
      </c>
      <c r="H451" s="1162"/>
      <c r="I451" s="1167"/>
      <c r="J451" s="1167" t="e">
        <f>+#REF!</f>
        <v>#REF!</v>
      </c>
      <c r="K451" s="1167"/>
      <c r="L451" s="1167" t="e">
        <f>ROUND(G451*J451*12/10000000,2)</f>
        <v>#REF!</v>
      </c>
      <c r="M451" s="1167"/>
      <c r="N451" s="1167"/>
      <c r="O451" s="1167"/>
    </row>
    <row r="452" spans="1:18" ht="16.5" x14ac:dyDescent="0.2">
      <c r="A452" s="1197" t="s">
        <v>537</v>
      </c>
      <c r="B452" s="1164"/>
      <c r="C452" s="1165"/>
      <c r="D452" s="1166" t="s">
        <v>486</v>
      </c>
      <c r="E452" s="1165">
        <f>ROUND(E460*26%,0)</f>
        <v>37341</v>
      </c>
      <c r="F452" s="1165">
        <f>ROUND(F460*26%,0)</f>
        <v>36622</v>
      </c>
      <c r="G452" s="1165">
        <f>SUM(G447:G451)</f>
        <v>484186</v>
      </c>
      <c r="H452" s="1165"/>
      <c r="I452" s="1170">
        <f>ROUND(I460*37%,2)</f>
        <v>128.13</v>
      </c>
      <c r="J452" s="1170"/>
      <c r="K452" s="1170"/>
      <c r="L452" s="1170" t="e">
        <f>SUM(L447:L451)</f>
        <v>#REF!</v>
      </c>
      <c r="M452" s="1170" t="e">
        <f>SUM(M447:M451)</f>
        <v>#REF!</v>
      </c>
      <c r="N452" s="1170" t="e">
        <f>L452+M452</f>
        <v>#REF!</v>
      </c>
      <c r="O452" s="1177" t="e">
        <f>ROUND(N452/I452*10,2)</f>
        <v>#REF!</v>
      </c>
      <c r="R452" s="1224" t="e">
        <f>+N452-#REF!</f>
        <v>#REF!</v>
      </c>
    </row>
    <row r="453" spans="1:18" ht="16.5" x14ac:dyDescent="0.2">
      <c r="A453" s="1197" t="s">
        <v>537</v>
      </c>
      <c r="B453" s="1163"/>
      <c r="C453" s="1163"/>
      <c r="D453" s="1163"/>
      <c r="E453" s="1163"/>
      <c r="F453" s="1163"/>
      <c r="G453" s="1163"/>
      <c r="H453" s="1163"/>
      <c r="I453" s="1176"/>
      <c r="J453" s="1176"/>
      <c r="K453" s="1176"/>
      <c r="L453" s="1176"/>
      <c r="M453" s="1176"/>
      <c r="N453" s="1176"/>
      <c r="O453" s="1176"/>
    </row>
    <row r="454" spans="1:18" ht="16.5" x14ac:dyDescent="0.2">
      <c r="A454" s="1197" t="s">
        <v>537</v>
      </c>
      <c r="B454" s="1159"/>
      <c r="C454" s="1160" t="s">
        <v>11</v>
      </c>
      <c r="D454" s="1160" t="s">
        <v>568</v>
      </c>
      <c r="E454" s="1160">
        <f>ROUND(E459*70%,0)</f>
        <v>74396</v>
      </c>
      <c r="F454" s="1160">
        <f>ROUND(F459*70%,0)</f>
        <v>72962</v>
      </c>
      <c r="G454" s="1160">
        <f>ROUND(F454*2.36,0)</f>
        <v>172190</v>
      </c>
      <c r="H454" s="1162" t="s">
        <v>573</v>
      </c>
      <c r="I454" s="1167">
        <f>ROUND(I459*50%,2)</f>
        <v>109.08</v>
      </c>
      <c r="J454" s="1167">
        <v>90</v>
      </c>
      <c r="K454" s="1167">
        <v>5.85</v>
      </c>
      <c r="L454" s="1167">
        <f>ROUND(G454*J454*12/10000000,2)</f>
        <v>18.600000000000001</v>
      </c>
      <c r="M454" s="1167">
        <f>ROUND(I454*1000000*K454/10000000,2)</f>
        <v>63.81</v>
      </c>
      <c r="N454" s="1167"/>
      <c r="O454" s="1167"/>
    </row>
    <row r="455" spans="1:18" ht="16.5" x14ac:dyDescent="0.2">
      <c r="A455" s="1197" t="s">
        <v>537</v>
      </c>
      <c r="B455" s="1159"/>
      <c r="C455" s="1160"/>
      <c r="D455" s="1160" t="s">
        <v>569</v>
      </c>
      <c r="E455" s="1160">
        <f>ROUND(E459*20%,0)</f>
        <v>21256</v>
      </c>
      <c r="F455" s="1160">
        <f>ROUND(F459*20%,0)</f>
        <v>20846</v>
      </c>
      <c r="G455" s="1160">
        <f>ROUND(F455*14.78,0)</f>
        <v>308104</v>
      </c>
      <c r="H455" s="1162" t="s">
        <v>574</v>
      </c>
      <c r="I455" s="1167">
        <f>ROUND(I459*28%,2)</f>
        <v>61.08</v>
      </c>
      <c r="J455" s="1167">
        <v>100</v>
      </c>
      <c r="K455" s="1167">
        <v>6.85</v>
      </c>
      <c r="L455" s="1167">
        <f>ROUND(G455*J455*12/10000000,2)</f>
        <v>36.97</v>
      </c>
      <c r="M455" s="1167">
        <f>ROUND(I455*1000000*K455/10000000,2)</f>
        <v>41.84</v>
      </c>
      <c r="N455" s="1167"/>
      <c r="O455" s="1167"/>
    </row>
    <row r="456" spans="1:18" ht="16.5" x14ac:dyDescent="0.2">
      <c r="A456" s="1197" t="s">
        <v>537</v>
      </c>
      <c r="B456" s="1159"/>
      <c r="C456" s="1160"/>
      <c r="D456" s="1160" t="s">
        <v>570</v>
      </c>
      <c r="E456" s="1160">
        <f>ROUND(E459*7%,0)</f>
        <v>7440</v>
      </c>
      <c r="F456" s="1160">
        <f>ROUND(F459*7%,0)</f>
        <v>7296</v>
      </c>
      <c r="G456" s="1160">
        <f>ROUND(F456*50.22,0)</f>
        <v>366405</v>
      </c>
      <c r="H456" s="1162" t="s">
        <v>575</v>
      </c>
      <c r="I456" s="1167">
        <f>I459-I454-I455</f>
        <v>48.000000000000028</v>
      </c>
      <c r="J456" s="1167">
        <v>125</v>
      </c>
      <c r="K456" s="1167">
        <v>7.15</v>
      </c>
      <c r="L456" s="1167">
        <f>ROUND(G456*J456*12/10000000,2)</f>
        <v>54.96</v>
      </c>
      <c r="M456" s="1167">
        <f>ROUND(I456*1000000*K456/10000000,2)</f>
        <v>34.32</v>
      </c>
      <c r="N456" s="1167"/>
      <c r="O456" s="1167"/>
    </row>
    <row r="457" spans="1:18" ht="16.5" x14ac:dyDescent="0.2">
      <c r="A457" s="1197" t="s">
        <v>537</v>
      </c>
      <c r="B457" s="1159"/>
      <c r="C457" s="1160"/>
      <c r="D457" s="1160" t="s">
        <v>571</v>
      </c>
      <c r="E457" s="1160">
        <f>ROUND(E459*3%,0)</f>
        <v>3188</v>
      </c>
      <c r="F457" s="1160">
        <f>ROUND(F459*3%,0)</f>
        <v>3127</v>
      </c>
      <c r="G457" s="1160">
        <f>ROUND(F457*69.5,0)</f>
        <v>217327</v>
      </c>
      <c r="H457" s="1162"/>
      <c r="I457" s="1167"/>
      <c r="J457" s="1167">
        <v>190</v>
      </c>
      <c r="K457" s="1167"/>
      <c r="L457" s="1167">
        <f>ROUND(G457*J457*12/10000000,2)</f>
        <v>49.55</v>
      </c>
      <c r="M457" s="1167"/>
      <c r="N457" s="1167"/>
      <c r="O457" s="1167"/>
    </row>
    <row r="458" spans="1:18" ht="16.5" x14ac:dyDescent="0.2">
      <c r="A458" s="1197" t="s">
        <v>537</v>
      </c>
      <c r="B458" s="1159"/>
      <c r="C458" s="1160"/>
      <c r="D458" s="1160" t="s">
        <v>572</v>
      </c>
      <c r="E458" s="1160">
        <f>E459-E454-E455-E456-E457</f>
        <v>0</v>
      </c>
      <c r="F458" s="1160">
        <f>F459-F454-F455-F456-F457</f>
        <v>0</v>
      </c>
      <c r="G458" s="1160">
        <f>ROUND(F458*124.15384,0)</f>
        <v>0</v>
      </c>
      <c r="H458" s="1162"/>
      <c r="I458" s="1167"/>
      <c r="J458" s="1167">
        <v>225</v>
      </c>
      <c r="K458" s="1167"/>
      <c r="L458" s="1167">
        <f>ROUND(G458*J458*12/10000000,2)</f>
        <v>0</v>
      </c>
      <c r="M458" s="1167"/>
      <c r="N458" s="1167"/>
      <c r="O458" s="1167"/>
    </row>
    <row r="459" spans="1:18" ht="16.5" x14ac:dyDescent="0.2">
      <c r="A459" s="1197" t="s">
        <v>537</v>
      </c>
      <c r="B459" s="1164"/>
      <c r="C459" s="1165"/>
      <c r="D459" s="1166" t="s">
        <v>486</v>
      </c>
      <c r="E459" s="1169">
        <f>E460-E452</f>
        <v>106280</v>
      </c>
      <c r="F459" s="1169">
        <f>F460-F452</f>
        <v>104231</v>
      </c>
      <c r="G459" s="1165">
        <f>SUM(G454:G458)</f>
        <v>1064026</v>
      </c>
      <c r="H459" s="1165"/>
      <c r="I459" s="1170">
        <f>I460-I452</f>
        <v>218.16000000000003</v>
      </c>
      <c r="J459" s="1170"/>
      <c r="K459" s="1170"/>
      <c r="L459" s="1170">
        <f>SUM(L454:L458)</f>
        <v>160.07999999999998</v>
      </c>
      <c r="M459" s="1170">
        <f>SUM(M454:M458)</f>
        <v>139.97</v>
      </c>
      <c r="N459" s="1170">
        <f>L459+M459</f>
        <v>300.04999999999995</v>
      </c>
      <c r="O459" s="1177">
        <f>ROUND(N459/I459*10,2)</f>
        <v>13.75</v>
      </c>
      <c r="R459" s="1224" t="e">
        <f>+N459-#REF!</f>
        <v>#REF!</v>
      </c>
    </row>
    <row r="460" spans="1:18" ht="16.5" x14ac:dyDescent="0.2">
      <c r="A460" s="1197" t="s">
        <v>537</v>
      </c>
      <c r="B460" s="1164">
        <v>6</v>
      </c>
      <c r="C460" s="1165" t="s">
        <v>567</v>
      </c>
      <c r="D460" s="1165"/>
      <c r="E460" s="1169">
        <f>Sales_FY24!$P$137</f>
        <v>143621</v>
      </c>
      <c r="F460" s="1169">
        <f>Sales_FY24!$V$137</f>
        <v>140853</v>
      </c>
      <c r="G460" s="1169">
        <f>G452+G459</f>
        <v>1548212</v>
      </c>
      <c r="H460" s="1165"/>
      <c r="I460" s="1170">
        <f>Sales_FY24!$Q$137</f>
        <v>346.29</v>
      </c>
      <c r="J460" s="1170"/>
      <c r="K460" s="1170"/>
      <c r="L460" s="1170" t="e">
        <f>L452+L459</f>
        <v>#REF!</v>
      </c>
      <c r="M460" s="1170" t="e">
        <f>M452+M459</f>
        <v>#REF!</v>
      </c>
      <c r="N460" s="1170" t="e">
        <f>L460+M460</f>
        <v>#REF!</v>
      </c>
      <c r="O460" s="1177" t="e">
        <f>ROUND(N460/I460*10,2)</f>
        <v>#REF!</v>
      </c>
    </row>
    <row r="461" spans="1:18" ht="16.5" x14ac:dyDescent="0.2">
      <c r="A461" s="1197" t="s">
        <v>537</v>
      </c>
      <c r="B461" s="1163"/>
      <c r="C461" s="1163"/>
      <c r="D461" s="1163"/>
      <c r="E461" s="1163"/>
      <c r="F461" s="1163"/>
      <c r="G461" s="1163"/>
      <c r="H461" s="1163"/>
      <c r="I461" s="1176"/>
      <c r="J461" s="1176"/>
      <c r="K461" s="1176"/>
      <c r="L461" s="1176"/>
      <c r="M461" s="1176"/>
      <c r="N461" s="1176"/>
      <c r="O461" s="1176"/>
    </row>
    <row r="462" spans="1:18" ht="16.5" x14ac:dyDescent="0.2">
      <c r="A462" s="1197" t="s">
        <v>537</v>
      </c>
      <c r="B462" s="1159"/>
      <c r="C462" s="1160" t="s">
        <v>512</v>
      </c>
      <c r="D462" s="1160" t="s">
        <v>578</v>
      </c>
      <c r="E462" s="1168">
        <f>Sales_FY24!$P$138</f>
        <v>59578</v>
      </c>
      <c r="F462" s="1168">
        <f>Sales_FY24!$V$138</f>
        <v>57816</v>
      </c>
      <c r="G462" s="1160">
        <f>ROUND(F462*6,0)</f>
        <v>346896</v>
      </c>
      <c r="H462" s="1162" t="s">
        <v>561</v>
      </c>
      <c r="I462" s="1167">
        <f>Sales_FY24!$Q$138</f>
        <v>376.73</v>
      </c>
      <c r="J462" s="1167" t="e">
        <f>+#REF!</f>
        <v>#REF!</v>
      </c>
      <c r="K462" s="1167" t="e">
        <f>+#REF!</f>
        <v>#REF!</v>
      </c>
      <c r="L462" s="1167" t="e">
        <f>ROUND(G462*J462*12/10000000,2)</f>
        <v>#REF!</v>
      </c>
      <c r="M462" s="1167" t="e">
        <f>ROUND(I462*1000000*K462/10000000,2)</f>
        <v>#REF!</v>
      </c>
      <c r="N462" s="1167" t="e">
        <f>L462+M462</f>
        <v>#REF!</v>
      </c>
      <c r="O462" s="1192"/>
    </row>
    <row r="463" spans="1:18" ht="16.5" x14ac:dyDescent="0.2">
      <c r="A463" s="1197" t="s">
        <v>537</v>
      </c>
      <c r="B463" s="1159"/>
      <c r="C463" s="1160"/>
      <c r="D463" s="1160" t="s">
        <v>579</v>
      </c>
      <c r="E463" s="1168"/>
      <c r="F463" s="1168"/>
      <c r="G463" s="1160"/>
      <c r="H463" s="1162"/>
      <c r="I463" s="1167"/>
      <c r="J463" s="1167" t="e">
        <f>+#REF!</f>
        <v>#REF!</v>
      </c>
      <c r="K463" s="1167"/>
      <c r="L463" s="1167"/>
      <c r="M463" s="1167"/>
      <c r="N463" s="1167"/>
      <c r="O463" s="1192"/>
    </row>
    <row r="464" spans="1:18" ht="16.5" x14ac:dyDescent="0.2">
      <c r="A464" s="1197" t="s">
        <v>537</v>
      </c>
      <c r="B464" s="1164"/>
      <c r="C464" s="1165"/>
      <c r="D464" s="1166" t="s">
        <v>486</v>
      </c>
      <c r="E464" s="1169">
        <f>SUM(E462:E463)</f>
        <v>59578</v>
      </c>
      <c r="F464" s="1169">
        <f>SUM(F462:F463)</f>
        <v>57816</v>
      </c>
      <c r="G464" s="1169">
        <f>SUM(G462:G463)</f>
        <v>346896</v>
      </c>
      <c r="H464" s="1165"/>
      <c r="I464" s="1170">
        <f>SUM(I462:I463)</f>
        <v>376.73</v>
      </c>
      <c r="J464" s="1170"/>
      <c r="K464" s="1170"/>
      <c r="L464" s="1170" t="e">
        <f>SUM(L462:L463)</f>
        <v>#REF!</v>
      </c>
      <c r="M464" s="1170" t="e">
        <f>SUM(M462:M463)</f>
        <v>#REF!</v>
      </c>
      <c r="N464" s="1170" t="e">
        <f>L464+M464</f>
        <v>#REF!</v>
      </c>
      <c r="O464" s="1177" t="e">
        <f>ROUND(N464/I464*10,2)</f>
        <v>#REF!</v>
      </c>
    </row>
    <row r="465" spans="1:15" ht="16.5" x14ac:dyDescent="0.2">
      <c r="A465" s="1197" t="s">
        <v>537</v>
      </c>
      <c r="B465" s="1163"/>
      <c r="C465" s="1163"/>
      <c r="D465" s="1163"/>
      <c r="E465" s="1163"/>
      <c r="F465" s="1163"/>
      <c r="G465" s="1163"/>
      <c r="H465" s="1163"/>
      <c r="I465" s="1176"/>
      <c r="J465" s="1176"/>
      <c r="K465" s="1176"/>
      <c r="L465" s="1176"/>
      <c r="M465" s="1176"/>
      <c r="N465" s="1176"/>
      <c r="O465" s="1176"/>
    </row>
    <row r="466" spans="1:15" ht="16.5" x14ac:dyDescent="0.2">
      <c r="A466" s="1197" t="s">
        <v>537</v>
      </c>
      <c r="B466" s="1159"/>
      <c r="C466" s="1160" t="s">
        <v>513</v>
      </c>
      <c r="D466" s="1160" t="s">
        <v>580</v>
      </c>
      <c r="E466" s="1168">
        <f>Sales_FY24!$P$139</f>
        <v>31337</v>
      </c>
      <c r="F466" s="1168">
        <f>Sales_FY24!$V$139</f>
        <v>30586</v>
      </c>
      <c r="G466" s="1160">
        <f>ROUND(F466*3.5,0)</f>
        <v>107051</v>
      </c>
      <c r="H466" s="1162" t="s">
        <v>561</v>
      </c>
      <c r="I466" s="1167">
        <f>Sales_FY24!$Q$139</f>
        <v>166.32</v>
      </c>
      <c r="J466" s="1167" t="e">
        <f>+#REF!</f>
        <v>#REF!</v>
      </c>
      <c r="K466" s="1167" t="e">
        <f>+#REF!</f>
        <v>#REF!</v>
      </c>
      <c r="L466" s="1167" t="e">
        <f>ROUND(G466*J466*12/10000000,2)</f>
        <v>#REF!</v>
      </c>
      <c r="M466" s="1167" t="e">
        <f>ROUND(I466*1000000*K466/10000000,2)</f>
        <v>#REF!</v>
      </c>
      <c r="N466" s="1167" t="e">
        <f>L466+M466</f>
        <v>#REF!</v>
      </c>
      <c r="O466" s="1192" t="e">
        <f>ROUND(N466/I466*10,2)</f>
        <v>#REF!</v>
      </c>
    </row>
    <row r="467" spans="1:15" ht="16.5" x14ac:dyDescent="0.2">
      <c r="A467" s="1197" t="s">
        <v>537</v>
      </c>
      <c r="B467" s="1163"/>
      <c r="C467" s="1163"/>
      <c r="D467" s="1163"/>
      <c r="E467" s="1163"/>
      <c r="F467" s="1163"/>
      <c r="G467" s="1163"/>
      <c r="H467" s="1163"/>
      <c r="I467" s="1176"/>
      <c r="J467" s="1176"/>
      <c r="K467" s="1176"/>
      <c r="L467" s="1176"/>
      <c r="M467" s="1176"/>
      <c r="N467" s="1176"/>
      <c r="O467" s="1176"/>
    </row>
    <row r="468" spans="1:15" ht="16.5" x14ac:dyDescent="0.2">
      <c r="A468" s="1197" t="s">
        <v>537</v>
      </c>
      <c r="B468" s="1159"/>
      <c r="C468" s="1160" t="s">
        <v>526</v>
      </c>
      <c r="D468" s="1160" t="s">
        <v>581</v>
      </c>
      <c r="E468" s="1168">
        <f>Sales_FY24!$P$140</f>
        <v>0</v>
      </c>
      <c r="F468" s="1168">
        <f>Sales_FY24!$V$140</f>
        <v>0</v>
      </c>
      <c r="G468" s="1160">
        <f>ROUND(F468*10,0)</f>
        <v>0</v>
      </c>
      <c r="H468" s="1162" t="s">
        <v>561</v>
      </c>
      <c r="I468" s="1167">
        <f>Sales_FY24!$Q$140</f>
        <v>0</v>
      </c>
      <c r="J468" s="1167" t="e">
        <f>+#REF!</f>
        <v>#REF!</v>
      </c>
      <c r="K468" s="1167" t="e">
        <f>+#REF!</f>
        <v>#REF!</v>
      </c>
      <c r="L468" s="1167" t="e">
        <f>ROUND(G468*J468*12/10000000,2)</f>
        <v>#REF!</v>
      </c>
      <c r="M468" s="1167" t="e">
        <f>ROUND(I468*1000000*K468/10000000,2)</f>
        <v>#REF!</v>
      </c>
      <c r="N468" s="1167" t="e">
        <f>L468+M468</f>
        <v>#REF!</v>
      </c>
      <c r="O468" s="1192"/>
    </row>
    <row r="469" spans="1:15" ht="16.5" x14ac:dyDescent="0.2">
      <c r="A469" s="1197" t="s">
        <v>537</v>
      </c>
      <c r="B469" s="1159"/>
      <c r="C469" s="1160"/>
      <c r="D469" s="1160" t="s">
        <v>582</v>
      </c>
      <c r="E469" s="1168"/>
      <c r="F469" s="1168"/>
      <c r="G469" s="1160"/>
      <c r="H469" s="1162"/>
      <c r="I469" s="1167"/>
      <c r="J469" s="1167" t="e">
        <f>+#REF!</f>
        <v>#REF!</v>
      </c>
      <c r="K469" s="1167"/>
      <c r="L469" s="1167"/>
      <c r="M469" s="1167"/>
      <c r="N469" s="1167"/>
      <c r="O469" s="1192"/>
    </row>
    <row r="470" spans="1:15" ht="16.5" x14ac:dyDescent="0.2">
      <c r="A470" s="1197" t="s">
        <v>537</v>
      </c>
      <c r="B470" s="1159"/>
      <c r="C470" s="1160"/>
      <c r="D470" s="1160" t="s">
        <v>583</v>
      </c>
      <c r="E470" s="1168"/>
      <c r="F470" s="1168"/>
      <c r="G470" s="1160"/>
      <c r="H470" s="1162"/>
      <c r="I470" s="1167"/>
      <c r="J470" s="1167" t="e">
        <f>+#REF!</f>
        <v>#REF!</v>
      </c>
      <c r="K470" s="1167"/>
      <c r="L470" s="1167"/>
      <c r="M470" s="1167"/>
      <c r="N470" s="1167"/>
      <c r="O470" s="1192"/>
    </row>
    <row r="471" spans="1:15" ht="16.5" x14ac:dyDescent="0.2">
      <c r="A471" s="1197" t="s">
        <v>537</v>
      </c>
      <c r="B471" s="1164"/>
      <c r="C471" s="1165"/>
      <c r="D471" s="1166" t="s">
        <v>486</v>
      </c>
      <c r="E471" s="1169">
        <f>SUM(E468:E470)</f>
        <v>0</v>
      </c>
      <c r="F471" s="1169">
        <f>SUM(F468:F470)</f>
        <v>0</v>
      </c>
      <c r="G471" s="1169">
        <f>SUM(G468:G470)</f>
        <v>0</v>
      </c>
      <c r="H471" s="1165"/>
      <c r="I471" s="1170">
        <f>SUM(I468:I470)</f>
        <v>0</v>
      </c>
      <c r="J471" s="1170"/>
      <c r="K471" s="1170"/>
      <c r="L471" s="1170" t="e">
        <f>SUM(L468:L470)</f>
        <v>#REF!</v>
      </c>
      <c r="M471" s="1170" t="e">
        <f>SUM(M468:M470)</f>
        <v>#REF!</v>
      </c>
      <c r="N471" s="1170" t="e">
        <f>L471+M471</f>
        <v>#REF!</v>
      </c>
      <c r="O471" s="1177"/>
    </row>
    <row r="472" spans="1:15" ht="16.5" x14ac:dyDescent="0.2">
      <c r="A472" s="1197" t="s">
        <v>537</v>
      </c>
      <c r="B472" s="1164">
        <v>7</v>
      </c>
      <c r="C472" s="1165" t="s">
        <v>577</v>
      </c>
      <c r="D472" s="1165"/>
      <c r="E472" s="1169">
        <f>E464+E466+E471</f>
        <v>90915</v>
      </c>
      <c r="F472" s="1169">
        <f>F464+F466+F471</f>
        <v>88402</v>
      </c>
      <c r="G472" s="1169">
        <f>G464+G466+G471</f>
        <v>453947</v>
      </c>
      <c r="H472" s="1165"/>
      <c r="I472" s="1170">
        <f>I464+I466+I471</f>
        <v>543.04999999999995</v>
      </c>
      <c r="J472" s="1170"/>
      <c r="K472" s="1170"/>
      <c r="L472" s="1170" t="e">
        <f>L464+L466+L471</f>
        <v>#REF!</v>
      </c>
      <c r="M472" s="1170" t="e">
        <f>M464+M466+M471</f>
        <v>#REF!</v>
      </c>
      <c r="N472" s="1170" t="e">
        <f>L472+M472</f>
        <v>#REF!</v>
      </c>
      <c r="O472" s="1177" t="e">
        <f>ROUND(N472/I472*10,2)</f>
        <v>#REF!</v>
      </c>
    </row>
    <row r="473" spans="1:15" ht="16.5" x14ac:dyDescent="0.2">
      <c r="A473" s="1197" t="s">
        <v>537</v>
      </c>
      <c r="B473" s="1163"/>
      <c r="C473" s="1163"/>
      <c r="D473" s="1163"/>
      <c r="E473" s="1163"/>
      <c r="F473" s="1163"/>
      <c r="G473" s="1163"/>
      <c r="H473" s="1163"/>
      <c r="I473" s="1176"/>
      <c r="J473" s="1176"/>
      <c r="K473" s="1176"/>
      <c r="L473" s="1176"/>
      <c r="M473" s="1176"/>
      <c r="N473" s="1176"/>
      <c r="O473" s="1176"/>
    </row>
    <row r="474" spans="1:15" ht="16.5" x14ac:dyDescent="0.2">
      <c r="A474" s="1197" t="s">
        <v>537</v>
      </c>
      <c r="B474" s="1159"/>
      <c r="C474" s="1160" t="s">
        <v>584</v>
      </c>
      <c r="D474" s="1160" t="s">
        <v>586</v>
      </c>
      <c r="E474" s="1160">
        <f>ROUND(E476*99.88242%,0)</f>
        <v>306445</v>
      </c>
      <c r="F474" s="1160">
        <f>ROUND(F476*99.88242%,0)</f>
        <v>271835</v>
      </c>
      <c r="G474" s="1160">
        <f>ROUND(F474*2.25,0)</f>
        <v>611629</v>
      </c>
      <c r="H474" s="1162" t="s">
        <v>561</v>
      </c>
      <c r="I474" s="1167">
        <f>ROUND(I476*99.00373%,2)</f>
        <v>39.75</v>
      </c>
      <c r="J474" s="1167" t="e">
        <f>+#REF!</f>
        <v>#REF!</v>
      </c>
      <c r="K474" s="1167" t="e">
        <f>+#REF!</f>
        <v>#REF!</v>
      </c>
      <c r="L474" s="1167" t="e">
        <f>ROUND(G474*J474*4/10000000,2)</f>
        <v>#REF!</v>
      </c>
      <c r="M474" s="1198" t="e">
        <f>ROUND(I474*1000000*K474/10000000,2)-ROUND(I474*1000000*K474/10000000,2)</f>
        <v>#REF!</v>
      </c>
      <c r="N474" s="1167" t="e">
        <f>L474+M474</f>
        <v>#REF!</v>
      </c>
      <c r="O474" s="1192"/>
    </row>
    <row r="475" spans="1:15" ht="16.5" x14ac:dyDescent="0.2">
      <c r="A475" s="1197" t="s">
        <v>537</v>
      </c>
      <c r="B475" s="1159"/>
      <c r="C475" s="1160" t="s">
        <v>585</v>
      </c>
      <c r="D475" s="1160" t="s">
        <v>586</v>
      </c>
      <c r="E475" s="1168">
        <f>E476-E474</f>
        <v>361</v>
      </c>
      <c r="F475" s="1168">
        <f>F476-F474</f>
        <v>320</v>
      </c>
      <c r="G475" s="1160">
        <f>ROUND(F475*2.1,0)</f>
        <v>672</v>
      </c>
      <c r="H475" s="1162" t="s">
        <v>561</v>
      </c>
      <c r="I475" s="1167">
        <f>I476-I474</f>
        <v>0.39999999999999858</v>
      </c>
      <c r="J475" s="1167" t="e">
        <f>+#REF!</f>
        <v>#REF!</v>
      </c>
      <c r="K475" s="1167" t="e">
        <f>+#REF!</f>
        <v>#REF!</v>
      </c>
      <c r="L475" s="1167" t="e">
        <f>ROUND(G475*J475*12/10000000,2)</f>
        <v>#REF!</v>
      </c>
      <c r="M475" s="1167" t="e">
        <f>ROUND(I475*1000000*K475/10000000,2)</f>
        <v>#REF!</v>
      </c>
      <c r="N475" s="1167" t="e">
        <f>L475+M475</f>
        <v>#REF!</v>
      </c>
      <c r="O475" s="1192"/>
    </row>
    <row r="476" spans="1:15" ht="16.5" x14ac:dyDescent="0.2">
      <c r="A476" s="1197" t="s">
        <v>537</v>
      </c>
      <c r="B476" s="1164">
        <v>8</v>
      </c>
      <c r="C476" s="1165" t="s">
        <v>587</v>
      </c>
      <c r="D476" s="1165"/>
      <c r="E476" s="1169">
        <f>Sales_FY24!$P$141</f>
        <v>306806</v>
      </c>
      <c r="F476" s="1169">
        <f>Sales_FY24!$V$141</f>
        <v>272155</v>
      </c>
      <c r="G476" s="1169">
        <f>SUM(G474:G475)</f>
        <v>612301</v>
      </c>
      <c r="H476" s="1165"/>
      <c r="I476" s="1170">
        <f>Sales_FY24!$Q$141</f>
        <v>40.15</v>
      </c>
      <c r="J476" s="1170"/>
      <c r="K476" s="1170"/>
      <c r="L476" s="1170" t="e">
        <f>SUM(L474:L475)</f>
        <v>#REF!</v>
      </c>
      <c r="M476" s="1170" t="e">
        <f>SUM(M474:M475)</f>
        <v>#REF!</v>
      </c>
      <c r="N476" s="1170" t="e">
        <f>L476+M476</f>
        <v>#REF!</v>
      </c>
      <c r="O476" s="1177" t="e">
        <f>ROUND(N476/I476*10,2)</f>
        <v>#REF!</v>
      </c>
    </row>
    <row r="477" spans="1:15" ht="16.5" x14ac:dyDescent="0.2">
      <c r="A477" s="1197" t="s">
        <v>537</v>
      </c>
      <c r="B477" s="1163"/>
      <c r="C477" s="1163"/>
      <c r="D477" s="1163"/>
      <c r="E477" s="1163"/>
      <c r="F477" s="1163"/>
      <c r="G477" s="1163"/>
      <c r="H477" s="1163"/>
      <c r="I477" s="1176"/>
      <c r="J477" s="1176"/>
      <c r="K477" s="1176"/>
      <c r="L477" s="1176"/>
      <c r="M477" s="1176"/>
      <c r="N477" s="1176"/>
      <c r="O477" s="1176"/>
    </row>
    <row r="478" spans="1:15" ht="16.5" x14ac:dyDescent="0.2">
      <c r="A478" s="1197" t="s">
        <v>537</v>
      </c>
      <c r="B478" s="1194"/>
      <c r="C478" s="1195" t="s">
        <v>588</v>
      </c>
      <c r="D478" s="1195"/>
      <c r="E478" s="1196">
        <f>E407+E420+E431+E440+E445+E460+E472+E476</f>
        <v>6161464</v>
      </c>
      <c r="F478" s="1196">
        <f>F407+F420+F431+F440+F445+F460+F472+F476</f>
        <v>6028076</v>
      </c>
      <c r="G478" s="1196">
        <f>G407+G420+G431+G440+G445+G460+G472+G476</f>
        <v>14937796</v>
      </c>
      <c r="H478" s="1195"/>
      <c r="I478" s="1193">
        <f>I407+I420+I431+I440+I445+I460+I472+I476</f>
        <v>10404.909999999998</v>
      </c>
      <c r="J478" s="1193"/>
      <c r="K478" s="1193"/>
      <c r="L478" s="1193" t="e">
        <f>L407+L420+L431+L440+L445+L460+L472+L476</f>
        <v>#REF!</v>
      </c>
      <c r="M478" s="1193" t="e">
        <f>M407+M420+M431+M440+M445+M460+M472+M476</f>
        <v>#REF!</v>
      </c>
      <c r="N478" s="1193" t="e">
        <f>L478+M478</f>
        <v>#REF!</v>
      </c>
      <c r="O478" s="1193" t="e">
        <f>ROUND(N478/I478*10,2)</f>
        <v>#REF!</v>
      </c>
    </row>
    <row r="479" spans="1:15" ht="16.5" x14ac:dyDescent="0.2">
      <c r="A479" s="1197" t="s">
        <v>537</v>
      </c>
      <c r="B479" s="1163"/>
      <c r="C479" s="1163"/>
      <c r="D479" s="1163"/>
      <c r="E479" s="1163"/>
      <c r="F479" s="1176"/>
      <c r="G479" s="1163"/>
      <c r="H479" s="1163"/>
      <c r="I479" s="1176"/>
      <c r="J479" s="1176"/>
      <c r="K479" s="1176"/>
      <c r="L479" s="1176"/>
      <c r="M479" s="1176"/>
      <c r="N479" s="1176"/>
      <c r="O479" s="1176"/>
    </row>
    <row r="480" spans="1:15" ht="16.5" x14ac:dyDescent="0.2">
      <c r="A480" s="1197" t="s">
        <v>537</v>
      </c>
      <c r="B480" s="1159">
        <v>9</v>
      </c>
      <c r="C480" s="1160" t="s">
        <v>16</v>
      </c>
      <c r="D480" s="1160" t="s">
        <v>589</v>
      </c>
      <c r="E480" s="1168">
        <f>Sales_FY24!$P$144</f>
        <v>477</v>
      </c>
      <c r="F480" s="1168">
        <f>Sales_FY24!$V$144</f>
        <v>461</v>
      </c>
      <c r="G480" s="1160">
        <f>ROUND(F480*290,0)</f>
        <v>133690</v>
      </c>
      <c r="H480" s="1162" t="s">
        <v>561</v>
      </c>
      <c r="I480" s="1167">
        <f>Sales_FY24!$Q$144</f>
        <v>394.15</v>
      </c>
      <c r="J480" s="1167" t="e">
        <f>+#REF!</f>
        <v>#REF!</v>
      </c>
      <c r="K480" s="1167" t="e">
        <f>+#REF!</f>
        <v>#REF!</v>
      </c>
      <c r="L480" s="1167" t="e">
        <f>ROUND((G480*85%)*J480*12/10000000,2)</f>
        <v>#REF!</v>
      </c>
      <c r="M480" s="1167" t="e">
        <f>ROUND(I480*1000000*K480/10000000,2)</f>
        <v>#REF!</v>
      </c>
      <c r="N480" s="1167" t="e">
        <f>L480+M480</f>
        <v>#REF!</v>
      </c>
      <c r="O480" s="1192" t="e">
        <f>ROUND(N480/I480*10,2)</f>
        <v>#REF!</v>
      </c>
    </row>
    <row r="481" spans="1:18" ht="16.5" x14ac:dyDescent="0.2">
      <c r="A481" s="1197" t="s">
        <v>537</v>
      </c>
      <c r="B481" s="1163"/>
      <c r="C481" s="1163"/>
      <c r="D481" s="1163"/>
      <c r="E481" s="1163"/>
      <c r="F481" s="1163"/>
      <c r="G481" s="1163"/>
      <c r="H481" s="1163"/>
      <c r="I481" s="1176"/>
      <c r="J481" s="1176"/>
      <c r="K481" s="1176"/>
      <c r="L481" s="1176"/>
      <c r="M481" s="1176"/>
      <c r="N481" s="1176"/>
      <c r="O481" s="1176"/>
    </row>
    <row r="482" spans="1:18" ht="16.5" x14ac:dyDescent="0.2">
      <c r="A482" s="1197" t="s">
        <v>537</v>
      </c>
      <c r="B482" s="1159"/>
      <c r="C482" s="1160" t="s">
        <v>593</v>
      </c>
      <c r="D482" s="1160" t="s">
        <v>589</v>
      </c>
      <c r="E482" s="1168">
        <f>E484</f>
        <v>0</v>
      </c>
      <c r="F482" s="1168">
        <f>F484</f>
        <v>0</v>
      </c>
      <c r="G482" s="1160">
        <f>ROUND(F482*0,0)</f>
        <v>0</v>
      </c>
      <c r="H482" s="1162" t="s">
        <v>591</v>
      </c>
      <c r="I482" s="1167">
        <f>ROUND(I484*0%,2)</f>
        <v>0</v>
      </c>
      <c r="J482" s="1167" t="e">
        <f>+#REF!</f>
        <v>#REF!</v>
      </c>
      <c r="K482" s="1167" t="e">
        <f>+#REF!</f>
        <v>#REF!</v>
      </c>
      <c r="L482" s="1167" t="e">
        <f>ROUND((G482*85%)*J482*12/10000000,2)</f>
        <v>#REF!</v>
      </c>
      <c r="M482" s="1167" t="e">
        <f>ROUND(I482*1000000*K482/10000000,2)</f>
        <v>#REF!</v>
      </c>
      <c r="N482" s="1167"/>
      <c r="O482" s="1192"/>
    </row>
    <row r="483" spans="1:18" ht="16.5" x14ac:dyDescent="0.2">
      <c r="A483" s="1197" t="s">
        <v>537</v>
      </c>
      <c r="B483" s="1159"/>
      <c r="C483" s="1160"/>
      <c r="D483" s="1160"/>
      <c r="E483" s="1168"/>
      <c r="F483" s="1168"/>
      <c r="G483" s="1160"/>
      <c r="H483" s="1162" t="s">
        <v>590</v>
      </c>
      <c r="I483" s="1167">
        <f>I484-I482</f>
        <v>0</v>
      </c>
      <c r="J483" s="1167"/>
      <c r="K483" s="1167" t="e">
        <f>+#REF!</f>
        <v>#REF!</v>
      </c>
      <c r="L483" s="1167"/>
      <c r="M483" s="1167" t="e">
        <f>ROUND(I483*1000000*K483/10000000,2)</f>
        <v>#REF!</v>
      </c>
      <c r="N483" s="1167"/>
      <c r="O483" s="1192"/>
    </row>
    <row r="484" spans="1:18" ht="16.5" x14ac:dyDescent="0.2">
      <c r="A484" s="1197" t="s">
        <v>537</v>
      </c>
      <c r="B484" s="1164"/>
      <c r="C484" s="1165"/>
      <c r="D484" s="1166" t="s">
        <v>486</v>
      </c>
      <c r="E484" s="1169">
        <f>ROUND(E489*0%,0)</f>
        <v>0</v>
      </c>
      <c r="F484" s="1169">
        <f>ROUND(F489*0%,0)</f>
        <v>0</v>
      </c>
      <c r="G484" s="1169">
        <f>SUM(G482:G483)</f>
        <v>0</v>
      </c>
      <c r="H484" s="1165"/>
      <c r="I484" s="1170">
        <f>ROUND(I489*0%,2)</f>
        <v>0</v>
      </c>
      <c r="J484" s="1170"/>
      <c r="K484" s="1170"/>
      <c r="L484" s="1170" t="e">
        <f>SUM(L482:L483)</f>
        <v>#REF!</v>
      </c>
      <c r="M484" s="1170" t="e">
        <f>SUM(M482:M483)</f>
        <v>#REF!</v>
      </c>
      <c r="N484" s="1170" t="e">
        <f>L484+M484</f>
        <v>#REF!</v>
      </c>
      <c r="O484" s="1177"/>
      <c r="R484" s="1224" t="e">
        <f>+N484-#REF!</f>
        <v>#REF!</v>
      </c>
    </row>
    <row r="485" spans="1:18" ht="16.5" x14ac:dyDescent="0.2">
      <c r="A485" s="1197" t="s">
        <v>537</v>
      </c>
      <c r="B485" s="1163"/>
      <c r="C485" s="1163"/>
      <c r="D485" s="1163"/>
      <c r="E485" s="1163"/>
      <c r="F485" s="1163"/>
      <c r="G485" s="1163"/>
      <c r="H485" s="1163"/>
      <c r="I485" s="1176"/>
      <c r="J485" s="1176"/>
      <c r="K485" s="1176"/>
      <c r="L485" s="1176"/>
      <c r="M485" s="1176"/>
      <c r="N485" s="1176"/>
      <c r="O485" s="1176"/>
    </row>
    <row r="486" spans="1:18" ht="16.5" x14ac:dyDescent="0.2">
      <c r="A486" s="1197" t="s">
        <v>537</v>
      </c>
      <c r="B486" s="1159"/>
      <c r="C486" s="1160" t="s">
        <v>594</v>
      </c>
      <c r="D486" s="1160" t="s">
        <v>589</v>
      </c>
      <c r="E486" s="1168">
        <f>E488</f>
        <v>2405</v>
      </c>
      <c r="F486" s="1168">
        <f>F488</f>
        <v>2311</v>
      </c>
      <c r="G486" s="1160">
        <f>ROUND(F486*469,0)</f>
        <v>1083859</v>
      </c>
      <c r="H486" s="1162" t="s">
        <v>591</v>
      </c>
      <c r="I486" s="1167">
        <f>ROUND(I488*75%,2)</f>
        <v>727.12</v>
      </c>
      <c r="J486" s="1167" t="e">
        <f>+#REF!</f>
        <v>#REF!</v>
      </c>
      <c r="K486" s="1167" t="e">
        <f>+#REF!</f>
        <v>#REF!</v>
      </c>
      <c r="L486" s="1167" t="e">
        <f>ROUND((G486*85%)*J486*12/10000000,2)</f>
        <v>#REF!</v>
      </c>
      <c r="M486" s="1167" t="e">
        <f>ROUND(I486*1000000*K486/10000000,2)</f>
        <v>#REF!</v>
      </c>
      <c r="N486" s="1167"/>
      <c r="O486" s="1192"/>
    </row>
    <row r="487" spans="1:18" ht="16.5" x14ac:dyDescent="0.2">
      <c r="A487" s="1197" t="s">
        <v>537</v>
      </c>
      <c r="B487" s="1159"/>
      <c r="C487" s="1160"/>
      <c r="D487" s="1160"/>
      <c r="E487" s="1168"/>
      <c r="F487" s="1168"/>
      <c r="G487" s="1160"/>
      <c r="H487" s="1162" t="s">
        <v>590</v>
      </c>
      <c r="I487" s="1167">
        <f>I488-I486</f>
        <v>242.37</v>
      </c>
      <c r="J487" s="1167"/>
      <c r="K487" s="1167" t="e">
        <f>+#REF!</f>
        <v>#REF!</v>
      </c>
      <c r="L487" s="1167"/>
      <c r="M487" s="1167" t="e">
        <f>ROUND(I487*1000000*K487/10000000,2)</f>
        <v>#REF!</v>
      </c>
      <c r="N487" s="1167"/>
      <c r="O487" s="1192"/>
    </row>
    <row r="488" spans="1:18" ht="16.5" x14ac:dyDescent="0.2">
      <c r="A488" s="1197" t="s">
        <v>537</v>
      </c>
      <c r="B488" s="1164"/>
      <c r="C488" s="1165"/>
      <c r="D488" s="1166" t="s">
        <v>486</v>
      </c>
      <c r="E488" s="1169">
        <f>E489-E484</f>
        <v>2405</v>
      </c>
      <c r="F488" s="1169">
        <f>F489-F484</f>
        <v>2311</v>
      </c>
      <c r="G488" s="1169">
        <f>SUM(G486:G487)</f>
        <v>1083859</v>
      </c>
      <c r="H488" s="1165"/>
      <c r="I488" s="1170">
        <f>I489-I484</f>
        <v>969.49</v>
      </c>
      <c r="J488" s="1170"/>
      <c r="K488" s="1170"/>
      <c r="L488" s="1170" t="e">
        <f>SUM(L486:L487)</f>
        <v>#REF!</v>
      </c>
      <c r="M488" s="1170" t="e">
        <f>SUM(M486:M487)</f>
        <v>#REF!</v>
      </c>
      <c r="N488" s="1170" t="e">
        <f>L488+M488</f>
        <v>#REF!</v>
      </c>
      <c r="O488" s="1177"/>
      <c r="R488" s="1224" t="e">
        <f>+N488-#REF!</f>
        <v>#REF!</v>
      </c>
    </row>
    <row r="489" spans="1:18" ht="16.5" x14ac:dyDescent="0.2">
      <c r="A489" s="1197" t="s">
        <v>537</v>
      </c>
      <c r="B489" s="1164">
        <v>10</v>
      </c>
      <c r="C489" s="1165" t="s">
        <v>592</v>
      </c>
      <c r="D489" s="1165"/>
      <c r="E489" s="1169">
        <f>Sales_FY24!$P$145</f>
        <v>2405</v>
      </c>
      <c r="F489" s="1169">
        <f>Sales_FY24!$V$145</f>
        <v>2311</v>
      </c>
      <c r="G489" s="1169">
        <f>G484+G488</f>
        <v>1083859</v>
      </c>
      <c r="H489" s="1165"/>
      <c r="I489" s="1170">
        <f>Sales_FY24!$Q$145</f>
        <v>969.49</v>
      </c>
      <c r="J489" s="1170"/>
      <c r="K489" s="1170"/>
      <c r="L489" s="1169" t="e">
        <f>L484+L488</f>
        <v>#REF!</v>
      </c>
      <c r="M489" s="1169" t="e">
        <f>M484+M488</f>
        <v>#REF!</v>
      </c>
      <c r="N489" s="1170" t="e">
        <f>L489+M489</f>
        <v>#REF!</v>
      </c>
      <c r="O489" s="1177" t="e">
        <f>ROUND(N489/I489*10,2)</f>
        <v>#REF!</v>
      </c>
    </row>
    <row r="490" spans="1:18" ht="16.5" x14ac:dyDescent="0.2">
      <c r="A490" s="1197" t="s">
        <v>537</v>
      </c>
      <c r="B490" s="1163"/>
      <c r="C490" s="1163"/>
      <c r="D490" s="1163"/>
      <c r="E490" s="1163"/>
      <c r="F490" s="1163"/>
      <c r="G490" s="1163"/>
      <c r="H490" s="1163"/>
      <c r="I490" s="1176"/>
      <c r="J490" s="1176"/>
      <c r="K490" s="1176"/>
      <c r="L490" s="1176"/>
      <c r="M490" s="1176"/>
      <c r="N490" s="1176"/>
      <c r="O490" s="1176"/>
    </row>
    <row r="491" spans="1:18" ht="16.5" x14ac:dyDescent="0.2">
      <c r="A491" s="1197" t="s">
        <v>537</v>
      </c>
      <c r="B491" s="1159"/>
      <c r="C491" s="1160" t="s">
        <v>596</v>
      </c>
      <c r="D491" s="1160" t="s">
        <v>589</v>
      </c>
      <c r="E491" s="1168">
        <f>E493</f>
        <v>0</v>
      </c>
      <c r="F491" s="1168">
        <f>F493</f>
        <v>0</v>
      </c>
      <c r="G491" s="1160">
        <f>ROUND(F491*0,0)</f>
        <v>0</v>
      </c>
      <c r="H491" s="1162" t="s">
        <v>598</v>
      </c>
      <c r="I491" s="1167">
        <f>ROUND(I493*0%,2)</f>
        <v>0</v>
      </c>
      <c r="J491" s="1167" t="e">
        <f>+#REF!</f>
        <v>#REF!</v>
      </c>
      <c r="K491" s="1167" t="e">
        <f>+#REF!</f>
        <v>#REF!</v>
      </c>
      <c r="L491" s="1167" t="e">
        <f>ROUND((G491*85%)*J491*12/10000000,2)</f>
        <v>#REF!</v>
      </c>
      <c r="M491" s="1167" t="e">
        <f>ROUND(I491*1000000*K491/10000000,2)</f>
        <v>#REF!</v>
      </c>
      <c r="N491" s="1167"/>
      <c r="O491" s="1192"/>
    </row>
    <row r="492" spans="1:18" ht="16.5" x14ac:dyDescent="0.2">
      <c r="A492" s="1197" t="s">
        <v>537</v>
      </c>
      <c r="B492" s="1159"/>
      <c r="C492" s="1160"/>
      <c r="D492" s="1160"/>
      <c r="E492" s="1168"/>
      <c r="F492" s="1168"/>
      <c r="G492" s="1160"/>
      <c r="H492" s="1162" t="s">
        <v>599</v>
      </c>
      <c r="I492" s="1167">
        <f>I493-I491</f>
        <v>0</v>
      </c>
      <c r="J492" s="1167"/>
      <c r="K492" s="1167" t="e">
        <f>+#REF!</f>
        <v>#REF!</v>
      </c>
      <c r="L492" s="1167"/>
      <c r="M492" s="1167" t="e">
        <f>ROUND(I492*1000000*K492/10000000,2)</f>
        <v>#REF!</v>
      </c>
      <c r="N492" s="1167"/>
      <c r="O492" s="1192"/>
    </row>
    <row r="493" spans="1:18" ht="16.5" x14ac:dyDescent="0.2">
      <c r="A493" s="1197" t="s">
        <v>537</v>
      </c>
      <c r="B493" s="1164"/>
      <c r="C493" s="1165"/>
      <c r="D493" s="1166" t="s">
        <v>486</v>
      </c>
      <c r="E493" s="1169">
        <f>ROUND(E498*0%,0)</f>
        <v>0</v>
      </c>
      <c r="F493" s="1169">
        <f>ROUND(F498*0%,0)</f>
        <v>0</v>
      </c>
      <c r="G493" s="1169">
        <f>SUM(G491:G492)</f>
        <v>0</v>
      </c>
      <c r="H493" s="1165"/>
      <c r="I493" s="1170">
        <f>ROUND(I498*0%,2)</f>
        <v>0</v>
      </c>
      <c r="J493" s="1170"/>
      <c r="K493" s="1170"/>
      <c r="L493" s="1170" t="e">
        <f>SUM(L491:L492)</f>
        <v>#REF!</v>
      </c>
      <c r="M493" s="1170" t="e">
        <f>SUM(M491:M492)</f>
        <v>#REF!</v>
      </c>
      <c r="N493" s="1170" t="e">
        <f>L493+M493</f>
        <v>#REF!</v>
      </c>
      <c r="O493" s="1177"/>
      <c r="R493" s="1224" t="e">
        <f>+N493-#REF!</f>
        <v>#REF!</v>
      </c>
    </row>
    <row r="494" spans="1:18" ht="16.5" x14ac:dyDescent="0.2">
      <c r="A494" s="1197" t="s">
        <v>537</v>
      </c>
      <c r="B494" s="1163"/>
      <c r="C494" s="1163"/>
      <c r="D494" s="1163"/>
      <c r="E494" s="1163"/>
      <c r="F494" s="1163"/>
      <c r="G494" s="1163"/>
      <c r="H494" s="1163"/>
      <c r="I494" s="1176"/>
      <c r="J494" s="1176"/>
      <c r="K494" s="1176"/>
      <c r="L494" s="1176"/>
      <c r="M494" s="1176"/>
      <c r="N494" s="1176"/>
      <c r="O494" s="1176"/>
    </row>
    <row r="495" spans="1:18" ht="16.5" x14ac:dyDescent="0.2">
      <c r="A495" s="1197" t="s">
        <v>537</v>
      </c>
      <c r="B495" s="1159"/>
      <c r="C495" s="1160" t="s">
        <v>597</v>
      </c>
      <c r="D495" s="1160" t="s">
        <v>589</v>
      </c>
      <c r="E495" s="1168">
        <f>E497</f>
        <v>830</v>
      </c>
      <c r="F495" s="1168">
        <f>F497</f>
        <v>806</v>
      </c>
      <c r="G495" s="1160">
        <f>ROUND(F495*155,0)</f>
        <v>124930</v>
      </c>
      <c r="H495" s="1162" t="s">
        <v>598</v>
      </c>
      <c r="I495" s="1167">
        <f>ROUND(I497*70.15%,2)</f>
        <v>94.15</v>
      </c>
      <c r="J495" s="1167" t="e">
        <f>+#REF!</f>
        <v>#REF!</v>
      </c>
      <c r="K495" s="1167" t="e">
        <f>+#REF!</f>
        <v>#REF!</v>
      </c>
      <c r="L495" s="1167" t="e">
        <f>ROUND((G495*85%)*J495*12/10000000,2)</f>
        <v>#REF!</v>
      </c>
      <c r="M495" s="1167" t="e">
        <f>ROUND(I495*1000000*K495/10000000,2)</f>
        <v>#REF!</v>
      </c>
      <c r="N495" s="1167"/>
      <c r="O495" s="1192"/>
    </row>
    <row r="496" spans="1:18" ht="16.5" x14ac:dyDescent="0.2">
      <c r="A496" s="1197" t="s">
        <v>537</v>
      </c>
      <c r="B496" s="1159"/>
      <c r="C496" s="1160"/>
      <c r="D496" s="1160"/>
      <c r="E496" s="1168"/>
      <c r="F496" s="1168"/>
      <c r="G496" s="1160"/>
      <c r="H496" s="1162" t="s">
        <v>599</v>
      </c>
      <c r="I496" s="1167">
        <f>I497-I495</f>
        <v>40.06</v>
      </c>
      <c r="J496" s="1167"/>
      <c r="K496" s="1167" t="e">
        <f>+#REF!</f>
        <v>#REF!</v>
      </c>
      <c r="L496" s="1167"/>
      <c r="M496" s="1167" t="e">
        <f>ROUND(I496*1000000*K496/10000000,2)</f>
        <v>#REF!</v>
      </c>
      <c r="N496" s="1167"/>
      <c r="O496" s="1192"/>
    </row>
    <row r="497" spans="1:18" ht="16.5" x14ac:dyDescent="0.2">
      <c r="A497" s="1197" t="s">
        <v>537</v>
      </c>
      <c r="B497" s="1164"/>
      <c r="C497" s="1165"/>
      <c r="D497" s="1166" t="s">
        <v>486</v>
      </c>
      <c r="E497" s="1169">
        <f>E498-E493</f>
        <v>830</v>
      </c>
      <c r="F497" s="1169">
        <f>F498-F493</f>
        <v>806</v>
      </c>
      <c r="G497" s="1169">
        <f>SUM(G495:G496)</f>
        <v>124930</v>
      </c>
      <c r="H497" s="1165"/>
      <c r="I497" s="1170">
        <f>I498-I493</f>
        <v>134.21</v>
      </c>
      <c r="J497" s="1170"/>
      <c r="K497" s="1170"/>
      <c r="L497" s="1170" t="e">
        <f>SUM(L495:L496)</f>
        <v>#REF!</v>
      </c>
      <c r="M497" s="1170" t="e">
        <f>SUM(M495:M496)</f>
        <v>#REF!</v>
      </c>
      <c r="N497" s="1170" t="e">
        <f>L497+M497</f>
        <v>#REF!</v>
      </c>
      <c r="O497" s="1177"/>
      <c r="R497" s="1224" t="e">
        <f>+N497-#REF!</f>
        <v>#REF!</v>
      </c>
    </row>
    <row r="498" spans="1:18" ht="16.5" x14ac:dyDescent="0.2">
      <c r="A498" s="1197" t="s">
        <v>537</v>
      </c>
      <c r="B498" s="1164">
        <v>11</v>
      </c>
      <c r="C498" s="1165" t="s">
        <v>595</v>
      </c>
      <c r="D498" s="1165"/>
      <c r="E498" s="1169">
        <f>Sales_FY24!$P$146</f>
        <v>830</v>
      </c>
      <c r="F498" s="1169">
        <f>Sales_FY24!$V$146</f>
        <v>806</v>
      </c>
      <c r="G498" s="1169">
        <f>G493+G497</f>
        <v>124930</v>
      </c>
      <c r="H498" s="1165"/>
      <c r="I498" s="1170">
        <f>Sales_FY24!$Q$146</f>
        <v>134.21</v>
      </c>
      <c r="J498" s="1170"/>
      <c r="K498" s="1170"/>
      <c r="L498" s="1170" t="e">
        <f>L493+L497</f>
        <v>#REF!</v>
      </c>
      <c r="M498" s="1170" t="e">
        <f>M493+M497</f>
        <v>#REF!</v>
      </c>
      <c r="N498" s="1170" t="e">
        <f>L498+M498</f>
        <v>#REF!</v>
      </c>
      <c r="O498" s="1177" t="e">
        <f>ROUND(N498/I498*10,2)</f>
        <v>#REF!</v>
      </c>
    </row>
    <row r="499" spans="1:18" ht="16.5" x14ac:dyDescent="0.2">
      <c r="A499" s="1197" t="s">
        <v>537</v>
      </c>
      <c r="B499" s="1163"/>
      <c r="C499" s="1163"/>
      <c r="D499" s="1163"/>
      <c r="E499" s="1163"/>
      <c r="F499" s="1163"/>
      <c r="G499" s="1163"/>
      <c r="H499" s="1163"/>
      <c r="I499" s="1176"/>
      <c r="J499" s="1176"/>
      <c r="K499" s="1176"/>
      <c r="L499" s="1176"/>
      <c r="M499" s="1176"/>
      <c r="N499" s="1176"/>
      <c r="O499" s="1176"/>
    </row>
    <row r="500" spans="1:18" ht="16.5" x14ac:dyDescent="0.2">
      <c r="A500" s="1197" t="s">
        <v>537</v>
      </c>
      <c r="B500" s="1159"/>
      <c r="C500" s="1160" t="s">
        <v>601</v>
      </c>
      <c r="D500" s="1160" t="s">
        <v>589</v>
      </c>
      <c r="E500" s="1168">
        <f>E502</f>
        <v>262</v>
      </c>
      <c r="F500" s="1168">
        <f>F502</f>
        <v>254</v>
      </c>
      <c r="G500" s="1160">
        <f>ROUND(F500*129,0)</f>
        <v>32766</v>
      </c>
      <c r="H500" s="1162" t="s">
        <v>591</v>
      </c>
      <c r="I500" s="1167">
        <f>ROUND(I502*75%,2)</f>
        <v>35.46</v>
      </c>
      <c r="J500" s="1167" t="e">
        <f>+#REF!</f>
        <v>#REF!</v>
      </c>
      <c r="K500" s="1167" t="e">
        <f>+#REF!</f>
        <v>#REF!</v>
      </c>
      <c r="L500" s="1167" t="e">
        <f>ROUND((G500*85%)*J500*12/10000000,2)</f>
        <v>#REF!</v>
      </c>
      <c r="M500" s="1167" t="e">
        <f>ROUND(I500*1000000*K500/10000000,2)</f>
        <v>#REF!</v>
      </c>
      <c r="N500" s="1167"/>
      <c r="O500" s="1192"/>
    </row>
    <row r="501" spans="1:18" ht="16.5" x14ac:dyDescent="0.2">
      <c r="A501" s="1197" t="s">
        <v>537</v>
      </c>
      <c r="B501" s="1159"/>
      <c r="C501" s="1160"/>
      <c r="D501" s="1160"/>
      <c r="E501" s="1168"/>
      <c r="F501" s="1168"/>
      <c r="G501" s="1160"/>
      <c r="H501" s="1162" t="s">
        <v>590</v>
      </c>
      <c r="I501" s="1167">
        <f>I502-I500</f>
        <v>11.82</v>
      </c>
      <c r="J501" s="1167"/>
      <c r="K501" s="1167" t="e">
        <f>+#REF!</f>
        <v>#REF!</v>
      </c>
      <c r="L501" s="1167"/>
      <c r="M501" s="1167" t="e">
        <f>ROUND(I501*1000000*K501/10000000,2)</f>
        <v>#REF!</v>
      </c>
      <c r="N501" s="1167"/>
      <c r="O501" s="1192"/>
    </row>
    <row r="502" spans="1:18" ht="16.5" x14ac:dyDescent="0.2">
      <c r="A502" s="1197" t="s">
        <v>537</v>
      </c>
      <c r="B502" s="1164"/>
      <c r="C502" s="1165"/>
      <c r="D502" s="1166" t="s">
        <v>486</v>
      </c>
      <c r="E502" s="1169">
        <f>ROUND(E507*60.62053%,0)</f>
        <v>262</v>
      </c>
      <c r="F502" s="1169">
        <f>ROUND(F507*60.62053%,0)</f>
        <v>254</v>
      </c>
      <c r="G502" s="1169">
        <f>SUM(G500:G501)</f>
        <v>32766</v>
      </c>
      <c r="H502" s="1165"/>
      <c r="I502" s="1170">
        <f>ROUND(I507*67%,2)</f>
        <v>47.28</v>
      </c>
      <c r="J502" s="1170"/>
      <c r="K502" s="1170"/>
      <c r="L502" s="1170" t="e">
        <f>SUM(L500:L501)</f>
        <v>#REF!</v>
      </c>
      <c r="M502" s="1170" t="e">
        <f>SUM(M500:M501)</f>
        <v>#REF!</v>
      </c>
      <c r="N502" s="1170" t="e">
        <f>L502+M502</f>
        <v>#REF!</v>
      </c>
      <c r="O502" s="1177" t="e">
        <f>ROUND(N502/I502*10,2)</f>
        <v>#REF!</v>
      </c>
    </row>
    <row r="503" spans="1:18" ht="16.5" x14ac:dyDescent="0.2">
      <c r="A503" s="1197" t="s">
        <v>537</v>
      </c>
      <c r="B503" s="1163"/>
      <c r="C503" s="1163"/>
      <c r="D503" s="1163"/>
      <c r="E503" s="1163"/>
      <c r="F503" s="1163"/>
      <c r="G503" s="1163"/>
      <c r="H503" s="1163"/>
      <c r="I503" s="1176"/>
      <c r="J503" s="1176"/>
      <c r="K503" s="1176"/>
      <c r="L503" s="1176"/>
      <c r="M503" s="1176"/>
      <c r="N503" s="1176"/>
      <c r="O503" s="1176"/>
    </row>
    <row r="504" spans="1:18" ht="16.5" x14ac:dyDescent="0.2">
      <c r="A504" s="1197" t="s">
        <v>537</v>
      </c>
      <c r="B504" s="1159"/>
      <c r="C504" s="1160" t="s">
        <v>602</v>
      </c>
      <c r="D504" s="1160" t="s">
        <v>589</v>
      </c>
      <c r="E504" s="1168">
        <f>E506</f>
        <v>170</v>
      </c>
      <c r="F504" s="1168">
        <f>F506</f>
        <v>165</v>
      </c>
      <c r="G504" s="1160">
        <f>ROUND(F504*169,0)</f>
        <v>27885</v>
      </c>
      <c r="H504" s="1162" t="s">
        <v>591</v>
      </c>
      <c r="I504" s="1167">
        <f>ROUND(I506*80%,2)</f>
        <v>18.62</v>
      </c>
      <c r="J504" s="1167" t="e">
        <f>+#REF!</f>
        <v>#REF!</v>
      </c>
      <c r="K504" s="1167" t="e">
        <f>+#REF!</f>
        <v>#REF!</v>
      </c>
      <c r="L504" s="1167" t="e">
        <f>ROUND((G504*85%)*J504*12/10000000,2)</f>
        <v>#REF!</v>
      </c>
      <c r="M504" s="1167" t="e">
        <f>ROUND(I504*1000000*K504/10000000,2)</f>
        <v>#REF!</v>
      </c>
      <c r="N504" s="1167"/>
      <c r="O504" s="1192"/>
    </row>
    <row r="505" spans="1:18" ht="16.5" x14ac:dyDescent="0.2">
      <c r="A505" s="1197" t="s">
        <v>537</v>
      </c>
      <c r="B505" s="1159"/>
      <c r="C505" s="1160"/>
      <c r="D505" s="1160"/>
      <c r="E505" s="1168"/>
      <c r="F505" s="1168"/>
      <c r="G505" s="1160"/>
      <c r="H505" s="1162" t="s">
        <v>590</v>
      </c>
      <c r="I505" s="1167">
        <f>I506-I504</f>
        <v>4.66</v>
      </c>
      <c r="J505" s="1167"/>
      <c r="K505" s="1167" t="e">
        <f>+#REF!</f>
        <v>#REF!</v>
      </c>
      <c r="L505" s="1167"/>
      <c r="M505" s="1167" t="e">
        <f>ROUND(I505*1000000*K505/10000000,2)</f>
        <v>#REF!</v>
      </c>
      <c r="N505" s="1167"/>
      <c r="O505" s="1192"/>
    </row>
    <row r="506" spans="1:18" ht="16.5" x14ac:dyDescent="0.2">
      <c r="A506" s="1197" t="s">
        <v>537</v>
      </c>
      <c r="B506" s="1164"/>
      <c r="C506" s="1165"/>
      <c r="D506" s="1166" t="s">
        <v>486</v>
      </c>
      <c r="E506" s="1169">
        <f>E507-E502</f>
        <v>170</v>
      </c>
      <c r="F506" s="1169">
        <f>F507-F502</f>
        <v>165</v>
      </c>
      <c r="G506" s="1169">
        <f>SUM(G504:G505)</f>
        <v>27885</v>
      </c>
      <c r="H506" s="1165"/>
      <c r="I506" s="1170">
        <f>I507-I502</f>
        <v>23.28</v>
      </c>
      <c r="J506" s="1170"/>
      <c r="K506" s="1170"/>
      <c r="L506" s="1170" t="e">
        <f>SUM(L504:L505)</f>
        <v>#REF!</v>
      </c>
      <c r="M506" s="1170" t="e">
        <f>SUM(M504:M505)</f>
        <v>#REF!</v>
      </c>
      <c r="N506" s="1170" t="e">
        <f>L506+M506</f>
        <v>#REF!</v>
      </c>
      <c r="O506" s="1177" t="e">
        <f>ROUND(N506/I506*10,2)</f>
        <v>#REF!</v>
      </c>
    </row>
    <row r="507" spans="1:18" ht="16.5" x14ac:dyDescent="0.2">
      <c r="A507" s="1197" t="s">
        <v>537</v>
      </c>
      <c r="B507" s="1164">
        <v>12</v>
      </c>
      <c r="C507" s="1165" t="s">
        <v>600</v>
      </c>
      <c r="D507" s="1165"/>
      <c r="E507" s="1169">
        <f>Sales_FY24!$P$147</f>
        <v>432</v>
      </c>
      <c r="F507" s="1169">
        <f>Sales_FY24!$V$147</f>
        <v>419</v>
      </c>
      <c r="G507" s="1169">
        <f>G502+G506</f>
        <v>60651</v>
      </c>
      <c r="H507" s="1165"/>
      <c r="I507" s="1170">
        <f>Sales_FY24!$Q$147</f>
        <v>70.56</v>
      </c>
      <c r="J507" s="1170"/>
      <c r="K507" s="1170"/>
      <c r="L507" s="1170" t="e">
        <f>L502+L506</f>
        <v>#REF!</v>
      </c>
      <c r="M507" s="1170" t="e">
        <f>M502+M506</f>
        <v>#REF!</v>
      </c>
      <c r="N507" s="1170" t="e">
        <f>L507+M507</f>
        <v>#REF!</v>
      </c>
      <c r="O507" s="1177" t="e">
        <f>ROUND(N507/I507*10,2)</f>
        <v>#REF!</v>
      </c>
    </row>
    <row r="508" spans="1:18" ht="16.5" x14ac:dyDescent="0.2">
      <c r="A508" s="1197" t="s">
        <v>537</v>
      </c>
      <c r="B508" s="1163"/>
      <c r="C508" s="1163"/>
      <c r="D508" s="1163"/>
      <c r="E508" s="1163"/>
      <c r="F508" s="1163"/>
      <c r="G508" s="1163"/>
      <c r="H508" s="1163"/>
      <c r="I508" s="1176"/>
      <c r="J508" s="1176"/>
      <c r="K508" s="1176"/>
      <c r="L508" s="1176"/>
      <c r="M508" s="1176"/>
      <c r="N508" s="1176"/>
      <c r="O508" s="1176"/>
    </row>
    <row r="509" spans="1:18" ht="16.5" x14ac:dyDescent="0.2">
      <c r="A509" s="1197" t="s">
        <v>537</v>
      </c>
      <c r="B509" s="1159"/>
      <c r="C509" s="1160" t="s">
        <v>612</v>
      </c>
      <c r="D509" s="1160" t="s">
        <v>604</v>
      </c>
      <c r="E509" s="1168">
        <f>ROUND(E513*55.45631%,0)</f>
        <v>238</v>
      </c>
      <c r="F509" s="1168">
        <f>ROUND(F513*55.45631%,0)</f>
        <v>228</v>
      </c>
      <c r="G509" s="1160">
        <f>ROUND(F509*2730,0)</f>
        <v>622440</v>
      </c>
      <c r="H509" s="1162" t="s">
        <v>561</v>
      </c>
      <c r="I509" s="1167">
        <f>ROUND(I513*66.92322%,2)</f>
        <v>355.63</v>
      </c>
      <c r="J509" s="1167" t="e">
        <f>+#REF!</f>
        <v>#REF!</v>
      </c>
      <c r="K509" s="1167" t="e">
        <f>+#REF!</f>
        <v>#REF!</v>
      </c>
      <c r="L509" s="1167" t="e">
        <f>IF((ROUND(G509*J509*1/10000000,2))&gt;(ROUND(I509*1000000*K509/10000000,2)),(ROUND(G509*J509*1/10000000,2)),0)</f>
        <v>#REF!</v>
      </c>
      <c r="M509" s="1167" t="e">
        <f>IF((ROUND(I509*1000000*K509/10000000,2))&gt;(ROUND(G509*J509*1/10000000,2)),(ROUND(I509*1000000*K509/10000000,2)),0)</f>
        <v>#REF!</v>
      </c>
      <c r="N509" s="1167" t="e">
        <f>L509+M509</f>
        <v>#REF!</v>
      </c>
      <c r="O509" s="1192" t="e">
        <f>ROUND(N509/I509*10,2)</f>
        <v>#REF!</v>
      </c>
    </row>
    <row r="510" spans="1:18" ht="16.5" x14ac:dyDescent="0.2">
      <c r="A510" s="1197" t="s">
        <v>537</v>
      </c>
      <c r="B510" s="1159"/>
      <c r="C510" s="1160" t="s">
        <v>613</v>
      </c>
      <c r="D510" s="1160" t="s">
        <v>604</v>
      </c>
      <c r="E510" s="1168">
        <f>ROUND(E513*40.17475%,0)</f>
        <v>173</v>
      </c>
      <c r="F510" s="1168">
        <f>ROUND(F513*40.17475%,0)</f>
        <v>166</v>
      </c>
      <c r="G510" s="1160">
        <f>ROUND(F510*956,0)</f>
        <v>158696</v>
      </c>
      <c r="H510" s="1162" t="s">
        <v>561</v>
      </c>
      <c r="I510" s="1167">
        <f>ROUND(I513*32.93187%,2)</f>
        <v>175</v>
      </c>
      <c r="J510" s="1167" t="e">
        <f>+#REF!</f>
        <v>#REF!</v>
      </c>
      <c r="K510" s="1167" t="e">
        <f>+#REF!</f>
        <v>#REF!</v>
      </c>
      <c r="L510" s="1167" t="e">
        <f>ROUND(G510*J510*12/10000000,2)</f>
        <v>#REF!</v>
      </c>
      <c r="M510" s="1167" t="e">
        <f>ROUND(I510*1000000*K510/10000000,2)</f>
        <v>#REF!</v>
      </c>
      <c r="N510" s="1167" t="e">
        <f>L510+M510</f>
        <v>#REF!</v>
      </c>
      <c r="O510" s="1192"/>
    </row>
    <row r="511" spans="1:18" ht="16.5" x14ac:dyDescent="0.2">
      <c r="A511" s="1197" t="s">
        <v>537</v>
      </c>
      <c r="B511" s="1159"/>
      <c r="C511" s="1160" t="s">
        <v>614</v>
      </c>
      <c r="D511" s="1160" t="s">
        <v>604</v>
      </c>
      <c r="E511" s="1168">
        <f>ROUND(E513*3.39805%,0)</f>
        <v>15</v>
      </c>
      <c r="F511" s="1168">
        <f>ROUND(F513*3.39805%,0)</f>
        <v>14</v>
      </c>
      <c r="G511" s="1160">
        <f>ROUND(F511*75,0)</f>
        <v>1050</v>
      </c>
      <c r="H511" s="1162" t="s">
        <v>561</v>
      </c>
      <c r="I511" s="1167">
        <f>ROUND(I513*0.14113%,2)</f>
        <v>0.75</v>
      </c>
      <c r="J511" s="1167" t="e">
        <f>+#REF!</f>
        <v>#REF!</v>
      </c>
      <c r="K511" s="1167" t="e">
        <f>+#REF!</f>
        <v>#REF!</v>
      </c>
      <c r="L511" s="1167" t="e">
        <f>ROUND(G511*J511*12/10000000,2)</f>
        <v>#REF!</v>
      </c>
      <c r="M511" s="1167" t="e">
        <f>ROUND(I511*1000000*K511/10000000,2)</f>
        <v>#REF!</v>
      </c>
      <c r="N511" s="1167" t="e">
        <f>L511+M511</f>
        <v>#REF!</v>
      </c>
      <c r="O511" s="1192"/>
    </row>
    <row r="512" spans="1:18" ht="16.5" x14ac:dyDescent="0.2">
      <c r="A512" s="1197" t="s">
        <v>537</v>
      </c>
      <c r="B512" s="1159"/>
      <c r="C512" s="1160" t="s">
        <v>615</v>
      </c>
      <c r="D512" s="1160" t="s">
        <v>604</v>
      </c>
      <c r="E512" s="1168">
        <f>ROUND(E513*0.93023%,0)</f>
        <v>4</v>
      </c>
      <c r="F512" s="1168">
        <f>ROUND(F513*0.93023%,0)</f>
        <v>4</v>
      </c>
      <c r="G512" s="1160">
        <f>ROUND(F512*158,0)</f>
        <v>632</v>
      </c>
      <c r="H512" s="1162" t="s">
        <v>561</v>
      </c>
      <c r="I512" s="1167">
        <f>+I513-I509-I510-I511</f>
        <v>1.999999999998181E-2</v>
      </c>
      <c r="J512" s="1167" t="e">
        <f>+#REF!</f>
        <v>#REF!</v>
      </c>
      <c r="K512" s="1167" t="e">
        <f>+#REF!</f>
        <v>#REF!</v>
      </c>
      <c r="L512" s="1167" t="e">
        <f>IF((ROUND(G512*J512*1/10000000,2))&gt;(ROUND(I512*1000000*K512/10000000,2)),(ROUND(G512*J512*1/10000000,2)),0)</f>
        <v>#REF!</v>
      </c>
      <c r="M512" s="1167" t="e">
        <f>IF((ROUND(I512*1000000*K512/10000000,2))&gt;(ROUND(G512*J512*1/10000000,2)),(ROUND(I512*1000000*K512/10000000,2)),0)</f>
        <v>#REF!</v>
      </c>
      <c r="N512" s="1167" t="e">
        <f>L512+M512</f>
        <v>#REF!</v>
      </c>
      <c r="O512" s="1192" t="e">
        <f>ROUND(N512/I512*10,2)</f>
        <v>#REF!</v>
      </c>
    </row>
    <row r="513" spans="1:15" ht="16.5" x14ac:dyDescent="0.2">
      <c r="A513" s="1197" t="s">
        <v>537</v>
      </c>
      <c r="B513" s="1164">
        <v>13</v>
      </c>
      <c r="C513" s="1165" t="s">
        <v>603</v>
      </c>
      <c r="D513" s="1165"/>
      <c r="E513" s="1169">
        <f>Sales_FY24!$P$148</f>
        <v>430</v>
      </c>
      <c r="F513" s="1169">
        <f>Sales_FY24!$V$148</f>
        <v>412</v>
      </c>
      <c r="G513" s="1169">
        <f>SUM(G509:G512)</f>
        <v>782818</v>
      </c>
      <c r="H513" s="1165"/>
      <c r="I513" s="1170">
        <f>Sales_FY24!$Q$148</f>
        <v>531.4</v>
      </c>
      <c r="J513" s="1170"/>
      <c r="K513" s="1170"/>
      <c r="L513" s="1170" t="e">
        <f>SUM(L509:L512)</f>
        <v>#REF!</v>
      </c>
      <c r="M513" s="1170" t="e">
        <f>SUM(M509:M512)</f>
        <v>#REF!</v>
      </c>
      <c r="N513" s="1170" t="e">
        <f>L513+M513</f>
        <v>#REF!</v>
      </c>
      <c r="O513" s="1177" t="e">
        <f>ROUND(N513/I513*10,2)</f>
        <v>#REF!</v>
      </c>
    </row>
    <row r="514" spans="1:15" ht="16.5" x14ac:dyDescent="0.2">
      <c r="A514" s="1197" t="s">
        <v>537</v>
      </c>
      <c r="B514" s="1163"/>
      <c r="C514" s="1163"/>
      <c r="D514" s="1163"/>
      <c r="E514" s="1163"/>
      <c r="F514" s="1163"/>
      <c r="G514" s="1163"/>
      <c r="H514" s="1163"/>
      <c r="I514" s="1176"/>
      <c r="J514" s="1176"/>
      <c r="K514" s="1176"/>
      <c r="L514" s="1176"/>
      <c r="M514" s="1176"/>
      <c r="N514" s="1176"/>
      <c r="O514" s="1176"/>
    </row>
    <row r="515" spans="1:15" ht="16.5" x14ac:dyDescent="0.2">
      <c r="A515" s="1197" t="s">
        <v>537</v>
      </c>
      <c r="B515" s="1159">
        <v>14</v>
      </c>
      <c r="C515" s="1160" t="s">
        <v>312</v>
      </c>
      <c r="D515" s="1160" t="s">
        <v>589</v>
      </c>
      <c r="E515" s="1168">
        <f>Sales_FY24!$P$149</f>
        <v>33</v>
      </c>
      <c r="F515" s="1168">
        <f>Sales_FY24!$V$149</f>
        <v>33</v>
      </c>
      <c r="G515" s="1160">
        <f>ROUND(F515*273,0)</f>
        <v>9009</v>
      </c>
      <c r="H515" s="1162" t="s">
        <v>561</v>
      </c>
      <c r="I515" s="1167">
        <f>Sales_FY24!$Q$149</f>
        <v>16.899999999999999</v>
      </c>
      <c r="J515" s="1167" t="e">
        <f>+#REF!</f>
        <v>#REF!</v>
      </c>
      <c r="K515" s="1167" t="e">
        <f>+#REF!</f>
        <v>#REF!</v>
      </c>
      <c r="L515" s="1167" t="e">
        <f>ROUND((G515*85%)*J515*12/10000000,2)</f>
        <v>#REF!</v>
      </c>
      <c r="M515" s="1167" t="e">
        <f>ROUND(I515*1000000*K515/10000000,2)</f>
        <v>#REF!</v>
      </c>
      <c r="N515" s="1167" t="e">
        <f>L515+M515</f>
        <v>#REF!</v>
      </c>
      <c r="O515" s="1192" t="e">
        <f>ROUND(N515/I515*10,2)</f>
        <v>#REF!</v>
      </c>
    </row>
    <row r="516" spans="1:15" ht="16.5" x14ac:dyDescent="0.2">
      <c r="A516" s="1197" t="s">
        <v>537</v>
      </c>
      <c r="B516" s="1163"/>
      <c r="C516" s="1163"/>
      <c r="D516" s="1163"/>
      <c r="E516" s="1163"/>
      <c r="F516" s="1163"/>
      <c r="G516" s="1163"/>
      <c r="H516" s="1163"/>
      <c r="I516" s="1176"/>
      <c r="J516" s="1176"/>
      <c r="K516" s="1176"/>
      <c r="L516" s="1176"/>
      <c r="M516" s="1176"/>
      <c r="N516" s="1176"/>
      <c r="O516" s="1176"/>
    </row>
    <row r="517" spans="1:15" ht="16.5" x14ac:dyDescent="0.2">
      <c r="A517" s="1197" t="s">
        <v>537</v>
      </c>
      <c r="B517" s="1159">
        <v>15</v>
      </c>
      <c r="C517" s="1160" t="s">
        <v>313</v>
      </c>
      <c r="D517" s="1160" t="s">
        <v>589</v>
      </c>
      <c r="E517" s="1168">
        <f>Sales_FY24!$P$150</f>
        <v>135</v>
      </c>
      <c r="F517" s="1168">
        <f>Sales_FY24!$V$150</f>
        <v>131</v>
      </c>
      <c r="G517" s="1160">
        <f>ROUND(F517*162,0)</f>
        <v>21222</v>
      </c>
      <c r="H517" s="1162" t="s">
        <v>561</v>
      </c>
      <c r="I517" s="1167">
        <f>Sales_FY24!$Q$150</f>
        <v>9.0500000000000007</v>
      </c>
      <c r="J517" s="1167" t="e">
        <f>+#REF!</f>
        <v>#REF!</v>
      </c>
      <c r="K517" s="1167" t="e">
        <f>+#REF!</f>
        <v>#REF!</v>
      </c>
      <c r="L517" s="1167" t="e">
        <f>ROUND((G517*100%)*J517*12/10000000,2)</f>
        <v>#REF!</v>
      </c>
      <c r="M517" s="1167" t="e">
        <f>ROUND(I517*1000000*K517/10000000,2)</f>
        <v>#REF!</v>
      </c>
      <c r="N517" s="1167" t="e">
        <f>L517+M517</f>
        <v>#REF!</v>
      </c>
      <c r="O517" s="1192" t="e">
        <f>ROUND(N517/I517*10,2)</f>
        <v>#REF!</v>
      </c>
    </row>
    <row r="518" spans="1:15" ht="16.5" x14ac:dyDescent="0.2">
      <c r="A518" s="1197" t="s">
        <v>537</v>
      </c>
      <c r="B518" s="1163"/>
      <c r="C518" s="1163"/>
      <c r="D518" s="1163"/>
      <c r="E518" s="1163"/>
      <c r="F518" s="1163"/>
      <c r="G518" s="1163"/>
      <c r="H518" s="1163"/>
      <c r="I518" s="1176"/>
      <c r="J518" s="1176"/>
      <c r="K518" s="1176"/>
      <c r="L518" s="1176"/>
      <c r="M518" s="1176"/>
      <c r="N518" s="1176"/>
      <c r="O518" s="1176"/>
    </row>
    <row r="519" spans="1:15" ht="16.5" x14ac:dyDescent="0.2">
      <c r="A519" s="1197" t="s">
        <v>537</v>
      </c>
      <c r="B519" s="1194"/>
      <c r="C519" s="1195" t="s">
        <v>605</v>
      </c>
      <c r="D519" s="1195"/>
      <c r="E519" s="1196">
        <f>E480+E489+E498+E507+E513+E515+E517</f>
        <v>4742</v>
      </c>
      <c r="F519" s="1196">
        <f>F480+F489+F498+F507+F513+F515+F517</f>
        <v>4573</v>
      </c>
      <c r="G519" s="1196">
        <f>G480+G489+G498+G507+G513+G515+G517</f>
        <v>2216179</v>
      </c>
      <c r="H519" s="1195"/>
      <c r="I519" s="1193">
        <f>I480+I489+I498+I507+I513+I515+I517</f>
        <v>2125.7600000000002</v>
      </c>
      <c r="J519" s="1193"/>
      <c r="K519" s="1193"/>
      <c r="L519" s="1193" t="e">
        <f>L480+L489+L498+L507+L513+L515+L517</f>
        <v>#REF!</v>
      </c>
      <c r="M519" s="1193" t="e">
        <f>M480+M489+M498+M507+M513+M515+M517</f>
        <v>#REF!</v>
      </c>
      <c r="N519" s="1193" t="e">
        <f>L519+M519</f>
        <v>#REF!</v>
      </c>
      <c r="O519" s="1193" t="e">
        <f>ROUND(N519/I519*10,2)</f>
        <v>#REF!</v>
      </c>
    </row>
    <row r="520" spans="1:15" ht="16.5" x14ac:dyDescent="0.2">
      <c r="A520" s="1197" t="s">
        <v>537</v>
      </c>
      <c r="B520" s="1163"/>
      <c r="C520" s="1163"/>
      <c r="D520" s="1163"/>
      <c r="E520" s="1163"/>
      <c r="F520" s="1163"/>
      <c r="G520" s="1163"/>
      <c r="H520" s="1163"/>
      <c r="I520" s="1176"/>
      <c r="J520" s="1176"/>
      <c r="K520" s="1176"/>
      <c r="L520" s="1176"/>
      <c r="M520" s="1176"/>
      <c r="N520" s="1176"/>
      <c r="O520" s="1176"/>
    </row>
    <row r="521" spans="1:15" ht="16.5" x14ac:dyDescent="0.2">
      <c r="A521" s="1197" t="s">
        <v>537</v>
      </c>
      <c r="B521" s="1194"/>
      <c r="C521" s="1195" t="s">
        <v>606</v>
      </c>
      <c r="D521" s="1195"/>
      <c r="E521" s="1196">
        <f>E478+E519</f>
        <v>6166206</v>
      </c>
      <c r="F521" s="1196">
        <f>F478+F519</f>
        <v>6032649</v>
      </c>
      <c r="G521" s="1196">
        <f>G478+G519</f>
        <v>17153975</v>
      </c>
      <c r="H521" s="1195"/>
      <c r="I521" s="1193">
        <f>I478+I519</f>
        <v>12530.669999999998</v>
      </c>
      <c r="J521" s="1193"/>
      <c r="K521" s="1193"/>
      <c r="L521" s="1193" t="e">
        <f>L478+L519</f>
        <v>#REF!</v>
      </c>
      <c r="M521" s="1193" t="e">
        <f>M478+M519</f>
        <v>#REF!</v>
      </c>
      <c r="N521" s="1193" t="e">
        <f>L521+M521</f>
        <v>#REF!</v>
      </c>
      <c r="O521" s="1193" t="e">
        <f>ROUND(N521/I521*10,2)</f>
        <v>#REF!</v>
      </c>
    </row>
    <row r="522" spans="1:15" ht="16.5" x14ac:dyDescent="0.2">
      <c r="A522" s="1197" t="s">
        <v>537</v>
      </c>
      <c r="B522" s="1163"/>
      <c r="C522" s="1163"/>
      <c r="D522" s="1163"/>
      <c r="E522" s="1163"/>
      <c r="F522" s="1163"/>
      <c r="G522" s="1163"/>
      <c r="H522" s="1163"/>
      <c r="I522" s="1176"/>
      <c r="J522" s="1176"/>
      <c r="K522" s="1176"/>
      <c r="L522" s="1176"/>
      <c r="M522" s="1176"/>
      <c r="N522" s="1176"/>
      <c r="O522" s="1176"/>
    </row>
    <row r="523" spans="1:15" ht="16.5" x14ac:dyDescent="0.2">
      <c r="A523" s="1197" t="s">
        <v>537</v>
      </c>
      <c r="B523" s="1159">
        <v>16</v>
      </c>
      <c r="C523" s="1160"/>
      <c r="D523" s="1160"/>
      <c r="E523" s="1168"/>
      <c r="F523" s="1168"/>
      <c r="G523" s="1160"/>
      <c r="H523" s="1162"/>
      <c r="I523" s="1167"/>
      <c r="J523" s="1167"/>
      <c r="K523" s="1167"/>
      <c r="L523" s="1167"/>
      <c r="M523" s="1167"/>
      <c r="N523" s="1167"/>
      <c r="O523" s="1192"/>
    </row>
    <row r="524" spans="1:15" ht="16.5" x14ac:dyDescent="0.2">
      <c r="A524" s="1197" t="s">
        <v>537</v>
      </c>
      <c r="B524" s="1163"/>
      <c r="C524" s="1163"/>
      <c r="D524" s="1163"/>
      <c r="E524" s="1163"/>
      <c r="F524" s="1163"/>
      <c r="G524" s="1163"/>
      <c r="H524" s="1163"/>
      <c r="I524" s="1176"/>
      <c r="J524" s="1176"/>
      <c r="K524" s="1176"/>
      <c r="L524" s="1176"/>
      <c r="M524" s="1176"/>
      <c r="N524" s="1176"/>
      <c r="O524" s="1176"/>
    </row>
    <row r="525" spans="1:15" ht="16.5" x14ac:dyDescent="0.2">
      <c r="A525" s="1197" t="s">
        <v>537</v>
      </c>
      <c r="B525" s="1159">
        <v>17</v>
      </c>
      <c r="C525" s="1160"/>
      <c r="D525" s="1160"/>
      <c r="E525" s="1168"/>
      <c r="F525" s="1168"/>
      <c r="G525" s="1160"/>
      <c r="H525" s="1162"/>
      <c r="I525" s="1167"/>
      <c r="J525" s="1167"/>
      <c r="K525" s="1167"/>
      <c r="L525" s="1167"/>
      <c r="M525" s="1167"/>
      <c r="N525" s="1167"/>
      <c r="O525" s="1192"/>
    </row>
    <row r="526" spans="1:15" ht="16.5" x14ac:dyDescent="0.2">
      <c r="A526" s="1197" t="s">
        <v>537</v>
      </c>
      <c r="B526" s="1163"/>
      <c r="C526" s="1163"/>
      <c r="D526" s="1163"/>
      <c r="E526" s="1163"/>
      <c r="F526" s="1163"/>
      <c r="G526" s="1163"/>
      <c r="H526" s="1163"/>
      <c r="I526" s="1176"/>
      <c r="J526" s="1176"/>
      <c r="K526" s="1176"/>
      <c r="L526" s="1176"/>
      <c r="M526" s="1176"/>
      <c r="N526" s="1176"/>
      <c r="O526" s="1176"/>
    </row>
    <row r="527" spans="1:15" ht="16.5" x14ac:dyDescent="0.2">
      <c r="A527" s="1197" t="s">
        <v>537</v>
      </c>
      <c r="B527" s="1159">
        <v>18</v>
      </c>
      <c r="C527" s="1160"/>
      <c r="D527" s="1160" t="s">
        <v>305</v>
      </c>
      <c r="E527" s="1168"/>
      <c r="F527" s="1168"/>
      <c r="G527" s="1160"/>
      <c r="H527" s="1162"/>
      <c r="I527" s="1167"/>
      <c r="J527" s="1167"/>
      <c r="K527" s="1167"/>
      <c r="L527" s="1167">
        <v>0</v>
      </c>
      <c r="M527" s="1167">
        <f>ROUND((111.56+5.29)+((111.56+5.29)*10.23715%)+5.29,2)+21.82</f>
        <v>155.91999999999999</v>
      </c>
      <c r="N527" s="1167">
        <f>L527+M527</f>
        <v>155.91999999999999</v>
      </c>
      <c r="O527" s="1192"/>
    </row>
    <row r="528" spans="1:15" ht="16.5" x14ac:dyDescent="0.2">
      <c r="A528" s="1197" t="s">
        <v>537</v>
      </c>
      <c r="B528" s="1163"/>
      <c r="C528" s="1163"/>
      <c r="D528" s="1163"/>
      <c r="E528" s="1163"/>
      <c r="F528" s="1163"/>
      <c r="G528" s="1163"/>
      <c r="H528" s="1163"/>
      <c r="I528" s="1176"/>
      <c r="J528" s="1176"/>
      <c r="K528" s="1176"/>
      <c r="L528" s="1176"/>
      <c r="M528" s="1176"/>
      <c r="N528" s="1176"/>
      <c r="O528" s="1176"/>
    </row>
    <row r="529" spans="1:19" ht="16.5" x14ac:dyDescent="0.2">
      <c r="A529" s="1197" t="s">
        <v>537</v>
      </c>
      <c r="B529" s="1194"/>
      <c r="C529" s="1195" t="s">
        <v>607</v>
      </c>
      <c r="D529" s="1195"/>
      <c r="E529" s="1196">
        <f>E521+E527+E523+E525</f>
        <v>6166206</v>
      </c>
      <c r="F529" s="1196">
        <f>F521+F527+F523+F525</f>
        <v>6032649</v>
      </c>
      <c r="G529" s="1196">
        <f>G521+G527+G523+G525</f>
        <v>17153975</v>
      </c>
      <c r="H529" s="1195"/>
      <c r="I529" s="1193">
        <f>I521+I527+I523+I525</f>
        <v>12530.669999999998</v>
      </c>
      <c r="J529" s="1193"/>
      <c r="K529" s="1193"/>
      <c r="L529" s="1193" t="e">
        <f>L521+L527+L523+L525</f>
        <v>#REF!</v>
      </c>
      <c r="M529" s="1193" t="e">
        <f>M521+M527+M523+M525</f>
        <v>#REF!</v>
      </c>
      <c r="N529" s="1193" t="e">
        <f>L529+M529</f>
        <v>#REF!</v>
      </c>
      <c r="O529" s="1193" t="e">
        <f>ROUND(N529/I529*10,2)</f>
        <v>#REF!</v>
      </c>
      <c r="R529" s="1224" t="e">
        <f>+#REF!</f>
        <v>#REF!</v>
      </c>
      <c r="S529" s="1224" t="e">
        <f>+N529-R529</f>
        <v>#REF!</v>
      </c>
    </row>
    <row r="531" spans="1:19" x14ac:dyDescent="0.15">
      <c r="L531" s="1224"/>
      <c r="M531" s="1224"/>
      <c r="N531" s="1224"/>
      <c r="O531" s="1224"/>
    </row>
    <row r="532" spans="1:19" x14ac:dyDescent="0.15">
      <c r="N532" s="1224"/>
    </row>
    <row r="533" spans="1:19" x14ac:dyDescent="0.15">
      <c r="B533" s="1172" t="s">
        <v>609</v>
      </c>
      <c r="D533" s="1173" t="s">
        <v>608</v>
      </c>
    </row>
    <row r="534" spans="1:19" x14ac:dyDescent="0.15">
      <c r="B534" s="1187" t="s">
        <v>472</v>
      </c>
      <c r="C534" s="1187" t="s">
        <v>474</v>
      </c>
      <c r="D534" s="1188" t="s">
        <v>3</v>
      </c>
      <c r="E534" s="1187" t="s">
        <v>49</v>
      </c>
      <c r="F534" s="1187" t="s">
        <v>469</v>
      </c>
      <c r="G534" s="1187" t="s">
        <v>467</v>
      </c>
      <c r="H534" s="1188" t="s">
        <v>475</v>
      </c>
      <c r="I534" s="1188" t="s">
        <v>475</v>
      </c>
      <c r="J534" s="1187" t="s">
        <v>477</v>
      </c>
      <c r="K534" s="1187" t="s">
        <v>480</v>
      </c>
      <c r="L534" s="1189" t="s">
        <v>610</v>
      </c>
      <c r="M534" s="1189" t="s">
        <v>611</v>
      </c>
      <c r="N534" s="1189" t="s">
        <v>488</v>
      </c>
      <c r="O534" s="1189" t="s">
        <v>489</v>
      </c>
    </row>
    <row r="535" spans="1:19" x14ac:dyDescent="0.15">
      <c r="B535" s="1190" t="s">
        <v>473</v>
      </c>
      <c r="C535" s="1190" t="s">
        <v>31</v>
      </c>
      <c r="D535" s="1191"/>
      <c r="E535" s="1190" t="s">
        <v>33</v>
      </c>
      <c r="F535" s="1190" t="s">
        <v>33</v>
      </c>
      <c r="G535" s="1190" t="s">
        <v>468</v>
      </c>
      <c r="H535" s="1191" t="s">
        <v>487</v>
      </c>
      <c r="I535" s="1191" t="s">
        <v>476</v>
      </c>
      <c r="J535" s="1190" t="s">
        <v>479</v>
      </c>
      <c r="K535" s="1190" t="s">
        <v>478</v>
      </c>
      <c r="L535" s="1190" t="s">
        <v>481</v>
      </c>
      <c r="M535" s="1190" t="s">
        <v>481</v>
      </c>
      <c r="N535" s="1190" t="s">
        <v>481</v>
      </c>
      <c r="O535" s="1190" t="s">
        <v>478</v>
      </c>
    </row>
    <row r="536" spans="1:19" ht="16.5" x14ac:dyDescent="0.2">
      <c r="A536" s="1197" t="s">
        <v>541</v>
      </c>
      <c r="B536" s="1159"/>
      <c r="C536" s="1160" t="s">
        <v>38</v>
      </c>
      <c r="D536" s="1160" t="s">
        <v>482</v>
      </c>
      <c r="E536" s="1168">
        <f>Sales_FY24!$P$167</f>
        <v>590514</v>
      </c>
      <c r="F536" s="1168">
        <f>Sales_FY24!$V$167</f>
        <v>590514</v>
      </c>
      <c r="G536" s="1160">
        <f>ROUND(E536*0.1,0)</f>
        <v>59051</v>
      </c>
      <c r="H536" s="1167"/>
      <c r="I536" s="1167">
        <f>Sales_FY24!$Q$167</f>
        <v>263.05</v>
      </c>
      <c r="J536" s="1167" t="e">
        <f>+#REF!</f>
        <v>#REF!</v>
      </c>
      <c r="K536" s="1167" t="e">
        <f>+#REF!</f>
        <v>#REF!</v>
      </c>
      <c r="L536" s="1167"/>
      <c r="M536" s="1167" t="e">
        <f>ROUND(I536*1000000*K536/10000000,2)</f>
        <v>#REF!</v>
      </c>
      <c r="N536" s="1175" t="e">
        <f>+L536+M536</f>
        <v>#REF!</v>
      </c>
      <c r="O536" s="1171" t="e">
        <f>ROUND(N536/I536*10,2)</f>
        <v>#REF!</v>
      </c>
    </row>
    <row r="537" spans="1:19" ht="16.5" x14ac:dyDescent="0.2">
      <c r="A537" s="1197" t="s">
        <v>541</v>
      </c>
      <c r="B537" s="1159"/>
      <c r="C537" s="1160" t="s">
        <v>38</v>
      </c>
      <c r="D537" s="1161" t="s">
        <v>483</v>
      </c>
      <c r="E537" s="1168">
        <f>Sales_FY24!$P$168</f>
        <v>7161</v>
      </c>
      <c r="F537" s="1168">
        <f>Sales_FY24!$V$168</f>
        <v>7161</v>
      </c>
      <c r="G537" s="1160">
        <f>ROUND(E537*0.1,0)</f>
        <v>716</v>
      </c>
      <c r="H537" s="1162" t="s">
        <v>426</v>
      </c>
      <c r="I537" s="1167">
        <f>ROUND(F537*50*12/1000000,2)</f>
        <v>4.3</v>
      </c>
      <c r="J537" s="1167">
        <v>100</v>
      </c>
      <c r="K537" s="1167">
        <f>+K548</f>
        <v>4.0999999999999996</v>
      </c>
      <c r="L537" s="1167">
        <f>ROUND((F537*J537*12)/10000000,2)</f>
        <v>0.86</v>
      </c>
      <c r="M537" s="1167">
        <f>ROUND(I537*1000000*K537/10000000,2)</f>
        <v>1.76</v>
      </c>
      <c r="N537" s="1167"/>
      <c r="O537" s="1167"/>
    </row>
    <row r="538" spans="1:19" ht="16.5" x14ac:dyDescent="0.2">
      <c r="A538" s="1197" t="s">
        <v>541</v>
      </c>
      <c r="B538" s="1159"/>
      <c r="C538" s="1160"/>
      <c r="D538" s="1161"/>
      <c r="E538" s="1160"/>
      <c r="F538" s="1160"/>
      <c r="G538" s="1160"/>
      <c r="H538" s="1162" t="s">
        <v>432</v>
      </c>
      <c r="I538" s="1167">
        <f>I539-I537</f>
        <v>3.3</v>
      </c>
      <c r="J538" s="1167"/>
      <c r="K538" s="1167">
        <f>+K549</f>
        <v>5.6</v>
      </c>
      <c r="L538" s="1167"/>
      <c r="M538" s="1167">
        <f>ROUND(I538*1000000*K538/10000000,2)</f>
        <v>1.85</v>
      </c>
      <c r="N538" s="1167"/>
      <c r="O538" s="1167"/>
    </row>
    <row r="539" spans="1:19" ht="16.5" x14ac:dyDescent="0.2">
      <c r="A539" s="1197" t="s">
        <v>541</v>
      </c>
      <c r="B539" s="1172"/>
      <c r="C539" s="1173"/>
      <c r="D539" s="1174" t="s">
        <v>486</v>
      </c>
      <c r="E539" s="1173">
        <f>SUM(E537:E538)</f>
        <v>7161</v>
      </c>
      <c r="F539" s="1173">
        <f>SUM(F537:F538)</f>
        <v>7161</v>
      </c>
      <c r="G539" s="1173">
        <f>SUM(G537:G538)</f>
        <v>716</v>
      </c>
      <c r="H539" s="1173"/>
      <c r="I539" s="1175">
        <f>Sales_FY24!$Q$168</f>
        <v>7.6</v>
      </c>
      <c r="J539" s="1175"/>
      <c r="K539" s="1175"/>
      <c r="L539" s="1175">
        <f>SUM(L537:L538)</f>
        <v>0.86</v>
      </c>
      <c r="M539" s="1175">
        <f>SUM(M537:M538)</f>
        <v>3.6100000000000003</v>
      </c>
      <c r="N539" s="1175">
        <f>+L539+M539</f>
        <v>4.4700000000000006</v>
      </c>
      <c r="O539" s="1171">
        <f>ROUND(N539/I539*10,2)</f>
        <v>5.88</v>
      </c>
    </row>
    <row r="540" spans="1:19" ht="16.5" x14ac:dyDescent="0.2">
      <c r="A540" s="1197" t="s">
        <v>541</v>
      </c>
      <c r="B540" s="1164">
        <v>1</v>
      </c>
      <c r="C540" s="1165" t="s">
        <v>484</v>
      </c>
      <c r="D540" s="1165"/>
      <c r="E540" s="1169">
        <f>+E536+E539</f>
        <v>597675</v>
      </c>
      <c r="F540" s="1169">
        <f>+F536+F539</f>
        <v>597675</v>
      </c>
      <c r="G540" s="1169">
        <f>+G536+G539</f>
        <v>59767</v>
      </c>
      <c r="H540" s="1165"/>
      <c r="I540" s="1170">
        <f>+I536+I539</f>
        <v>270.65000000000003</v>
      </c>
      <c r="J540" s="1170"/>
      <c r="K540" s="1170"/>
      <c r="L540" s="1170">
        <f>+L536+L539</f>
        <v>0.86</v>
      </c>
      <c r="M540" s="1170" t="e">
        <f>+M536+M539</f>
        <v>#REF!</v>
      </c>
      <c r="N540" s="1170" t="e">
        <f>L540+M540</f>
        <v>#REF!</v>
      </c>
      <c r="O540" s="1170"/>
      <c r="R540" s="1224" t="e">
        <f>+N540-#REF!</f>
        <v>#REF!</v>
      </c>
    </row>
    <row r="541" spans="1:19" ht="16.5" x14ac:dyDescent="0.2">
      <c r="A541" s="1197" t="s">
        <v>541</v>
      </c>
      <c r="B541" s="1163"/>
      <c r="C541" s="1163"/>
      <c r="D541" s="1163"/>
      <c r="E541" s="1163"/>
      <c r="F541" s="1163"/>
      <c r="G541" s="1163"/>
      <c r="H541" s="1163"/>
      <c r="I541" s="1176"/>
      <c r="J541" s="1176"/>
      <c r="K541" s="1176"/>
      <c r="L541" s="1176"/>
      <c r="M541" s="1176"/>
      <c r="N541" s="1176"/>
      <c r="O541" s="1176"/>
    </row>
    <row r="542" spans="1:19" ht="16.5" x14ac:dyDescent="0.2">
      <c r="A542" s="1197" t="s">
        <v>541</v>
      </c>
      <c r="B542" s="1159"/>
      <c r="C542" s="1160" t="s">
        <v>485</v>
      </c>
      <c r="D542" s="1160" t="s">
        <v>43</v>
      </c>
      <c r="E542" s="1160">
        <f>ROUND(E546*78%,0)</f>
        <v>834171</v>
      </c>
      <c r="F542" s="1160">
        <f>ROUND(F546*78%,0)</f>
        <v>818362</v>
      </c>
      <c r="G542" s="1160">
        <f>ROUND(F542*0.8,0)</f>
        <v>654690</v>
      </c>
      <c r="H542" s="1162" t="s">
        <v>426</v>
      </c>
      <c r="I542" s="1167">
        <f>ROUND(I546*28.317%,2)</f>
        <v>296.22000000000003</v>
      </c>
      <c r="J542" s="1167" t="e">
        <f>+#REF!</f>
        <v>#REF!</v>
      </c>
      <c r="K542" s="1167" t="e">
        <f>+#REF!</f>
        <v>#REF!</v>
      </c>
      <c r="L542" s="1167" t="e">
        <f>ROUND((F542*J542*12)/10000000,2)</f>
        <v>#REF!</v>
      </c>
      <c r="M542" s="1167" t="e">
        <f>ROUND(I542*1000000*K542/10000000,2)</f>
        <v>#REF!</v>
      </c>
      <c r="N542" s="1167"/>
      <c r="O542" s="1171"/>
    </row>
    <row r="543" spans="1:19" ht="16.5" x14ac:dyDescent="0.2">
      <c r="A543" s="1197" t="s">
        <v>541</v>
      </c>
      <c r="B543" s="1159"/>
      <c r="C543" s="1160"/>
      <c r="D543" s="1160" t="s">
        <v>451</v>
      </c>
      <c r="E543" s="1160">
        <f>ROUND(E546*22%,0)</f>
        <v>235279</v>
      </c>
      <c r="F543" s="1160">
        <f>ROUND(F546*22%,0)</f>
        <v>230820</v>
      </c>
      <c r="G543" s="1160">
        <f>ROUND(F543*3.25,0)</f>
        <v>750165</v>
      </c>
      <c r="H543" s="1162" t="s">
        <v>432</v>
      </c>
      <c r="I543" s="1167">
        <f>ROUND(I546*33.39%,2)</f>
        <v>349.29</v>
      </c>
      <c r="J543" s="1167" t="e">
        <f>+#REF!</f>
        <v>#REF!</v>
      </c>
      <c r="K543" s="1167" t="e">
        <f>+#REF!</f>
        <v>#REF!</v>
      </c>
      <c r="L543" s="1167" t="e">
        <f>ROUND(((F543*J542*12)+((G543-F543)*J543*12))/10000000,2)</f>
        <v>#REF!</v>
      </c>
      <c r="M543" s="1167" t="e">
        <f>ROUND(I543*1000000*K543/10000000,2)</f>
        <v>#REF!</v>
      </c>
      <c r="N543" s="1167"/>
      <c r="O543" s="1167"/>
    </row>
    <row r="544" spans="1:19" ht="16.5" x14ac:dyDescent="0.2">
      <c r="A544" s="1197" t="s">
        <v>541</v>
      </c>
      <c r="B544" s="1159"/>
      <c r="C544" s="1160"/>
      <c r="D544" s="1160" t="s">
        <v>444</v>
      </c>
      <c r="E544" s="1160">
        <f>+E546-E542-E543</f>
        <v>0</v>
      </c>
      <c r="F544" s="1160">
        <f>+F546-F542-F543</f>
        <v>0</v>
      </c>
      <c r="G544" s="1160">
        <f>ROUND(F544*0,0)</f>
        <v>0</v>
      </c>
      <c r="H544" s="1162" t="s">
        <v>380</v>
      </c>
      <c r="I544" s="1167">
        <f>ROUND(I546*24.553%,2)</f>
        <v>256.85000000000002</v>
      </c>
      <c r="J544" s="1167" t="e">
        <f>+#REF!</f>
        <v>#REF!</v>
      </c>
      <c r="K544" s="1167" t="e">
        <f>+#REF!</f>
        <v>#REF!</v>
      </c>
      <c r="L544" s="1167" t="e">
        <f>ROUND(((F544*J542*12)+(F544*49*12*J543)+((G544-(F544*50))*12*J544))/10000000,2)</f>
        <v>#REF!</v>
      </c>
      <c r="M544" s="1167" t="e">
        <f>ROUND(I544*1000000*K544/10000000,2)</f>
        <v>#REF!</v>
      </c>
      <c r="N544" s="1167"/>
      <c r="O544" s="1167"/>
    </row>
    <row r="545" spans="1:18" ht="16.5" x14ac:dyDescent="0.2">
      <c r="A545" s="1197" t="s">
        <v>541</v>
      </c>
      <c r="B545" s="1159"/>
      <c r="C545" s="1160"/>
      <c r="D545" s="1160"/>
      <c r="E545" s="1160"/>
      <c r="F545" s="1160"/>
      <c r="G545" s="1160"/>
      <c r="H545" s="1162" t="s">
        <v>411</v>
      </c>
      <c r="I545" s="1167">
        <f>+I546-I542-I543-I544</f>
        <v>143.72999999999985</v>
      </c>
      <c r="J545" s="1167"/>
      <c r="K545" s="1167" t="e">
        <f>+#REF!</f>
        <v>#REF!</v>
      </c>
      <c r="L545" s="1167"/>
      <c r="M545" s="1167" t="e">
        <f>ROUND(I545*1000000*K545/10000000,2)</f>
        <v>#REF!</v>
      </c>
      <c r="N545" s="1167"/>
      <c r="O545" s="1167"/>
    </row>
    <row r="546" spans="1:18" ht="16.5" x14ac:dyDescent="0.2">
      <c r="A546" s="1197" t="s">
        <v>541</v>
      </c>
      <c r="B546" s="1164"/>
      <c r="C546" s="1165"/>
      <c r="D546" s="1166" t="s">
        <v>486</v>
      </c>
      <c r="E546" s="1165">
        <f>ROUND(E553*50.71%,0)</f>
        <v>1069450</v>
      </c>
      <c r="F546" s="1165">
        <f>ROUND(F553*50.71%,0)</f>
        <v>1049182</v>
      </c>
      <c r="G546" s="1165">
        <f>SUM(G542:G545)</f>
        <v>1404855</v>
      </c>
      <c r="H546" s="1165"/>
      <c r="I546" s="1170">
        <f>ROUND(I553*73.34%,2)</f>
        <v>1046.0899999999999</v>
      </c>
      <c r="J546" s="1170"/>
      <c r="K546" s="1170"/>
      <c r="L546" s="1170" t="e">
        <f>SUM(L542:L545)</f>
        <v>#REF!</v>
      </c>
      <c r="M546" s="1170" t="e">
        <f>SUM(M542:M545)</f>
        <v>#REF!</v>
      </c>
      <c r="N546" s="1170" t="e">
        <f>L546+M546</f>
        <v>#REF!</v>
      </c>
      <c r="O546" s="1177" t="e">
        <f>ROUND(N546/I546*10,2)</f>
        <v>#REF!</v>
      </c>
      <c r="R546" s="1224" t="e">
        <f>+N546-#REF!</f>
        <v>#REF!</v>
      </c>
    </row>
    <row r="547" spans="1:18" ht="16.5" x14ac:dyDescent="0.2">
      <c r="A547" s="1197" t="s">
        <v>541</v>
      </c>
      <c r="B547" s="1163"/>
      <c r="C547" s="1163"/>
      <c r="D547" s="1163"/>
      <c r="E547" s="1163"/>
      <c r="F547" s="1163"/>
      <c r="G547" s="1163"/>
      <c r="H547" s="1163"/>
      <c r="I547" s="1176"/>
      <c r="J547" s="1176"/>
      <c r="K547" s="1176"/>
      <c r="L547" s="1176"/>
      <c r="M547" s="1176"/>
      <c r="N547" s="1176"/>
      <c r="O547" s="1176"/>
    </row>
    <row r="548" spans="1:18" ht="16.5" x14ac:dyDescent="0.2">
      <c r="A548" s="1197" t="s">
        <v>541</v>
      </c>
      <c r="B548" s="1159"/>
      <c r="C548" s="1160" t="s">
        <v>555</v>
      </c>
      <c r="D548" s="1160" t="s">
        <v>43</v>
      </c>
      <c r="E548" s="1160">
        <f>ROUND(E552*91%,0)</f>
        <v>945947</v>
      </c>
      <c r="F548" s="1160">
        <f>ROUND(F552*91%,0)</f>
        <v>928020</v>
      </c>
      <c r="G548" s="1160">
        <f>ROUND(F548*0.75,0)</f>
        <v>696015</v>
      </c>
      <c r="H548" s="1162" t="s">
        <v>426</v>
      </c>
      <c r="I548" s="1167">
        <f>ROUND(I552*42.843%,2)</f>
        <v>162.91</v>
      </c>
      <c r="J548" s="1167">
        <v>100</v>
      </c>
      <c r="K548" s="1167">
        <v>4.0999999999999996</v>
      </c>
      <c r="L548" s="1167">
        <f>ROUND((F548*J548*12)/10000000,2)</f>
        <v>111.36</v>
      </c>
      <c r="M548" s="1167">
        <f>ROUND(I548*1000000*K548/10000000,2)</f>
        <v>66.790000000000006</v>
      </c>
      <c r="N548" s="1167"/>
      <c r="O548" s="1167"/>
    </row>
    <row r="549" spans="1:18" ht="16.5" x14ac:dyDescent="0.2">
      <c r="A549" s="1197" t="s">
        <v>541</v>
      </c>
      <c r="B549" s="1159"/>
      <c r="C549" s="1160"/>
      <c r="D549" s="1160" t="s">
        <v>451</v>
      </c>
      <c r="E549" s="1160">
        <f>ROUND(E552*8.99998%,0)</f>
        <v>93555</v>
      </c>
      <c r="F549" s="1160">
        <f>ROUND(F552*8.99998%,0)</f>
        <v>91782</v>
      </c>
      <c r="G549" s="1160">
        <f>ROUND(F549*2.885,0)</f>
        <v>264791</v>
      </c>
      <c r="H549" s="1162" t="s">
        <v>432</v>
      </c>
      <c r="I549" s="1167">
        <f>ROUND(I552*39.42%,2)</f>
        <v>149.9</v>
      </c>
      <c r="J549" s="1167">
        <v>110</v>
      </c>
      <c r="K549" s="1167">
        <v>5.6</v>
      </c>
      <c r="L549" s="1167">
        <f>ROUND(((F549*J548*12)+((G549-F549)*J549*12))/10000000,2)</f>
        <v>33.85</v>
      </c>
      <c r="M549" s="1167">
        <f>ROUND(I549*1000000*K549/10000000,2)</f>
        <v>83.94</v>
      </c>
      <c r="N549" s="1167"/>
      <c r="O549" s="1167"/>
    </row>
    <row r="550" spans="1:18" ht="16.5" x14ac:dyDescent="0.2">
      <c r="A550" s="1197" t="s">
        <v>541</v>
      </c>
      <c r="B550" s="1159"/>
      <c r="C550" s="1160"/>
      <c r="D550" s="1160" t="s">
        <v>444</v>
      </c>
      <c r="E550" s="1160">
        <f>+E552-E548-E549</f>
        <v>0</v>
      </c>
      <c r="F550" s="1160">
        <f>+F552-F548-F549</f>
        <v>0</v>
      </c>
      <c r="G550" s="1160">
        <f>ROUND(F550*0,0)</f>
        <v>0</v>
      </c>
      <c r="H550" s="1162" t="s">
        <v>380</v>
      </c>
      <c r="I550" s="1167">
        <f>ROUND(I552*12.307%,2)</f>
        <v>46.8</v>
      </c>
      <c r="J550" s="1167">
        <v>175</v>
      </c>
      <c r="K550" s="1167">
        <v>7.15</v>
      </c>
      <c r="L550" s="1167">
        <f>ROUND(((F550*J548*12)+(F550*49*12*J549)+((G550-(F550*50))*12*J550))/10000000,2)</f>
        <v>0</v>
      </c>
      <c r="M550" s="1167">
        <f>ROUND(I550*1000000*K550/10000000,2)</f>
        <v>33.46</v>
      </c>
      <c r="N550" s="1167"/>
      <c r="O550" s="1167"/>
    </row>
    <row r="551" spans="1:18" ht="16.5" x14ac:dyDescent="0.2">
      <c r="A551" s="1197" t="s">
        <v>541</v>
      </c>
      <c r="B551" s="1159"/>
      <c r="C551" s="1160"/>
      <c r="D551" s="1160"/>
      <c r="E551" s="1160"/>
      <c r="F551" s="1160"/>
      <c r="G551" s="1160"/>
      <c r="H551" s="1162" t="s">
        <v>411</v>
      </c>
      <c r="I551" s="1167">
        <f>+I552-I548-I549-I550</f>
        <v>20.649999999999991</v>
      </c>
      <c r="J551" s="1167"/>
      <c r="K551" s="1167">
        <v>8.1999999999999993</v>
      </c>
      <c r="L551" s="1167"/>
      <c r="M551" s="1167">
        <f>ROUND(I551*1000000*K551/10000000,2)</f>
        <v>16.93</v>
      </c>
      <c r="N551" s="1167"/>
      <c r="O551" s="1167"/>
    </row>
    <row r="552" spans="1:18" ht="16.5" x14ac:dyDescent="0.2">
      <c r="A552" s="1197" t="s">
        <v>541</v>
      </c>
      <c r="B552" s="1164"/>
      <c r="C552" s="1165"/>
      <c r="D552" s="1166" t="s">
        <v>486</v>
      </c>
      <c r="E552" s="1169">
        <f>E553-E546</f>
        <v>1039502</v>
      </c>
      <c r="F552" s="1169">
        <f>F553-F546</f>
        <v>1019802</v>
      </c>
      <c r="G552" s="1165">
        <f>SUM(G548:G551)</f>
        <v>960806</v>
      </c>
      <c r="H552" s="1165"/>
      <c r="I552" s="1170">
        <f>I553-I546</f>
        <v>380.26</v>
      </c>
      <c r="J552" s="1170"/>
      <c r="K552" s="1170"/>
      <c r="L552" s="1170">
        <f>SUM(L548:L551)</f>
        <v>145.21</v>
      </c>
      <c r="M552" s="1170">
        <f>SUM(M548:M551)</f>
        <v>201.12000000000003</v>
      </c>
      <c r="N552" s="1170">
        <f>L552+M552</f>
        <v>346.33000000000004</v>
      </c>
      <c r="O552" s="1177">
        <f>ROUND(N552/I552*10,2)</f>
        <v>9.11</v>
      </c>
      <c r="R552" s="1224" t="e">
        <f>+N552-#REF!</f>
        <v>#REF!</v>
      </c>
    </row>
    <row r="553" spans="1:18" ht="16.5" x14ac:dyDescent="0.2">
      <c r="A553" s="1197" t="s">
        <v>541</v>
      </c>
      <c r="B553" s="1164">
        <v>2</v>
      </c>
      <c r="C553" s="1165" t="s">
        <v>490</v>
      </c>
      <c r="D553" s="1165"/>
      <c r="E553" s="1169">
        <f>Sales_FY24!$P$169</f>
        <v>2108952</v>
      </c>
      <c r="F553" s="1169">
        <f>Sales_FY24!$V$169</f>
        <v>2068984</v>
      </c>
      <c r="G553" s="1169">
        <f>G546+G552</f>
        <v>2365661</v>
      </c>
      <c r="H553" s="1165"/>
      <c r="I553" s="1170">
        <f>Sales_FY24!$Q$169</f>
        <v>1426.35</v>
      </c>
      <c r="J553" s="1170"/>
      <c r="K553" s="1170"/>
      <c r="L553" s="1170" t="e">
        <f>L546+L552</f>
        <v>#REF!</v>
      </c>
      <c r="M553" s="1170" t="e">
        <f>M546+M552</f>
        <v>#REF!</v>
      </c>
      <c r="N553" s="1170" t="e">
        <f>L553+M553</f>
        <v>#REF!</v>
      </c>
      <c r="O553" s="1177" t="e">
        <f>ROUND(N553/I553*10,2)</f>
        <v>#REF!</v>
      </c>
      <c r="R553" s="1224"/>
    </row>
    <row r="554" spans="1:18" ht="16.5" x14ac:dyDescent="0.2">
      <c r="A554" s="1197" t="s">
        <v>541</v>
      </c>
      <c r="B554" s="1163"/>
      <c r="C554" s="1163"/>
      <c r="D554" s="1163"/>
      <c r="E554" s="1163"/>
      <c r="F554" s="1163"/>
      <c r="G554" s="1163"/>
      <c r="H554" s="1163"/>
      <c r="I554" s="1176"/>
      <c r="J554" s="1176"/>
      <c r="K554" s="1176"/>
      <c r="L554" s="1176"/>
      <c r="M554" s="1176"/>
      <c r="N554" s="1176"/>
      <c r="O554" s="1176"/>
    </row>
    <row r="555" spans="1:18" ht="16.5" x14ac:dyDescent="0.2">
      <c r="A555" s="1197" t="s">
        <v>541</v>
      </c>
      <c r="B555" s="1159"/>
      <c r="C555" s="1160" t="s">
        <v>491</v>
      </c>
      <c r="D555" s="1160" t="s">
        <v>492</v>
      </c>
      <c r="E555" s="1160">
        <f>ROUND(E558*100%,0)</f>
        <v>4457</v>
      </c>
      <c r="F555" s="1160">
        <f>ROUND(F558*100%,0)</f>
        <v>4350</v>
      </c>
      <c r="G555" s="1160">
        <f>ROUND(F555*2.85,0)</f>
        <v>12398</v>
      </c>
      <c r="H555" s="1162" t="s">
        <v>493</v>
      </c>
      <c r="I555" s="1167">
        <f>ROUND(I558*35.5%,2)</f>
        <v>4.04</v>
      </c>
      <c r="J555" s="1167" t="e">
        <f>+#REF!</f>
        <v>#REF!</v>
      </c>
      <c r="K555" s="1167" t="e">
        <f>+#REF!</f>
        <v>#REF!</v>
      </c>
      <c r="L555" s="1167" t="e">
        <f>ROUND(G555*J555*12/10000000,2)</f>
        <v>#REF!</v>
      </c>
      <c r="M555" s="1167" t="e">
        <f>ROUND(I555*1000000*K555/10000000,2)</f>
        <v>#REF!</v>
      </c>
      <c r="N555" s="1167"/>
      <c r="O555" s="1167"/>
    </row>
    <row r="556" spans="1:18" ht="16.5" x14ac:dyDescent="0.2">
      <c r="A556" s="1197" t="s">
        <v>541</v>
      </c>
      <c r="B556" s="1159"/>
      <c r="C556" s="1160"/>
      <c r="D556" s="1160" t="s">
        <v>444</v>
      </c>
      <c r="E556" s="1160">
        <f>E558-E555</f>
        <v>0</v>
      </c>
      <c r="F556" s="1160">
        <f>F558-F555</f>
        <v>0</v>
      </c>
      <c r="G556" s="1160">
        <f>ROUND(F556*23.54637,0)</f>
        <v>0</v>
      </c>
      <c r="H556" s="1162" t="s">
        <v>411</v>
      </c>
      <c r="I556" s="1167">
        <f>I558-I555</f>
        <v>7.3299999999999992</v>
      </c>
      <c r="J556" s="1167" t="e">
        <f>+#REF!</f>
        <v>#REF!</v>
      </c>
      <c r="K556" s="1167" t="e">
        <f>+#REF!</f>
        <v>#REF!</v>
      </c>
      <c r="L556" s="1167" t="e">
        <f>ROUND(((F556*J555*50*12)+((G556-(F556*50))*J556*12))/10000000,2)</f>
        <v>#REF!</v>
      </c>
      <c r="M556" s="1167" t="e">
        <f>ROUND(I556*1000000*K556/10000000,2)</f>
        <v>#REF!</v>
      </c>
      <c r="N556" s="1167"/>
      <c r="O556" s="1167"/>
    </row>
    <row r="557" spans="1:18" ht="16.5" x14ac:dyDescent="0.2">
      <c r="A557" s="1197" t="s">
        <v>541</v>
      </c>
      <c r="B557" s="1159"/>
      <c r="C557" s="1160"/>
      <c r="D557" s="1160" t="s">
        <v>556</v>
      </c>
      <c r="E557" s="1160"/>
      <c r="F557" s="1160"/>
      <c r="G557" s="1160"/>
      <c r="H557" s="1162"/>
      <c r="I557" s="1167"/>
      <c r="J557" s="1186" t="e">
        <f>+#REF!</f>
        <v>#REF!</v>
      </c>
      <c r="K557" s="1167"/>
      <c r="L557" s="1167"/>
      <c r="M557" s="1167"/>
      <c r="N557" s="1167"/>
      <c r="O557" s="1167"/>
    </row>
    <row r="558" spans="1:18" ht="16.5" x14ac:dyDescent="0.2">
      <c r="A558" s="1197" t="s">
        <v>541</v>
      </c>
      <c r="B558" s="1164"/>
      <c r="C558" s="1165"/>
      <c r="D558" s="1166" t="s">
        <v>486</v>
      </c>
      <c r="E558" s="1165">
        <f>ROUND(E564*71.99%,0)</f>
        <v>4457</v>
      </c>
      <c r="F558" s="1165">
        <f>ROUND(F564*71.99%,0)</f>
        <v>4350</v>
      </c>
      <c r="G558" s="1165">
        <f>SUM(G555:G556)</f>
        <v>12398</v>
      </c>
      <c r="H558" s="1165"/>
      <c r="I558" s="1170">
        <f>ROUND(I564*84.35%,2)</f>
        <v>11.37</v>
      </c>
      <c r="J558" s="1170"/>
      <c r="K558" s="1170"/>
      <c r="L558" s="1170" t="e">
        <f>SUM(L555:L556)</f>
        <v>#REF!</v>
      </c>
      <c r="M558" s="1170" t="e">
        <f>SUM(M555:M556)</f>
        <v>#REF!</v>
      </c>
      <c r="N558" s="1170" t="e">
        <f>L558+M558</f>
        <v>#REF!</v>
      </c>
      <c r="O558" s="1177" t="e">
        <f>ROUND(N558/I558*10,2)</f>
        <v>#REF!</v>
      </c>
      <c r="R558" s="1224" t="e">
        <f>+N558-#REF!</f>
        <v>#REF!</v>
      </c>
    </row>
    <row r="559" spans="1:18" ht="16.5" x14ac:dyDescent="0.2">
      <c r="A559" s="1197" t="s">
        <v>541</v>
      </c>
      <c r="B559" s="1163"/>
      <c r="C559" s="1163"/>
      <c r="D559" s="1163"/>
      <c r="E559" s="1163"/>
      <c r="F559" s="1163"/>
      <c r="G559" s="1163"/>
      <c r="H559" s="1163"/>
      <c r="I559" s="1176"/>
      <c r="J559" s="1176"/>
      <c r="K559" s="1176"/>
      <c r="L559" s="1176"/>
      <c r="M559" s="1176"/>
      <c r="N559" s="1176"/>
      <c r="O559" s="1176"/>
    </row>
    <row r="560" spans="1:18" ht="16.5" x14ac:dyDescent="0.2">
      <c r="A560" s="1197" t="s">
        <v>541</v>
      </c>
      <c r="B560" s="1159"/>
      <c r="C560" s="1160" t="s">
        <v>554</v>
      </c>
      <c r="D560" s="1160" t="s">
        <v>492</v>
      </c>
      <c r="E560" s="1160">
        <f>ROUND(E563*100%,0)</f>
        <v>1734</v>
      </c>
      <c r="F560" s="1160">
        <f>ROUND(F563*100%,0)</f>
        <v>1692</v>
      </c>
      <c r="G560" s="1160">
        <f>ROUND(F560*2.5,0)</f>
        <v>4230</v>
      </c>
      <c r="H560" s="1162" t="s">
        <v>493</v>
      </c>
      <c r="I560" s="1167">
        <f>ROUND(I563*65%,2)</f>
        <v>1.37</v>
      </c>
      <c r="J560" s="1167">
        <v>120</v>
      </c>
      <c r="K560" s="1167">
        <v>7.3</v>
      </c>
      <c r="L560" s="1167">
        <f>ROUND(G560*J560*12/10000000,2)</f>
        <v>0.61</v>
      </c>
      <c r="M560" s="1167">
        <f>ROUND(I560*1000000*K560/10000000,2)</f>
        <v>1</v>
      </c>
      <c r="N560" s="1167"/>
      <c r="O560" s="1167"/>
    </row>
    <row r="561" spans="1:18" ht="16.5" x14ac:dyDescent="0.2">
      <c r="A561" s="1197" t="s">
        <v>541</v>
      </c>
      <c r="B561" s="1159"/>
      <c r="C561" s="1160"/>
      <c r="D561" s="1160" t="s">
        <v>444</v>
      </c>
      <c r="E561" s="1160">
        <f>E563-E560</f>
        <v>0</v>
      </c>
      <c r="F561" s="1160">
        <f>F563-F560</f>
        <v>0</v>
      </c>
      <c r="G561" s="1160">
        <f>ROUND(F561*19.14236,0)</f>
        <v>0</v>
      </c>
      <c r="H561" s="1162" t="s">
        <v>411</v>
      </c>
      <c r="I561" s="1167">
        <f>I563-I560</f>
        <v>0.7400000000000011</v>
      </c>
      <c r="J561" s="1167">
        <v>175</v>
      </c>
      <c r="K561" s="1167">
        <v>8.5500000000000007</v>
      </c>
      <c r="L561" s="1167">
        <f>ROUND(((F561*J560*50*12)+((G561-(F561*50))*J561*12))/10000000,2)</f>
        <v>0</v>
      </c>
      <c r="M561" s="1167">
        <f>ROUND(I561*1000000*K561/10000000,2)</f>
        <v>0.63</v>
      </c>
      <c r="N561" s="1167"/>
      <c r="O561" s="1167"/>
    </row>
    <row r="562" spans="1:18" ht="16.5" x14ac:dyDescent="0.2">
      <c r="A562" s="1197" t="s">
        <v>541</v>
      </c>
      <c r="B562" s="1159"/>
      <c r="C562" s="1160"/>
      <c r="D562" s="1160" t="s">
        <v>556</v>
      </c>
      <c r="E562" s="1160"/>
      <c r="F562" s="1160"/>
      <c r="G562" s="1160"/>
      <c r="H562" s="1162"/>
      <c r="I562" s="1167"/>
      <c r="J562" s="1186">
        <v>150</v>
      </c>
      <c r="K562" s="1167"/>
      <c r="L562" s="1167"/>
      <c r="M562" s="1167"/>
      <c r="N562" s="1167"/>
      <c r="O562" s="1167"/>
    </row>
    <row r="563" spans="1:18" ht="16.5" x14ac:dyDescent="0.2">
      <c r="A563" s="1197" t="s">
        <v>541</v>
      </c>
      <c r="B563" s="1164"/>
      <c r="C563" s="1165"/>
      <c r="D563" s="1166" t="s">
        <v>486</v>
      </c>
      <c r="E563" s="1169">
        <f>E564-E558</f>
        <v>1734</v>
      </c>
      <c r="F563" s="1169">
        <f>F564-F558</f>
        <v>1692</v>
      </c>
      <c r="G563" s="1165">
        <f>SUM(G560:G561)</f>
        <v>4230</v>
      </c>
      <c r="H563" s="1165"/>
      <c r="I563" s="1170">
        <f>I564-I558</f>
        <v>2.1100000000000012</v>
      </c>
      <c r="J563" s="1170"/>
      <c r="K563" s="1170"/>
      <c r="L563" s="1170">
        <f>SUM(L560:L561)</f>
        <v>0.61</v>
      </c>
      <c r="M563" s="1170">
        <f>SUM(M560:M561)</f>
        <v>1.63</v>
      </c>
      <c r="N563" s="1170">
        <f>L563+M563</f>
        <v>2.2399999999999998</v>
      </c>
      <c r="O563" s="1177">
        <f>ROUND(N563/I563*10,2)</f>
        <v>10.62</v>
      </c>
      <c r="R563" s="1224" t="e">
        <f>+N563-#REF!</f>
        <v>#REF!</v>
      </c>
    </row>
    <row r="564" spans="1:18" ht="16.5" x14ac:dyDescent="0.2">
      <c r="A564" s="1197" t="s">
        <v>541</v>
      </c>
      <c r="B564" s="1164">
        <v>3</v>
      </c>
      <c r="C564" s="1165" t="s">
        <v>553</v>
      </c>
      <c r="D564" s="1165"/>
      <c r="E564" s="1169">
        <f>Sales_FY24!$P$170</f>
        <v>6191</v>
      </c>
      <c r="F564" s="1169">
        <f>Sales_FY24!$V$170</f>
        <v>6042</v>
      </c>
      <c r="G564" s="1169">
        <f>G555+G563</f>
        <v>16628</v>
      </c>
      <c r="H564" s="1165"/>
      <c r="I564" s="1170">
        <f>Sales_FY24!$Q$170</f>
        <v>13.48</v>
      </c>
      <c r="J564" s="1170"/>
      <c r="K564" s="1170"/>
      <c r="L564" s="1170" t="e">
        <f>L558+L563</f>
        <v>#REF!</v>
      </c>
      <c r="M564" s="1170" t="e">
        <f>M558+M563</f>
        <v>#REF!</v>
      </c>
      <c r="N564" s="1170" t="e">
        <f>L564+M564</f>
        <v>#REF!</v>
      </c>
      <c r="O564" s="1177" t="e">
        <f>ROUND(N564/I564*10,2)</f>
        <v>#REF!</v>
      </c>
    </row>
    <row r="565" spans="1:18" ht="16.5" x14ac:dyDescent="0.2">
      <c r="A565" s="1197" t="s">
        <v>541</v>
      </c>
      <c r="B565" s="1163"/>
      <c r="C565" s="1163"/>
      <c r="D565" s="1163"/>
      <c r="E565" s="1163"/>
      <c r="F565" s="1163"/>
      <c r="G565" s="1163"/>
      <c r="H565" s="1163"/>
      <c r="I565" s="1176"/>
      <c r="J565" s="1176"/>
      <c r="K565" s="1176"/>
      <c r="L565" s="1176"/>
      <c r="M565" s="1176"/>
      <c r="N565" s="1176"/>
      <c r="O565" s="1176"/>
    </row>
    <row r="566" spans="1:18" ht="16.5" x14ac:dyDescent="0.2">
      <c r="A566" s="1197" t="s">
        <v>541</v>
      </c>
      <c r="B566" s="1159"/>
      <c r="C566" s="1160" t="s">
        <v>69</v>
      </c>
      <c r="D566" s="1160" t="s">
        <v>492</v>
      </c>
      <c r="E566" s="1160">
        <f>ROUND(E568*100%,0)</f>
        <v>253681</v>
      </c>
      <c r="F566" s="1160">
        <f>ROUND(F568*100%,0)</f>
        <v>248324</v>
      </c>
      <c r="G566" s="1160">
        <f>ROUND(F566*2.25,0)</f>
        <v>558729</v>
      </c>
      <c r="H566" s="1162" t="s">
        <v>426</v>
      </c>
      <c r="I566" s="1167">
        <f>ROUND(I568*30.76%,2)</f>
        <v>97.42</v>
      </c>
      <c r="J566" s="1167" t="e">
        <f>+#REF!</f>
        <v>#REF!</v>
      </c>
      <c r="K566" s="1167" t="e">
        <f>+#REF!</f>
        <v>#REF!</v>
      </c>
      <c r="L566" s="1167" t="e">
        <f>ROUND(G566*J566*12/10000000,2)</f>
        <v>#REF!</v>
      </c>
      <c r="M566" s="1167" t="e">
        <f>ROUND(I566*1000000*K566/10000000,2)</f>
        <v>#REF!</v>
      </c>
      <c r="N566" s="1167"/>
      <c r="O566" s="1167"/>
    </row>
    <row r="567" spans="1:18" ht="16.5" x14ac:dyDescent="0.2">
      <c r="A567" s="1197" t="s">
        <v>541</v>
      </c>
      <c r="B567" s="1159"/>
      <c r="C567" s="1160"/>
      <c r="D567" s="1160" t="s">
        <v>444</v>
      </c>
      <c r="E567" s="1160">
        <f>E568-E566</f>
        <v>0</v>
      </c>
      <c r="F567" s="1160">
        <f>F568-F566</f>
        <v>0</v>
      </c>
      <c r="G567" s="1160">
        <f>ROUND(F567*0,0)</f>
        <v>0</v>
      </c>
      <c r="H567" s="1162" t="s">
        <v>558</v>
      </c>
      <c r="I567" s="1167">
        <f>I568-I566</f>
        <v>219.3</v>
      </c>
      <c r="J567" s="1167" t="e">
        <f>+#REF!</f>
        <v>#REF!</v>
      </c>
      <c r="K567" s="1167" t="e">
        <f>+#REF!</f>
        <v>#REF!</v>
      </c>
      <c r="L567" s="1167" t="e">
        <f>ROUND(((F567*J566*50*12)+((G567-(F567*50))*J567*12))/10000000,2)</f>
        <v>#REF!</v>
      </c>
      <c r="M567" s="1167" t="e">
        <f>ROUND(I567*1000000*K567/10000000,2)</f>
        <v>#REF!</v>
      </c>
      <c r="N567" s="1167"/>
      <c r="O567" s="1167"/>
    </row>
    <row r="568" spans="1:18" ht="16.5" x14ac:dyDescent="0.2">
      <c r="A568" s="1197" t="s">
        <v>541</v>
      </c>
      <c r="B568" s="1164"/>
      <c r="C568" s="1165"/>
      <c r="D568" s="1166" t="s">
        <v>486</v>
      </c>
      <c r="E568" s="1165">
        <f>ROUND(E573*74.27987%,0)</f>
        <v>253681</v>
      </c>
      <c r="F568" s="1165">
        <f>ROUND(F573*74.27987%,0)</f>
        <v>248324</v>
      </c>
      <c r="G568" s="1165">
        <f>SUM(G566:G567)</f>
        <v>558729</v>
      </c>
      <c r="H568" s="1165"/>
      <c r="I568" s="1170">
        <f>ROUND(I573*73.9%,2)</f>
        <v>316.72000000000003</v>
      </c>
      <c r="J568" s="1170"/>
      <c r="K568" s="1170"/>
      <c r="L568" s="1170" t="e">
        <f>SUM(L566:L567)</f>
        <v>#REF!</v>
      </c>
      <c r="M568" s="1170" t="e">
        <f>SUM(M566:M567)</f>
        <v>#REF!</v>
      </c>
      <c r="N568" s="1170" t="e">
        <f>L568+M568</f>
        <v>#REF!</v>
      </c>
      <c r="O568" s="1177" t="e">
        <f>ROUND(N568/I568*10,2)</f>
        <v>#REF!</v>
      </c>
      <c r="R568" s="1224" t="e">
        <f>+N568-#REF!</f>
        <v>#REF!</v>
      </c>
    </row>
    <row r="569" spans="1:18" ht="16.5" x14ac:dyDescent="0.2">
      <c r="A569" s="1197" t="s">
        <v>541</v>
      </c>
      <c r="B569" s="1163"/>
      <c r="C569" s="1163"/>
      <c r="D569" s="1163"/>
      <c r="E569" s="1163"/>
      <c r="F569" s="1163"/>
      <c r="G569" s="1163"/>
      <c r="H569" s="1163"/>
      <c r="I569" s="1176"/>
      <c r="J569" s="1176"/>
      <c r="K569" s="1176"/>
      <c r="L569" s="1176"/>
      <c r="M569" s="1176"/>
      <c r="N569" s="1176"/>
      <c r="O569" s="1176"/>
    </row>
    <row r="570" spans="1:18" ht="16.5" x14ac:dyDescent="0.2">
      <c r="A570" s="1197" t="s">
        <v>541</v>
      </c>
      <c r="B570" s="1159"/>
      <c r="C570" s="1160" t="s">
        <v>76</v>
      </c>
      <c r="D570" s="1160" t="s">
        <v>492</v>
      </c>
      <c r="E570" s="1160">
        <f>ROUND(E572*100%,0)</f>
        <v>87840</v>
      </c>
      <c r="F570" s="1160">
        <f>ROUND(F572*100%,0)</f>
        <v>85985</v>
      </c>
      <c r="G570" s="1160">
        <f>ROUND(F570*1.75,0)</f>
        <v>150474</v>
      </c>
      <c r="H570" s="1162" t="s">
        <v>426</v>
      </c>
      <c r="I570" s="1167">
        <f>ROUND(I572*28.08%,2)</f>
        <v>31.41</v>
      </c>
      <c r="J570" s="1167">
        <v>125</v>
      </c>
      <c r="K570" s="1167">
        <v>8.4</v>
      </c>
      <c r="L570" s="1167">
        <f>ROUND(G570*J570*12/10000000,2)</f>
        <v>22.57</v>
      </c>
      <c r="M570" s="1167">
        <f>ROUND(I570*1000000*K570/10000000,2)</f>
        <v>26.38</v>
      </c>
      <c r="N570" s="1167"/>
      <c r="O570" s="1167"/>
    </row>
    <row r="571" spans="1:18" ht="16.5" x14ac:dyDescent="0.2">
      <c r="A571" s="1197" t="s">
        <v>541</v>
      </c>
      <c r="B571" s="1159"/>
      <c r="C571" s="1160"/>
      <c r="D571" s="1160" t="s">
        <v>444</v>
      </c>
      <c r="E571" s="1160">
        <f>E572-E570</f>
        <v>0</v>
      </c>
      <c r="F571" s="1160">
        <f>F572-F570</f>
        <v>0</v>
      </c>
      <c r="G571" s="1160">
        <f>ROUND(F571*0,0)</f>
        <v>0</v>
      </c>
      <c r="H571" s="1162" t="s">
        <v>558</v>
      </c>
      <c r="I571" s="1167">
        <f>I572-I570</f>
        <v>80.44999999999996</v>
      </c>
      <c r="J571" s="1167">
        <v>230</v>
      </c>
      <c r="K571" s="1167">
        <v>9.4</v>
      </c>
      <c r="L571" s="1167">
        <f>ROUND(((F571*J570*50*12)+((G571-(F571*50))*J571*12))/10000000,2)</f>
        <v>0</v>
      </c>
      <c r="M571" s="1167">
        <f>ROUND(I571*1000000*K571/10000000,2)</f>
        <v>75.62</v>
      </c>
      <c r="N571" s="1167"/>
      <c r="O571" s="1167"/>
    </row>
    <row r="572" spans="1:18" ht="16.5" x14ac:dyDescent="0.2">
      <c r="A572" s="1197" t="s">
        <v>541</v>
      </c>
      <c r="B572" s="1164"/>
      <c r="C572" s="1165"/>
      <c r="D572" s="1166" t="s">
        <v>486</v>
      </c>
      <c r="E572" s="1169">
        <f>E573-E568</f>
        <v>87840</v>
      </c>
      <c r="F572" s="1169">
        <f>F573-F568</f>
        <v>85985</v>
      </c>
      <c r="G572" s="1165">
        <f>SUM(G570:G571)</f>
        <v>150474</v>
      </c>
      <c r="H572" s="1165"/>
      <c r="I572" s="1170">
        <f>I573-I568</f>
        <v>111.85999999999996</v>
      </c>
      <c r="J572" s="1170"/>
      <c r="K572" s="1170"/>
      <c r="L572" s="1170">
        <f>SUM(L570:L571)</f>
        <v>22.57</v>
      </c>
      <c r="M572" s="1170">
        <f>SUM(M570:M571)</f>
        <v>102</v>
      </c>
      <c r="N572" s="1170">
        <f>L572+M572</f>
        <v>124.57</v>
      </c>
      <c r="O572" s="1177">
        <f>ROUND(N572/I572*10,2)</f>
        <v>11.14</v>
      </c>
      <c r="R572" s="1224" t="e">
        <f>+N572-#REF!</f>
        <v>#REF!</v>
      </c>
    </row>
    <row r="573" spans="1:18" ht="16.5" x14ac:dyDescent="0.2">
      <c r="A573" s="1197" t="s">
        <v>541</v>
      </c>
      <c r="B573" s="1164">
        <v>4</v>
      </c>
      <c r="C573" s="1165" t="s">
        <v>557</v>
      </c>
      <c r="D573" s="1165"/>
      <c r="E573" s="1169">
        <f>Sales_FY24!$P$171</f>
        <v>341521</v>
      </c>
      <c r="F573" s="1169">
        <f>Sales_FY24!$V$171</f>
        <v>334309</v>
      </c>
      <c r="G573" s="1169">
        <f>G568+G572</f>
        <v>709203</v>
      </c>
      <c r="H573" s="1165"/>
      <c r="I573" s="1170">
        <f>Sales_FY24!$Q$171</f>
        <v>428.58</v>
      </c>
      <c r="J573" s="1170"/>
      <c r="K573" s="1170"/>
      <c r="L573" s="1170" t="e">
        <f>L568+L572</f>
        <v>#REF!</v>
      </c>
      <c r="M573" s="1170" t="e">
        <f>M568+M572</f>
        <v>#REF!</v>
      </c>
      <c r="N573" s="1170" t="e">
        <f>L573+M573</f>
        <v>#REF!</v>
      </c>
      <c r="O573" s="1177" t="e">
        <f>ROUND(N573/I573*10,2)</f>
        <v>#REF!</v>
      </c>
    </row>
    <row r="574" spans="1:18" ht="16.5" x14ac:dyDescent="0.2">
      <c r="A574" s="1197" t="s">
        <v>541</v>
      </c>
      <c r="B574" s="1163"/>
      <c r="C574" s="1163"/>
      <c r="D574" s="1163"/>
      <c r="E574" s="1163"/>
      <c r="F574" s="1163"/>
      <c r="G574" s="1163"/>
      <c r="H574" s="1163"/>
      <c r="I574" s="1176"/>
      <c r="J574" s="1176"/>
      <c r="K574" s="1176"/>
      <c r="L574" s="1176"/>
      <c r="M574" s="1176"/>
      <c r="N574" s="1176"/>
      <c r="O574" s="1176"/>
    </row>
    <row r="575" spans="1:18" ht="16.5" x14ac:dyDescent="0.2">
      <c r="A575" s="1197" t="s">
        <v>541</v>
      </c>
      <c r="B575" s="1159"/>
      <c r="C575" s="1160" t="s">
        <v>559</v>
      </c>
      <c r="D575" s="1160" t="s">
        <v>560</v>
      </c>
      <c r="E575" s="1160">
        <f>Sales_FY24!$P$172</f>
        <v>439477</v>
      </c>
      <c r="F575" s="1160">
        <f>Sales_FY24!$V$172</f>
        <v>434092</v>
      </c>
      <c r="G575" s="1160">
        <f>ROUND(F575*5.78,0)</f>
        <v>2509052</v>
      </c>
      <c r="H575" s="1162" t="s">
        <v>561</v>
      </c>
      <c r="I575" s="1167">
        <f>Sales_FY24!$Q$172</f>
        <v>3659.82</v>
      </c>
      <c r="J575" s="1167"/>
      <c r="K575" s="1167" t="e">
        <f>+#REF!</f>
        <v>#REF!</v>
      </c>
      <c r="L575" s="1167">
        <f>ROUND(G575*J575*12/10000000,2)</f>
        <v>0</v>
      </c>
      <c r="M575" s="1167" t="e">
        <f>ROUND(I575*1000000*K575/10000000,2)</f>
        <v>#REF!</v>
      </c>
      <c r="N575" s="1167" t="e">
        <f>L575+M575</f>
        <v>#REF!</v>
      </c>
      <c r="O575" s="1192" t="e">
        <f>ROUND(N575/I575*10,2)</f>
        <v>#REF!</v>
      </c>
    </row>
    <row r="576" spans="1:18" ht="16.5" x14ac:dyDescent="0.2">
      <c r="A576" s="1197" t="s">
        <v>541</v>
      </c>
      <c r="B576" s="1159"/>
      <c r="C576" s="1160" t="s">
        <v>562</v>
      </c>
      <c r="D576" s="1160" t="s">
        <v>563</v>
      </c>
      <c r="E576" s="1168">
        <f>Sales_FY24!$P$173</f>
        <v>2384</v>
      </c>
      <c r="F576" s="1160">
        <f>Sales_FY24!$V$173</f>
        <v>2345</v>
      </c>
      <c r="G576" s="1160">
        <f>ROUND(F576*15,0)</f>
        <v>35175</v>
      </c>
      <c r="H576" s="1162" t="s">
        <v>561</v>
      </c>
      <c r="I576" s="1167">
        <f>Sales_FY24!$Q$173</f>
        <v>3.73</v>
      </c>
      <c r="J576" s="1167" t="e">
        <f>+#REF!</f>
        <v>#REF!</v>
      </c>
      <c r="K576" s="1167" t="e">
        <f>+#REF!</f>
        <v>#REF!</v>
      </c>
      <c r="L576" s="1167" t="e">
        <f>ROUND(G576*J576*12/10000000,2)</f>
        <v>#REF!</v>
      </c>
      <c r="M576" s="1167" t="e">
        <f>ROUND(I576*1000000*K576/10000000,2)</f>
        <v>#REF!</v>
      </c>
      <c r="N576" s="1167" t="e">
        <f>L576+M576</f>
        <v>#REF!</v>
      </c>
      <c r="O576" s="1192" t="e">
        <f>ROUND(N576/I576*10,2)</f>
        <v>#REF!</v>
      </c>
    </row>
    <row r="577" spans="1:18" ht="16.5" x14ac:dyDescent="0.2">
      <c r="A577" s="1197" t="s">
        <v>541</v>
      </c>
      <c r="B577" s="1159"/>
      <c r="C577" s="1160" t="s">
        <v>564</v>
      </c>
      <c r="D577" s="1160" t="s">
        <v>565</v>
      </c>
      <c r="E577" s="1168">
        <f>Sales_FY24!$P$174</f>
        <v>675</v>
      </c>
      <c r="F577" s="1160">
        <f>Sales_FY24!$V$174</f>
        <v>647</v>
      </c>
      <c r="G577" s="1160">
        <f>ROUND(F577*5.38,0)</f>
        <v>3481</v>
      </c>
      <c r="H577" s="1162" t="s">
        <v>561</v>
      </c>
      <c r="I577" s="1167">
        <f>Sales_FY24!$Q$174</f>
        <v>5.33</v>
      </c>
      <c r="J577" s="1167" t="e">
        <f>+#REF!</f>
        <v>#REF!</v>
      </c>
      <c r="K577" s="1167" t="e">
        <f>+#REF!</f>
        <v>#REF!</v>
      </c>
      <c r="L577" s="1167" t="e">
        <f>ROUND(G577*J577*12/10000000,2)</f>
        <v>#REF!</v>
      </c>
      <c r="M577" s="1167" t="e">
        <f>ROUND(I577*1000000*K577/10000000,2)</f>
        <v>#REF!</v>
      </c>
      <c r="N577" s="1167" t="e">
        <f>L577+M577</f>
        <v>#REF!</v>
      </c>
      <c r="O577" s="1192" t="e">
        <f>ROUND(N577/I577*10,2)</f>
        <v>#REF!</v>
      </c>
    </row>
    <row r="578" spans="1:18" ht="16.5" x14ac:dyDescent="0.2">
      <c r="A578" s="1197" t="s">
        <v>541</v>
      </c>
      <c r="B578" s="1164">
        <v>5</v>
      </c>
      <c r="C578" s="1165" t="s">
        <v>566</v>
      </c>
      <c r="D578" s="1165"/>
      <c r="E578" s="1169">
        <f>SUM(E575:E577)</f>
        <v>442536</v>
      </c>
      <c r="F578" s="1169">
        <f>SUM(F575:F577)</f>
        <v>437084</v>
      </c>
      <c r="G578" s="1169">
        <f>SUM(G575:G577)</f>
        <v>2547708</v>
      </c>
      <c r="H578" s="1165"/>
      <c r="I578" s="1170">
        <f>SUM(I575:I577)</f>
        <v>3668.88</v>
      </c>
      <c r="J578" s="1170"/>
      <c r="K578" s="1170"/>
      <c r="L578" s="1170" t="e">
        <f>SUM(L575:L577)</f>
        <v>#REF!</v>
      </c>
      <c r="M578" s="1170" t="e">
        <f>SUM(M575:M577)</f>
        <v>#REF!</v>
      </c>
      <c r="N578" s="1170" t="e">
        <f>SUM(N575:N577)</f>
        <v>#REF!</v>
      </c>
      <c r="O578" s="1177" t="e">
        <f>ROUND(N578/I578*10,2)</f>
        <v>#REF!</v>
      </c>
    </row>
    <row r="579" spans="1:18" ht="16.5" x14ac:dyDescent="0.2">
      <c r="A579" s="1197" t="s">
        <v>541</v>
      </c>
      <c r="B579" s="1163"/>
      <c r="C579" s="1163"/>
      <c r="D579" s="1163"/>
      <c r="E579" s="1163"/>
      <c r="F579" s="1163"/>
      <c r="G579" s="1163"/>
      <c r="H579" s="1163"/>
      <c r="I579" s="1176"/>
      <c r="J579" s="1176"/>
      <c r="K579" s="1176"/>
      <c r="L579" s="1176"/>
      <c r="M579" s="1176"/>
      <c r="N579" s="1176"/>
      <c r="O579" s="1176"/>
    </row>
    <row r="580" spans="1:18" ht="16.5" x14ac:dyDescent="0.2">
      <c r="A580" s="1197" t="s">
        <v>541</v>
      </c>
      <c r="B580" s="1159"/>
      <c r="C580" s="1160" t="s">
        <v>9</v>
      </c>
      <c r="D580" s="1160" t="s">
        <v>568</v>
      </c>
      <c r="E580" s="1160">
        <f>ROUND(E585*44%,0)</f>
        <v>22594</v>
      </c>
      <c r="F580" s="1160">
        <f>ROUND(F585*44%,0)</f>
        <v>22189</v>
      </c>
      <c r="G580" s="1160">
        <f>ROUND(F580*2.5,0)</f>
        <v>55473</v>
      </c>
      <c r="H580" s="1162" t="s">
        <v>573</v>
      </c>
      <c r="I580" s="1167">
        <f>ROUND(I585*32.79%,2)</f>
        <v>42.57</v>
      </c>
      <c r="J580" s="1167" t="e">
        <f>+#REF!</f>
        <v>#REF!</v>
      </c>
      <c r="K580" s="1167" t="e">
        <f>+#REF!</f>
        <v>#REF!</v>
      </c>
      <c r="L580" s="1167" t="e">
        <f>ROUND(G580*J580*12/10000000,2)</f>
        <v>#REF!</v>
      </c>
      <c r="M580" s="1167" t="e">
        <f>ROUND(I580*1000000*K580/10000000,2)</f>
        <v>#REF!</v>
      </c>
      <c r="N580" s="1167"/>
      <c r="O580" s="1167"/>
    </row>
    <row r="581" spans="1:18" ht="16.5" x14ac:dyDescent="0.2">
      <c r="A581" s="1197" t="s">
        <v>541</v>
      </c>
      <c r="B581" s="1159"/>
      <c r="C581" s="1160"/>
      <c r="D581" s="1160" t="s">
        <v>569</v>
      </c>
      <c r="E581" s="1160">
        <f>ROUND(E585*51.45%,0)</f>
        <v>26420</v>
      </c>
      <c r="F581" s="1160">
        <f>ROUND(F585*51.45%,0)</f>
        <v>25946</v>
      </c>
      <c r="G581" s="1160">
        <f>ROUND(F581*15.5,0)</f>
        <v>402163</v>
      </c>
      <c r="H581" s="1162" t="s">
        <v>574</v>
      </c>
      <c r="I581" s="1167">
        <f>ROUND(I585*30.42%,2)</f>
        <v>39.5</v>
      </c>
      <c r="J581" s="1167" t="e">
        <f>+#REF!</f>
        <v>#REF!</v>
      </c>
      <c r="K581" s="1167" t="e">
        <f>+#REF!</f>
        <v>#REF!</v>
      </c>
      <c r="L581" s="1167" t="e">
        <f>ROUND(G581*J581*12/10000000,2)</f>
        <v>#REF!</v>
      </c>
      <c r="M581" s="1167" t="e">
        <f>ROUND(I581*1000000*K581/10000000,2)</f>
        <v>#REF!</v>
      </c>
      <c r="N581" s="1167"/>
      <c r="O581" s="1167"/>
    </row>
    <row r="582" spans="1:18" ht="16.5" x14ac:dyDescent="0.2">
      <c r="A582" s="1197" t="s">
        <v>541</v>
      </c>
      <c r="B582" s="1159"/>
      <c r="C582" s="1160"/>
      <c r="D582" s="1160" t="s">
        <v>570</v>
      </c>
      <c r="E582" s="1160">
        <f>ROUND(E585*3.52878%,0)</f>
        <v>1812</v>
      </c>
      <c r="F582" s="1160">
        <f>ROUND(F585*3.52878%,0)</f>
        <v>1780</v>
      </c>
      <c r="G582" s="1160">
        <f>ROUND(F582*51,0)</f>
        <v>90780</v>
      </c>
      <c r="H582" s="1162" t="s">
        <v>575</v>
      </c>
      <c r="I582" s="1167">
        <f>I585-I580-I581</f>
        <v>47.77000000000001</v>
      </c>
      <c r="J582" s="1167" t="e">
        <f>+#REF!</f>
        <v>#REF!</v>
      </c>
      <c r="K582" s="1167" t="e">
        <f>+#REF!</f>
        <v>#REF!</v>
      </c>
      <c r="L582" s="1167" t="e">
        <f>ROUND(G582*J582*12/10000000,2)</f>
        <v>#REF!</v>
      </c>
      <c r="M582" s="1167" t="e">
        <f>ROUND(I582*1000000*K582/10000000,2)</f>
        <v>#REF!</v>
      </c>
      <c r="N582" s="1167"/>
      <c r="O582" s="1167"/>
    </row>
    <row r="583" spans="1:18" ht="16.5" x14ac:dyDescent="0.2">
      <c r="A583" s="1197" t="s">
        <v>541</v>
      </c>
      <c r="B583" s="1159"/>
      <c r="C583" s="1160"/>
      <c r="D583" s="1160" t="s">
        <v>571</v>
      </c>
      <c r="E583" s="1160">
        <f>ROUND(E585*1.02122%,0)</f>
        <v>524</v>
      </c>
      <c r="F583" s="1160">
        <f>ROUND(F585*1.02122%,0)</f>
        <v>515</v>
      </c>
      <c r="G583" s="1160">
        <f>ROUND(F583*75,0)</f>
        <v>38625</v>
      </c>
      <c r="H583" s="1162"/>
      <c r="I583" s="1167"/>
      <c r="J583" s="1167" t="e">
        <f>+#REF!</f>
        <v>#REF!</v>
      </c>
      <c r="K583" s="1167"/>
      <c r="L583" s="1167" t="e">
        <f>ROUND(G583*J583*12/10000000,2)</f>
        <v>#REF!</v>
      </c>
      <c r="M583" s="1167"/>
      <c r="N583" s="1167"/>
      <c r="O583" s="1167"/>
    </row>
    <row r="584" spans="1:18" ht="16.5" x14ac:dyDescent="0.2">
      <c r="A584" s="1197" t="s">
        <v>541</v>
      </c>
      <c r="B584" s="1159"/>
      <c r="C584" s="1160"/>
      <c r="D584" s="1160" t="s">
        <v>572</v>
      </c>
      <c r="E584" s="1160">
        <f>E585-E580-E581-E582-E583</f>
        <v>1</v>
      </c>
      <c r="F584" s="1160">
        <f>F585-F580-F581-F582-F583</f>
        <v>0</v>
      </c>
      <c r="G584" s="1160">
        <f>ROUND(F584*112,0)</f>
        <v>0</v>
      </c>
      <c r="H584" s="1162"/>
      <c r="I584" s="1167"/>
      <c r="J584" s="1167" t="e">
        <f>+#REF!</f>
        <v>#REF!</v>
      </c>
      <c r="K584" s="1167"/>
      <c r="L584" s="1167" t="e">
        <f>ROUND(G584*J584*12/10000000,2)</f>
        <v>#REF!</v>
      </c>
      <c r="M584" s="1167"/>
      <c r="N584" s="1167"/>
      <c r="O584" s="1167"/>
    </row>
    <row r="585" spans="1:18" ht="16.5" x14ac:dyDescent="0.2">
      <c r="A585" s="1197" t="s">
        <v>541</v>
      </c>
      <c r="B585" s="1164"/>
      <c r="C585" s="1165"/>
      <c r="D585" s="1166" t="s">
        <v>486</v>
      </c>
      <c r="E585" s="1165">
        <f>ROUND(E593*67.31%,0)</f>
        <v>51351</v>
      </c>
      <c r="F585" s="1165">
        <f>ROUND(F593*67.31%,0)</f>
        <v>50430</v>
      </c>
      <c r="G585" s="1165">
        <f>SUM(G580:G584)</f>
        <v>587041</v>
      </c>
      <c r="H585" s="1165"/>
      <c r="I585" s="1170">
        <f>ROUND(I593*67.3%,2)</f>
        <v>129.84</v>
      </c>
      <c r="J585" s="1170"/>
      <c r="K585" s="1170"/>
      <c r="L585" s="1170" t="e">
        <f>SUM(L580:L584)</f>
        <v>#REF!</v>
      </c>
      <c r="M585" s="1170" t="e">
        <f>SUM(M580:M584)</f>
        <v>#REF!</v>
      </c>
      <c r="N585" s="1170" t="e">
        <f>L585+M585</f>
        <v>#REF!</v>
      </c>
      <c r="O585" s="1177" t="e">
        <f>ROUND(N585/I585*10,2)</f>
        <v>#REF!</v>
      </c>
      <c r="R585" s="1224" t="e">
        <f>+N585-#REF!</f>
        <v>#REF!</v>
      </c>
    </row>
    <row r="586" spans="1:18" ht="16.5" x14ac:dyDescent="0.2">
      <c r="A586" s="1197" t="s">
        <v>541</v>
      </c>
      <c r="B586" s="1163"/>
      <c r="C586" s="1163"/>
      <c r="D586" s="1163"/>
      <c r="E586" s="1163"/>
      <c r="F586" s="1163"/>
      <c r="G586" s="1163"/>
      <c r="H586" s="1163"/>
      <c r="I586" s="1176"/>
      <c r="J586" s="1176"/>
      <c r="K586" s="1176"/>
      <c r="L586" s="1176"/>
      <c r="M586" s="1176"/>
      <c r="N586" s="1176"/>
      <c r="O586" s="1176"/>
    </row>
    <row r="587" spans="1:18" ht="16.5" x14ac:dyDescent="0.2">
      <c r="A587" s="1197" t="s">
        <v>541</v>
      </c>
      <c r="B587" s="1159"/>
      <c r="C587" s="1160" t="s">
        <v>11</v>
      </c>
      <c r="D587" s="1160" t="s">
        <v>568</v>
      </c>
      <c r="E587" s="1160">
        <f>ROUND(E592*44.03%,0)</f>
        <v>10981</v>
      </c>
      <c r="F587" s="1160">
        <f>ROUND(F592*44.03%,0)</f>
        <v>10784</v>
      </c>
      <c r="G587" s="1160">
        <f>ROUND(F587*2.25,0)</f>
        <v>24264</v>
      </c>
      <c r="H587" s="1162" t="s">
        <v>573</v>
      </c>
      <c r="I587" s="1167">
        <f>ROUND(I592*42.39%,2)</f>
        <v>26.74</v>
      </c>
      <c r="J587" s="1167">
        <v>90</v>
      </c>
      <c r="K587" s="1167">
        <v>5.85</v>
      </c>
      <c r="L587" s="1167">
        <f>ROUND(G587*J587*12/10000000,2)</f>
        <v>2.62</v>
      </c>
      <c r="M587" s="1167">
        <f>ROUND(I587*1000000*K587/10000000,2)</f>
        <v>15.64</v>
      </c>
      <c r="N587" s="1167"/>
      <c r="O587" s="1167"/>
    </row>
    <row r="588" spans="1:18" ht="16.5" x14ac:dyDescent="0.2">
      <c r="A588" s="1197" t="s">
        <v>541</v>
      </c>
      <c r="B588" s="1159"/>
      <c r="C588" s="1160"/>
      <c r="D588" s="1160" t="s">
        <v>569</v>
      </c>
      <c r="E588" s="1160">
        <f>ROUND(E592*51.46%,0)</f>
        <v>12834</v>
      </c>
      <c r="F588" s="1160">
        <f>ROUND(F592*51.46%,0)</f>
        <v>12604</v>
      </c>
      <c r="G588" s="1160">
        <f>ROUND(F588*13.5,0)</f>
        <v>170154</v>
      </c>
      <c r="H588" s="1162" t="s">
        <v>574</v>
      </c>
      <c r="I588" s="1167">
        <f>ROUND(I592*34.42%,2)</f>
        <v>21.71</v>
      </c>
      <c r="J588" s="1167">
        <v>100</v>
      </c>
      <c r="K588" s="1167">
        <v>6.85</v>
      </c>
      <c r="L588" s="1167">
        <f>ROUND(G588*J588*12/10000000,2)</f>
        <v>20.420000000000002</v>
      </c>
      <c r="M588" s="1167">
        <f>ROUND(I588*1000000*K588/10000000,2)</f>
        <v>14.87</v>
      </c>
      <c r="N588" s="1167"/>
      <c r="O588" s="1167"/>
    </row>
    <row r="589" spans="1:18" ht="16.5" x14ac:dyDescent="0.2">
      <c r="A589" s="1197" t="s">
        <v>541</v>
      </c>
      <c r="B589" s="1159"/>
      <c r="C589" s="1160"/>
      <c r="D589" s="1160" t="s">
        <v>570</v>
      </c>
      <c r="E589" s="1160">
        <f>ROUND(E592*3.51%,0)</f>
        <v>875</v>
      </c>
      <c r="F589" s="1160">
        <f>ROUND(F592*3.51%,0)</f>
        <v>860</v>
      </c>
      <c r="G589" s="1160">
        <f>ROUND(F589*48,0)</f>
        <v>41280</v>
      </c>
      <c r="H589" s="1162" t="s">
        <v>575</v>
      </c>
      <c r="I589" s="1167">
        <f>I592-I587-I588</f>
        <v>14.629999999999988</v>
      </c>
      <c r="J589" s="1167">
        <v>125</v>
      </c>
      <c r="K589" s="1167">
        <v>7.15</v>
      </c>
      <c r="L589" s="1167">
        <f>ROUND(G589*J589*12/10000000,2)</f>
        <v>6.19</v>
      </c>
      <c r="M589" s="1167">
        <f>ROUND(I589*1000000*K589/10000000,2)</f>
        <v>10.46</v>
      </c>
      <c r="N589" s="1167"/>
      <c r="O589" s="1167"/>
    </row>
    <row r="590" spans="1:18" ht="16.5" x14ac:dyDescent="0.2">
      <c r="A590" s="1197" t="s">
        <v>541</v>
      </c>
      <c r="B590" s="1159"/>
      <c r="C590" s="1160"/>
      <c r="D590" s="1160" t="s">
        <v>571</v>
      </c>
      <c r="E590" s="1160">
        <f>ROUND(E592*1%,0)+1</f>
        <v>250</v>
      </c>
      <c r="F590" s="1160">
        <f>ROUND(F592*1%,0)-1</f>
        <v>244</v>
      </c>
      <c r="G590" s="1160">
        <f>ROUND(F590*70,0)</f>
        <v>17080</v>
      </c>
      <c r="H590" s="1162"/>
      <c r="I590" s="1167"/>
      <c r="J590" s="1167">
        <v>190</v>
      </c>
      <c r="K590" s="1167"/>
      <c r="L590" s="1167">
        <f>ROUND(G590*J590*12/10000000,2)</f>
        <v>3.89</v>
      </c>
      <c r="M590" s="1167"/>
      <c r="N590" s="1167"/>
      <c r="O590" s="1167"/>
    </row>
    <row r="591" spans="1:18" ht="16.5" x14ac:dyDescent="0.2">
      <c r="A591" s="1197" t="s">
        <v>541</v>
      </c>
      <c r="B591" s="1159"/>
      <c r="C591" s="1160"/>
      <c r="D591" s="1160" t="s">
        <v>572</v>
      </c>
      <c r="E591" s="1160">
        <f>E592-E587-E588-E589-E590</f>
        <v>0</v>
      </c>
      <c r="F591" s="1160">
        <f>F592-F587-F588-F589-F590</f>
        <v>0</v>
      </c>
      <c r="G591" s="1160">
        <f>ROUND(F591*124.15384,0)</f>
        <v>0</v>
      </c>
      <c r="H591" s="1162"/>
      <c r="I591" s="1167"/>
      <c r="J591" s="1167">
        <v>225</v>
      </c>
      <c r="K591" s="1167"/>
      <c r="L591" s="1167">
        <f>ROUND(G591*J591*12/10000000,2)</f>
        <v>0</v>
      </c>
      <c r="M591" s="1167"/>
      <c r="N591" s="1167"/>
      <c r="O591" s="1167"/>
    </row>
    <row r="592" spans="1:18" ht="16.5" x14ac:dyDescent="0.2">
      <c r="A592" s="1197" t="s">
        <v>541</v>
      </c>
      <c r="B592" s="1164"/>
      <c r="C592" s="1165"/>
      <c r="D592" s="1166" t="s">
        <v>486</v>
      </c>
      <c r="E592" s="1169">
        <f>E593-E585</f>
        <v>24940</v>
      </c>
      <c r="F592" s="1169">
        <f>F593-F585</f>
        <v>24492</v>
      </c>
      <c r="G592" s="1165">
        <f>SUM(G587:G591)</f>
        <v>252778</v>
      </c>
      <c r="H592" s="1165"/>
      <c r="I592" s="1170">
        <f>I593-I585</f>
        <v>63.079999999999984</v>
      </c>
      <c r="J592" s="1170"/>
      <c r="K592" s="1170"/>
      <c r="L592" s="1170">
        <f>SUM(L587:L591)</f>
        <v>33.120000000000005</v>
      </c>
      <c r="M592" s="1170">
        <f>SUM(M587:M591)</f>
        <v>40.97</v>
      </c>
      <c r="N592" s="1170">
        <f>L592+M592</f>
        <v>74.09</v>
      </c>
      <c r="O592" s="1177">
        <f>ROUND(N592/I592*10,2)</f>
        <v>11.75</v>
      </c>
      <c r="R592" s="1224" t="e">
        <f>+N592-#REF!</f>
        <v>#REF!</v>
      </c>
    </row>
    <row r="593" spans="1:15" ht="16.5" x14ac:dyDescent="0.2">
      <c r="A593" s="1197" t="s">
        <v>541</v>
      </c>
      <c r="B593" s="1164">
        <v>6</v>
      </c>
      <c r="C593" s="1165" t="s">
        <v>567</v>
      </c>
      <c r="D593" s="1165"/>
      <c r="E593" s="1169">
        <f>Sales_FY24!$P$175</f>
        <v>76291</v>
      </c>
      <c r="F593" s="1169">
        <f>Sales_FY24!$V$175</f>
        <v>74922</v>
      </c>
      <c r="G593" s="1169">
        <f>G585+G592</f>
        <v>839819</v>
      </c>
      <c r="H593" s="1165"/>
      <c r="I593" s="1170">
        <f>Sales_FY24!$Q$175</f>
        <v>192.92</v>
      </c>
      <c r="J593" s="1170"/>
      <c r="K593" s="1170"/>
      <c r="L593" s="1170" t="e">
        <f>L585+L592</f>
        <v>#REF!</v>
      </c>
      <c r="M593" s="1170" t="e">
        <f>M585+M592</f>
        <v>#REF!</v>
      </c>
      <c r="N593" s="1170" t="e">
        <f>L593+M593</f>
        <v>#REF!</v>
      </c>
      <c r="O593" s="1177" t="e">
        <f>ROUND(N593/I593*10,2)</f>
        <v>#REF!</v>
      </c>
    </row>
    <row r="594" spans="1:15" ht="16.5" x14ac:dyDescent="0.2">
      <c r="A594" s="1197" t="s">
        <v>541</v>
      </c>
      <c r="B594" s="1163"/>
      <c r="C594" s="1163"/>
      <c r="D594" s="1163"/>
      <c r="E594" s="1163"/>
      <c r="F594" s="1163"/>
      <c r="G594" s="1163"/>
      <c r="H594" s="1163"/>
      <c r="I594" s="1176"/>
      <c r="J594" s="1176"/>
      <c r="K594" s="1176"/>
      <c r="L594" s="1176"/>
      <c r="M594" s="1176"/>
      <c r="N594" s="1176"/>
      <c r="O594" s="1176"/>
    </row>
    <row r="595" spans="1:15" ht="16.5" x14ac:dyDescent="0.2">
      <c r="A595" s="1197" t="s">
        <v>541</v>
      </c>
      <c r="B595" s="1159"/>
      <c r="C595" s="1160" t="s">
        <v>512</v>
      </c>
      <c r="D595" s="1160" t="s">
        <v>578</v>
      </c>
      <c r="E595" s="1168">
        <f>Sales_FY24!$P$176</f>
        <v>30916</v>
      </c>
      <c r="F595" s="1168">
        <f>Sales_FY24!$V$176</f>
        <v>30015</v>
      </c>
      <c r="G595" s="1160">
        <f>ROUND(F595*5.83,0)</f>
        <v>174987</v>
      </c>
      <c r="H595" s="1162" t="s">
        <v>561</v>
      </c>
      <c r="I595" s="1167">
        <f>Sales_FY24!$Q$176</f>
        <v>441</v>
      </c>
      <c r="J595" s="1167" t="e">
        <f>+#REF!</f>
        <v>#REF!</v>
      </c>
      <c r="K595" s="1167" t="e">
        <f>+#REF!</f>
        <v>#REF!</v>
      </c>
      <c r="L595" s="1167" t="e">
        <f>ROUND(G595*J595*12/10000000,2)</f>
        <v>#REF!</v>
      </c>
      <c r="M595" s="1167" t="e">
        <f>ROUND(I595*1000000*K595/10000000,2)</f>
        <v>#REF!</v>
      </c>
      <c r="N595" s="1167" t="e">
        <f>L595+M595</f>
        <v>#REF!</v>
      </c>
      <c r="O595" s="1192"/>
    </row>
    <row r="596" spans="1:15" ht="16.5" x14ac:dyDescent="0.2">
      <c r="A596" s="1197" t="s">
        <v>541</v>
      </c>
      <c r="B596" s="1159"/>
      <c r="C596" s="1160"/>
      <c r="D596" s="1160" t="s">
        <v>579</v>
      </c>
      <c r="E596" s="1168"/>
      <c r="F596" s="1168"/>
      <c r="G596" s="1160"/>
      <c r="H596" s="1162"/>
      <c r="I596" s="1167"/>
      <c r="J596" s="1167" t="e">
        <f>+#REF!</f>
        <v>#REF!</v>
      </c>
      <c r="K596" s="1167"/>
      <c r="L596" s="1167"/>
      <c r="M596" s="1167"/>
      <c r="N596" s="1167"/>
      <c r="O596" s="1192"/>
    </row>
    <row r="597" spans="1:15" ht="16.5" x14ac:dyDescent="0.2">
      <c r="A597" s="1197" t="s">
        <v>541</v>
      </c>
      <c r="B597" s="1164"/>
      <c r="C597" s="1165"/>
      <c r="D597" s="1166" t="s">
        <v>486</v>
      </c>
      <c r="E597" s="1169">
        <f>SUM(E595:E596)</f>
        <v>30916</v>
      </c>
      <c r="F597" s="1169">
        <f>SUM(F595:F596)</f>
        <v>30015</v>
      </c>
      <c r="G597" s="1169">
        <f>SUM(G595:G596)</f>
        <v>174987</v>
      </c>
      <c r="H597" s="1165"/>
      <c r="I597" s="1170">
        <f>SUM(I595:I596)</f>
        <v>441</v>
      </c>
      <c r="J597" s="1170"/>
      <c r="K597" s="1170"/>
      <c r="L597" s="1170" t="e">
        <f>SUM(L595:L596)</f>
        <v>#REF!</v>
      </c>
      <c r="M597" s="1170" t="e">
        <f>SUM(M595:M596)</f>
        <v>#REF!</v>
      </c>
      <c r="N597" s="1170" t="e">
        <f>L597+M597</f>
        <v>#REF!</v>
      </c>
      <c r="O597" s="1177" t="e">
        <f>ROUND(N597/I597*10,2)</f>
        <v>#REF!</v>
      </c>
    </row>
    <row r="598" spans="1:15" ht="16.5" x14ac:dyDescent="0.2">
      <c r="A598" s="1197" t="s">
        <v>541</v>
      </c>
      <c r="B598" s="1163"/>
      <c r="C598" s="1163"/>
      <c r="D598" s="1163"/>
      <c r="E598" s="1163"/>
      <c r="F598" s="1163"/>
      <c r="G598" s="1163"/>
      <c r="H598" s="1163"/>
      <c r="I598" s="1176"/>
      <c r="J598" s="1176"/>
      <c r="K598" s="1176"/>
      <c r="L598" s="1176"/>
      <c r="M598" s="1176"/>
      <c r="N598" s="1176"/>
      <c r="O598" s="1176"/>
    </row>
    <row r="599" spans="1:15" ht="16.5" x14ac:dyDescent="0.2">
      <c r="A599" s="1197" t="s">
        <v>541</v>
      </c>
      <c r="B599" s="1159"/>
      <c r="C599" s="1160" t="s">
        <v>513</v>
      </c>
      <c r="D599" s="1160" t="s">
        <v>580</v>
      </c>
      <c r="E599" s="1168">
        <f>Sales_FY24!$P$177</f>
        <v>18790</v>
      </c>
      <c r="F599" s="1168">
        <f>Sales_FY24!$V$177</f>
        <v>18306</v>
      </c>
      <c r="G599" s="1160">
        <f>ROUND(F599*2.5,0)</f>
        <v>45765</v>
      </c>
      <c r="H599" s="1162" t="s">
        <v>561</v>
      </c>
      <c r="I599" s="1167">
        <f>Sales_FY24!$Q$177</f>
        <v>244.96</v>
      </c>
      <c r="J599" s="1167" t="e">
        <f>+#REF!</f>
        <v>#REF!</v>
      </c>
      <c r="K599" s="1167" t="e">
        <f>+#REF!</f>
        <v>#REF!</v>
      </c>
      <c r="L599" s="1167" t="e">
        <f>ROUND(G599*J599*12/10000000,2)</f>
        <v>#REF!</v>
      </c>
      <c r="M599" s="1167" t="e">
        <f>ROUND(I599*1000000*K599/10000000,2)</f>
        <v>#REF!</v>
      </c>
      <c r="N599" s="1167" t="e">
        <f>L599+M599</f>
        <v>#REF!</v>
      </c>
      <c r="O599" s="1192" t="e">
        <f>ROUND(N599/I599*10,2)</f>
        <v>#REF!</v>
      </c>
    </row>
    <row r="600" spans="1:15" ht="16.5" x14ac:dyDescent="0.2">
      <c r="A600" s="1197" t="s">
        <v>541</v>
      </c>
      <c r="B600" s="1163"/>
      <c r="C600" s="1163"/>
      <c r="D600" s="1163"/>
      <c r="E600" s="1163"/>
      <c r="F600" s="1163"/>
      <c r="G600" s="1163"/>
      <c r="H600" s="1163"/>
      <c r="I600" s="1176"/>
      <c r="J600" s="1176"/>
      <c r="K600" s="1176"/>
      <c r="L600" s="1176"/>
      <c r="M600" s="1176"/>
      <c r="N600" s="1176"/>
      <c r="O600" s="1176"/>
    </row>
    <row r="601" spans="1:15" ht="16.5" x14ac:dyDescent="0.2">
      <c r="A601" s="1197" t="s">
        <v>541</v>
      </c>
      <c r="B601" s="1159"/>
      <c r="C601" s="1160" t="s">
        <v>526</v>
      </c>
      <c r="D601" s="1160" t="s">
        <v>581</v>
      </c>
      <c r="E601" s="1168">
        <f>Sales_FY24!$P$178</f>
        <v>0</v>
      </c>
      <c r="F601" s="1168">
        <f>Sales_FY24!$V$178</f>
        <v>0</v>
      </c>
      <c r="G601" s="1160">
        <f>ROUND(F601*10,0)</f>
        <v>0</v>
      </c>
      <c r="H601" s="1162" t="s">
        <v>561</v>
      </c>
      <c r="I601" s="1167">
        <f>Sales_FY24!$Q$178</f>
        <v>0</v>
      </c>
      <c r="J601" s="1167" t="e">
        <f>+#REF!</f>
        <v>#REF!</v>
      </c>
      <c r="K601" s="1167" t="e">
        <f>+#REF!</f>
        <v>#REF!</v>
      </c>
      <c r="L601" s="1167" t="e">
        <f>ROUND(G601*J601*12/10000000,2)</f>
        <v>#REF!</v>
      </c>
      <c r="M601" s="1167" t="e">
        <f>ROUND(I601*1000000*K601/10000000,2)</f>
        <v>#REF!</v>
      </c>
      <c r="N601" s="1167" t="e">
        <f>L601+M601</f>
        <v>#REF!</v>
      </c>
      <c r="O601" s="1192"/>
    </row>
    <row r="602" spans="1:15" ht="16.5" x14ac:dyDescent="0.2">
      <c r="A602" s="1197" t="s">
        <v>541</v>
      </c>
      <c r="B602" s="1159"/>
      <c r="C602" s="1160"/>
      <c r="D602" s="1160" t="s">
        <v>582</v>
      </c>
      <c r="E602" s="1168"/>
      <c r="F602" s="1168"/>
      <c r="G602" s="1160"/>
      <c r="H602" s="1162"/>
      <c r="I602" s="1167"/>
      <c r="J602" s="1167" t="e">
        <f>+#REF!</f>
        <v>#REF!</v>
      </c>
      <c r="K602" s="1167"/>
      <c r="L602" s="1167"/>
      <c r="M602" s="1167"/>
      <c r="N602" s="1167"/>
      <c r="O602" s="1192"/>
    </row>
    <row r="603" spans="1:15" ht="16.5" x14ac:dyDescent="0.2">
      <c r="A603" s="1197" t="s">
        <v>541</v>
      </c>
      <c r="B603" s="1159"/>
      <c r="C603" s="1160"/>
      <c r="D603" s="1160" t="s">
        <v>583</v>
      </c>
      <c r="E603" s="1168"/>
      <c r="F603" s="1168"/>
      <c r="G603" s="1160"/>
      <c r="H603" s="1162"/>
      <c r="I603" s="1167"/>
      <c r="J603" s="1167" t="e">
        <f>+#REF!</f>
        <v>#REF!</v>
      </c>
      <c r="K603" s="1167"/>
      <c r="L603" s="1167"/>
      <c r="M603" s="1167"/>
      <c r="N603" s="1167"/>
      <c r="O603" s="1192"/>
    </row>
    <row r="604" spans="1:15" ht="16.5" x14ac:dyDescent="0.2">
      <c r="A604" s="1197" t="s">
        <v>541</v>
      </c>
      <c r="B604" s="1164"/>
      <c r="C604" s="1165"/>
      <c r="D604" s="1166" t="s">
        <v>486</v>
      </c>
      <c r="E604" s="1169">
        <f>SUM(E601:E603)</f>
        <v>0</v>
      </c>
      <c r="F604" s="1169">
        <f>SUM(F601:F603)</f>
        <v>0</v>
      </c>
      <c r="G604" s="1169">
        <f>SUM(G601:G603)</f>
        <v>0</v>
      </c>
      <c r="H604" s="1165"/>
      <c r="I604" s="1170">
        <f>SUM(I601:I603)</f>
        <v>0</v>
      </c>
      <c r="J604" s="1170"/>
      <c r="K604" s="1170"/>
      <c r="L604" s="1170" t="e">
        <f>SUM(L601:L603)</f>
        <v>#REF!</v>
      </c>
      <c r="M604" s="1170" t="e">
        <f>SUM(M601:M603)</f>
        <v>#REF!</v>
      </c>
      <c r="N604" s="1170" t="e">
        <f>L604+M604</f>
        <v>#REF!</v>
      </c>
      <c r="O604" s="1177"/>
    </row>
    <row r="605" spans="1:15" ht="16.5" x14ac:dyDescent="0.2">
      <c r="A605" s="1197" t="s">
        <v>541</v>
      </c>
      <c r="B605" s="1164">
        <v>7</v>
      </c>
      <c r="C605" s="1165" t="s">
        <v>577</v>
      </c>
      <c r="D605" s="1165"/>
      <c r="E605" s="1169">
        <f>E597+E599+E604</f>
        <v>49706</v>
      </c>
      <c r="F605" s="1169">
        <f>F597+F599+F604</f>
        <v>48321</v>
      </c>
      <c r="G605" s="1169">
        <f>G597+G599+G604</f>
        <v>220752</v>
      </c>
      <c r="H605" s="1165"/>
      <c r="I605" s="1170">
        <f>I597+I599+I604</f>
        <v>685.96</v>
      </c>
      <c r="J605" s="1170"/>
      <c r="K605" s="1170"/>
      <c r="L605" s="1170" t="e">
        <f>L597+L599+L604</f>
        <v>#REF!</v>
      </c>
      <c r="M605" s="1170" t="e">
        <f>M597+M599+M604</f>
        <v>#REF!</v>
      </c>
      <c r="N605" s="1170" t="e">
        <f>L605+M605</f>
        <v>#REF!</v>
      </c>
      <c r="O605" s="1177" t="e">
        <f>ROUND(N605/I605*10,2)</f>
        <v>#REF!</v>
      </c>
    </row>
    <row r="606" spans="1:15" ht="16.5" x14ac:dyDescent="0.2">
      <c r="A606" s="1197" t="s">
        <v>541</v>
      </c>
      <c r="B606" s="1163"/>
      <c r="C606" s="1163"/>
      <c r="D606" s="1163"/>
      <c r="E606" s="1163"/>
      <c r="F606" s="1163"/>
      <c r="G606" s="1163"/>
      <c r="H606" s="1163"/>
      <c r="I606" s="1176"/>
      <c r="J606" s="1176"/>
      <c r="K606" s="1176"/>
      <c r="L606" s="1176"/>
      <c r="M606" s="1176"/>
      <c r="N606" s="1176"/>
      <c r="O606" s="1176"/>
    </row>
    <row r="607" spans="1:15" ht="16.5" x14ac:dyDescent="0.2">
      <c r="A607" s="1197" t="s">
        <v>541</v>
      </c>
      <c r="B607" s="1159"/>
      <c r="C607" s="1160" t="s">
        <v>584</v>
      </c>
      <c r="D607" s="1160" t="s">
        <v>586</v>
      </c>
      <c r="E607" s="1160">
        <f>ROUND(E609*100%,0)</f>
        <v>63750</v>
      </c>
      <c r="F607" s="1160">
        <f>ROUND(F609*100%,0)</f>
        <v>59517</v>
      </c>
      <c r="G607" s="1160">
        <f>ROUND(F607*2.25,0)</f>
        <v>133913</v>
      </c>
      <c r="H607" s="1162" t="s">
        <v>561</v>
      </c>
      <c r="I607" s="1167">
        <f>ROUND(I609*100%,2)</f>
        <v>29.3</v>
      </c>
      <c r="J607" s="1167" t="e">
        <f>+#REF!</f>
        <v>#REF!</v>
      </c>
      <c r="K607" s="1167" t="e">
        <f>+#REF!</f>
        <v>#REF!</v>
      </c>
      <c r="L607" s="1198" t="e">
        <f>ROUND(G607*J607*12/10000000,2)</f>
        <v>#REF!</v>
      </c>
      <c r="M607" s="1167" t="e">
        <f>ROUND(I607*1000000*K607/10000000,2)-ROUND(I607*1000000*K607/10000000,2)</f>
        <v>#REF!</v>
      </c>
      <c r="N607" s="1167" t="e">
        <f>L607+M607</f>
        <v>#REF!</v>
      </c>
      <c r="O607" s="1192"/>
    </row>
    <row r="608" spans="1:15" ht="16.5" x14ac:dyDescent="0.2">
      <c r="A608" s="1197" t="s">
        <v>541</v>
      </c>
      <c r="B608" s="1159"/>
      <c r="C608" s="1160" t="s">
        <v>585</v>
      </c>
      <c r="D608" s="1160" t="s">
        <v>586</v>
      </c>
      <c r="E608" s="1168">
        <f>E609-E607</f>
        <v>0</v>
      </c>
      <c r="F608" s="1168">
        <f>F609-F607</f>
        <v>0</v>
      </c>
      <c r="G608" s="1160">
        <f>ROUND(F608*0.79986,0)</f>
        <v>0</v>
      </c>
      <c r="H608" s="1162" t="s">
        <v>561</v>
      </c>
      <c r="I608" s="1167">
        <f>I609-I607</f>
        <v>0</v>
      </c>
      <c r="J608" s="1167" t="e">
        <f>+#REF!</f>
        <v>#REF!</v>
      </c>
      <c r="K608" s="1167" t="e">
        <f>+#REF!</f>
        <v>#REF!</v>
      </c>
      <c r="L608" s="1167" t="e">
        <f>ROUND(G608*J608*12/10000000,2)</f>
        <v>#REF!</v>
      </c>
      <c r="M608" s="1167" t="e">
        <f>ROUND(I608*1000000*K608/10000000,2)</f>
        <v>#REF!</v>
      </c>
      <c r="N608" s="1167" t="e">
        <f>L608+M608</f>
        <v>#REF!</v>
      </c>
      <c r="O608" s="1192"/>
    </row>
    <row r="609" spans="1:18" ht="16.5" x14ac:dyDescent="0.2">
      <c r="A609" s="1197" t="s">
        <v>541</v>
      </c>
      <c r="B609" s="1164">
        <v>8</v>
      </c>
      <c r="C609" s="1165" t="s">
        <v>587</v>
      </c>
      <c r="D609" s="1165"/>
      <c r="E609" s="1169">
        <f>Sales_FY24!$P$179</f>
        <v>63750</v>
      </c>
      <c r="F609" s="1169">
        <f>Sales_FY24!$V$179</f>
        <v>59517</v>
      </c>
      <c r="G609" s="1169">
        <f>SUM(G607:G608)</f>
        <v>133913</v>
      </c>
      <c r="H609" s="1165"/>
      <c r="I609" s="1170">
        <f>Sales_FY24!$Q$179</f>
        <v>29.3</v>
      </c>
      <c r="J609" s="1170"/>
      <c r="K609" s="1170"/>
      <c r="L609" s="1170" t="e">
        <f>SUM(L607:L608)</f>
        <v>#REF!</v>
      </c>
      <c r="M609" s="1170" t="e">
        <f>SUM(M607:M608)</f>
        <v>#REF!</v>
      </c>
      <c r="N609" s="1170" t="e">
        <f>L609+M609</f>
        <v>#REF!</v>
      </c>
      <c r="O609" s="1177" t="e">
        <f>ROUND(N609/I609*10,2)</f>
        <v>#REF!</v>
      </c>
    </row>
    <row r="610" spans="1:18" ht="16.5" x14ac:dyDescent="0.2">
      <c r="A610" s="1197" t="s">
        <v>541</v>
      </c>
      <c r="B610" s="1163"/>
      <c r="C610" s="1163"/>
      <c r="D610" s="1163"/>
      <c r="E610" s="1163"/>
      <c r="F610" s="1163"/>
      <c r="G610" s="1163"/>
      <c r="H610" s="1163"/>
      <c r="I610" s="1176"/>
      <c r="J610" s="1176"/>
      <c r="K610" s="1176"/>
      <c r="L610" s="1176"/>
      <c r="M610" s="1176"/>
      <c r="N610" s="1176"/>
      <c r="O610" s="1176"/>
    </row>
    <row r="611" spans="1:18" ht="16.5" x14ac:dyDescent="0.2">
      <c r="A611" s="1197" t="s">
        <v>541</v>
      </c>
      <c r="B611" s="1194"/>
      <c r="C611" s="1195" t="s">
        <v>588</v>
      </c>
      <c r="D611" s="1195"/>
      <c r="E611" s="1196">
        <f>E540+E553+E564+E573+E578+E593+E605+E609</f>
        <v>3686622</v>
      </c>
      <c r="F611" s="1196">
        <f>F540+F553+F564+F573+F578+F593+F605+F609</f>
        <v>3626854</v>
      </c>
      <c r="G611" s="1196">
        <f>G540+G553+G564+G573+G578+G593+G605+G609</f>
        <v>6893451</v>
      </c>
      <c r="H611" s="1195"/>
      <c r="I611" s="1193">
        <f>I540+I553+I564+I573+I578+I593+I605+I609</f>
        <v>6716.1200000000008</v>
      </c>
      <c r="J611" s="1193"/>
      <c r="K611" s="1193"/>
      <c r="L611" s="1193" t="e">
        <f>L540+L553+L564+L573+L578+L593+L605+L609</f>
        <v>#REF!</v>
      </c>
      <c r="M611" s="1193" t="e">
        <f>M540+M553+M564+M573+M578+M593+M605+M609</f>
        <v>#REF!</v>
      </c>
      <c r="N611" s="1193" t="e">
        <f>L611+M611</f>
        <v>#REF!</v>
      </c>
      <c r="O611" s="1193" t="e">
        <f>ROUND(N611/I611*10,2)</f>
        <v>#REF!</v>
      </c>
    </row>
    <row r="612" spans="1:18" ht="16.5" x14ac:dyDescent="0.2">
      <c r="A612" s="1197" t="s">
        <v>541</v>
      </c>
      <c r="B612" s="1163"/>
      <c r="C612" s="1163"/>
      <c r="D612" s="1163"/>
      <c r="E612" s="1163"/>
      <c r="F612" s="1176"/>
      <c r="G612" s="1163"/>
      <c r="H612" s="1163"/>
      <c r="I612" s="1176"/>
      <c r="J612" s="1176"/>
      <c r="K612" s="1176"/>
      <c r="L612" s="1176"/>
      <c r="M612" s="1176"/>
      <c r="N612" s="1176"/>
      <c r="O612" s="1176"/>
    </row>
    <row r="613" spans="1:18" ht="16.5" x14ac:dyDescent="0.2">
      <c r="A613" s="1197" t="s">
        <v>541</v>
      </c>
      <c r="B613" s="1159">
        <v>9</v>
      </c>
      <c r="C613" s="1160" t="s">
        <v>16</v>
      </c>
      <c r="D613" s="1160" t="s">
        <v>589</v>
      </c>
      <c r="E613" s="1168">
        <f>Sales_FY24!$P$182</f>
        <v>203</v>
      </c>
      <c r="F613" s="1168">
        <f>Sales_FY24!$V$182</f>
        <v>197</v>
      </c>
      <c r="G613" s="1160">
        <f>ROUND(F613*300,0)</f>
        <v>59100</v>
      </c>
      <c r="H613" s="1162" t="s">
        <v>561</v>
      </c>
      <c r="I613" s="1167">
        <f>Sales_FY24!$Q$182</f>
        <v>141.09</v>
      </c>
      <c r="J613" s="1167" t="e">
        <f>+#REF!</f>
        <v>#REF!</v>
      </c>
      <c r="K613" s="1167" t="e">
        <f>+#REF!</f>
        <v>#REF!</v>
      </c>
      <c r="L613" s="1167" t="e">
        <f>ROUND((G613*85%)*J613*12/10000000,2)</f>
        <v>#REF!</v>
      </c>
      <c r="M613" s="1167" t="e">
        <f>ROUND(I613*1000000*K613/10000000,2)</f>
        <v>#REF!</v>
      </c>
      <c r="N613" s="1167" t="e">
        <f>L613+M613</f>
        <v>#REF!</v>
      </c>
      <c r="O613" s="1192" t="e">
        <f>ROUND(N613/I613*10,2)</f>
        <v>#REF!</v>
      </c>
    </row>
    <row r="614" spans="1:18" ht="16.5" x14ac:dyDescent="0.2">
      <c r="A614" s="1197" t="s">
        <v>541</v>
      </c>
      <c r="B614" s="1163"/>
      <c r="C614" s="1163"/>
      <c r="D614" s="1163"/>
      <c r="E614" s="1163"/>
      <c r="F614" s="1163"/>
      <c r="G614" s="1163"/>
      <c r="H614" s="1163"/>
      <c r="I614" s="1176"/>
      <c r="J614" s="1176"/>
      <c r="K614" s="1176"/>
      <c r="L614" s="1176"/>
      <c r="M614" s="1176"/>
      <c r="N614" s="1176"/>
      <c r="O614" s="1176"/>
    </row>
    <row r="615" spans="1:18" ht="16.5" x14ac:dyDescent="0.2">
      <c r="A615" s="1197" t="s">
        <v>541</v>
      </c>
      <c r="B615" s="1159"/>
      <c r="C615" s="1160" t="s">
        <v>593</v>
      </c>
      <c r="D615" s="1160" t="s">
        <v>589</v>
      </c>
      <c r="E615" s="1168">
        <f>E617</f>
        <v>0</v>
      </c>
      <c r="F615" s="1168">
        <f>F617</f>
        <v>0</v>
      </c>
      <c r="G615" s="1160">
        <f>ROUND(F615*0,0)</f>
        <v>0</v>
      </c>
      <c r="H615" s="1162" t="s">
        <v>591</v>
      </c>
      <c r="I615" s="1167">
        <f>ROUND(I617*0%,2)</f>
        <v>0</v>
      </c>
      <c r="J615" s="1167" t="e">
        <f>+#REF!</f>
        <v>#REF!</v>
      </c>
      <c r="K615" s="1167" t="e">
        <f>+#REF!</f>
        <v>#REF!</v>
      </c>
      <c r="L615" s="1167" t="e">
        <f>ROUND((G615*85%)*J615*12/10000000,2)</f>
        <v>#REF!</v>
      </c>
      <c r="M615" s="1167" t="e">
        <f>ROUND(I615*1000000*K615/10000000,2)</f>
        <v>#REF!</v>
      </c>
      <c r="N615" s="1167"/>
      <c r="O615" s="1192"/>
    </row>
    <row r="616" spans="1:18" ht="16.5" x14ac:dyDescent="0.2">
      <c r="A616" s="1197" t="s">
        <v>541</v>
      </c>
      <c r="B616" s="1159"/>
      <c r="C616" s="1160"/>
      <c r="D616" s="1160"/>
      <c r="E616" s="1168"/>
      <c r="F616" s="1168"/>
      <c r="G616" s="1160"/>
      <c r="H616" s="1162" t="s">
        <v>590</v>
      </c>
      <c r="I616" s="1167">
        <f>I617-I615</f>
        <v>0</v>
      </c>
      <c r="J616" s="1167"/>
      <c r="K616" s="1167" t="e">
        <f>+#REF!</f>
        <v>#REF!</v>
      </c>
      <c r="L616" s="1167"/>
      <c r="M616" s="1167" t="e">
        <f>ROUND(I616*1000000*K616/10000000,2)</f>
        <v>#REF!</v>
      </c>
      <c r="N616" s="1167"/>
      <c r="O616" s="1192"/>
    </row>
    <row r="617" spans="1:18" ht="16.5" x14ac:dyDescent="0.2">
      <c r="A617" s="1197" t="s">
        <v>541</v>
      </c>
      <c r="B617" s="1164"/>
      <c r="C617" s="1165"/>
      <c r="D617" s="1166" t="s">
        <v>486</v>
      </c>
      <c r="E617" s="1169">
        <f>ROUND(E622*0%,0)</f>
        <v>0</v>
      </c>
      <c r="F617" s="1169">
        <f>ROUND(F622*0%,0)</f>
        <v>0</v>
      </c>
      <c r="G617" s="1169">
        <f>SUM(G615:G616)</f>
        <v>0</v>
      </c>
      <c r="H617" s="1165"/>
      <c r="I617" s="1170">
        <f>ROUND(I622*0%,2)</f>
        <v>0</v>
      </c>
      <c r="J617" s="1170"/>
      <c r="K617" s="1170"/>
      <c r="L617" s="1170" t="e">
        <f>SUM(L615:L616)</f>
        <v>#REF!</v>
      </c>
      <c r="M617" s="1170" t="e">
        <f>SUM(M615:M616)</f>
        <v>#REF!</v>
      </c>
      <c r="N617" s="1170" t="e">
        <f>L617+M617</f>
        <v>#REF!</v>
      </c>
      <c r="O617" s="1177"/>
      <c r="R617" s="1224" t="e">
        <f>+N617-#REF!</f>
        <v>#REF!</v>
      </c>
    </row>
    <row r="618" spans="1:18" ht="16.5" x14ac:dyDescent="0.2">
      <c r="A618" s="1197" t="s">
        <v>541</v>
      </c>
      <c r="B618" s="1163"/>
      <c r="C618" s="1163"/>
      <c r="D618" s="1163"/>
      <c r="E618" s="1163"/>
      <c r="F618" s="1163"/>
      <c r="G618" s="1163"/>
      <c r="H618" s="1163"/>
      <c r="I618" s="1176"/>
      <c r="J618" s="1176"/>
      <c r="K618" s="1176"/>
      <c r="L618" s="1176"/>
      <c r="M618" s="1176"/>
      <c r="N618" s="1176"/>
      <c r="O618" s="1176"/>
    </row>
    <row r="619" spans="1:18" ht="16.5" x14ac:dyDescent="0.2">
      <c r="A619" s="1197" t="s">
        <v>541</v>
      </c>
      <c r="B619" s="1159"/>
      <c r="C619" s="1160" t="s">
        <v>594</v>
      </c>
      <c r="D619" s="1160" t="s">
        <v>589</v>
      </c>
      <c r="E619" s="1168">
        <f>E621</f>
        <v>1982</v>
      </c>
      <c r="F619" s="1168">
        <f>F621</f>
        <v>1931</v>
      </c>
      <c r="G619" s="1160">
        <f>ROUND(F619*540,0)</f>
        <v>1042740</v>
      </c>
      <c r="H619" s="1162" t="s">
        <v>591</v>
      </c>
      <c r="I619" s="1167">
        <f>ROUND(I621*40.29%,2)</f>
        <v>546.64</v>
      </c>
      <c r="J619" s="1167" t="e">
        <f>+#REF!</f>
        <v>#REF!</v>
      </c>
      <c r="K619" s="1167" t="e">
        <f>+#REF!</f>
        <v>#REF!</v>
      </c>
      <c r="L619" s="1167" t="e">
        <f>ROUND((G619*85%)*J619*12/10000000,2)</f>
        <v>#REF!</v>
      </c>
      <c r="M619" s="1167" t="e">
        <f>ROUND(I619*1000000*K619/10000000,2)</f>
        <v>#REF!</v>
      </c>
      <c r="N619" s="1167"/>
      <c r="O619" s="1192"/>
    </row>
    <row r="620" spans="1:18" ht="16.5" x14ac:dyDescent="0.2">
      <c r="A620" s="1197" t="s">
        <v>541</v>
      </c>
      <c r="B620" s="1159"/>
      <c r="C620" s="1160"/>
      <c r="D620" s="1160"/>
      <c r="E620" s="1168"/>
      <c r="F620" s="1168"/>
      <c r="G620" s="1160"/>
      <c r="H620" s="1162" t="s">
        <v>590</v>
      </c>
      <c r="I620" s="1167">
        <f>I621-I619</f>
        <v>810.12</v>
      </c>
      <c r="J620" s="1167"/>
      <c r="K620" s="1167" t="e">
        <f>+#REF!</f>
        <v>#REF!</v>
      </c>
      <c r="L620" s="1167"/>
      <c r="M620" s="1167" t="e">
        <f>ROUND(I620*1000000*K620/10000000,2)</f>
        <v>#REF!</v>
      </c>
      <c r="N620" s="1167"/>
      <c r="O620" s="1192"/>
    </row>
    <row r="621" spans="1:18" ht="16.5" x14ac:dyDescent="0.2">
      <c r="A621" s="1197" t="s">
        <v>541</v>
      </c>
      <c r="B621" s="1164"/>
      <c r="C621" s="1165"/>
      <c r="D621" s="1166" t="s">
        <v>486</v>
      </c>
      <c r="E621" s="1169">
        <f>E622-E617</f>
        <v>1982</v>
      </c>
      <c r="F621" s="1169">
        <f>F622-F617</f>
        <v>1931</v>
      </c>
      <c r="G621" s="1169">
        <f>SUM(G619:G620)</f>
        <v>1042740</v>
      </c>
      <c r="H621" s="1165"/>
      <c r="I621" s="1170">
        <f>I622-I617</f>
        <v>1356.76</v>
      </c>
      <c r="J621" s="1170"/>
      <c r="K621" s="1170"/>
      <c r="L621" s="1170" t="e">
        <f>SUM(L619:L620)</f>
        <v>#REF!</v>
      </c>
      <c r="M621" s="1170" t="e">
        <f>SUM(M619:M620)</f>
        <v>#REF!</v>
      </c>
      <c r="N621" s="1170" t="e">
        <f>L621+M621</f>
        <v>#REF!</v>
      </c>
      <c r="O621" s="1177"/>
      <c r="R621" s="1224" t="e">
        <f>+N621-#REF!</f>
        <v>#REF!</v>
      </c>
    </row>
    <row r="622" spans="1:18" ht="16.5" x14ac:dyDescent="0.2">
      <c r="A622" s="1197" t="s">
        <v>541</v>
      </c>
      <c r="B622" s="1164">
        <v>10</v>
      </c>
      <c r="C622" s="1165" t="s">
        <v>592</v>
      </c>
      <c r="D622" s="1165"/>
      <c r="E622" s="1169">
        <f>Sales_FY24!$P$183</f>
        <v>1982</v>
      </c>
      <c r="F622" s="1169">
        <f>Sales_FY24!$V$183</f>
        <v>1931</v>
      </c>
      <c r="G622" s="1169">
        <f>G617+G621</f>
        <v>1042740</v>
      </c>
      <c r="H622" s="1165"/>
      <c r="I622" s="1170">
        <f>Sales_FY24!$Q$183</f>
        <v>1356.76</v>
      </c>
      <c r="J622" s="1170"/>
      <c r="K622" s="1170"/>
      <c r="L622" s="1169" t="e">
        <f>L617+L621</f>
        <v>#REF!</v>
      </c>
      <c r="M622" s="1169" t="e">
        <f>M617+M621</f>
        <v>#REF!</v>
      </c>
      <c r="N622" s="1170" t="e">
        <f>L622+M622</f>
        <v>#REF!</v>
      </c>
      <c r="O622" s="1177" t="e">
        <f>ROUND(N622/I622*10,2)</f>
        <v>#REF!</v>
      </c>
    </row>
    <row r="623" spans="1:18" ht="16.5" x14ac:dyDescent="0.2">
      <c r="A623" s="1197" t="s">
        <v>541</v>
      </c>
      <c r="B623" s="1163"/>
      <c r="C623" s="1163"/>
      <c r="D623" s="1163"/>
      <c r="E623" s="1163"/>
      <c r="F623" s="1163"/>
      <c r="G623" s="1163"/>
      <c r="H623" s="1163"/>
      <c r="I623" s="1176"/>
      <c r="J623" s="1176"/>
      <c r="K623" s="1176"/>
      <c r="L623" s="1176"/>
      <c r="M623" s="1176"/>
      <c r="N623" s="1176"/>
      <c r="O623" s="1176"/>
    </row>
    <row r="624" spans="1:18" ht="16.5" x14ac:dyDescent="0.2">
      <c r="A624" s="1197" t="s">
        <v>541</v>
      </c>
      <c r="B624" s="1159"/>
      <c r="C624" s="1160" t="s">
        <v>596</v>
      </c>
      <c r="D624" s="1160" t="s">
        <v>589</v>
      </c>
      <c r="E624" s="1168">
        <f>E626</f>
        <v>0</v>
      </c>
      <c r="F624" s="1168">
        <f>F626</f>
        <v>0</v>
      </c>
      <c r="G624" s="1160">
        <f>ROUND(F624*0,0)</f>
        <v>0</v>
      </c>
      <c r="H624" s="1162" t="s">
        <v>598</v>
      </c>
      <c r="I624" s="1167">
        <f>ROUND(I626*0%,2)</f>
        <v>0</v>
      </c>
      <c r="J624" s="1167" t="e">
        <f>+#REF!</f>
        <v>#REF!</v>
      </c>
      <c r="K624" s="1167" t="e">
        <f>+#REF!</f>
        <v>#REF!</v>
      </c>
      <c r="L624" s="1167" t="e">
        <f>ROUND((G624*85%)*J624*12/10000000,2)</f>
        <v>#REF!</v>
      </c>
      <c r="M624" s="1167" t="e">
        <f>ROUND(I624*1000000*K624/10000000,2)</f>
        <v>#REF!</v>
      </c>
      <c r="N624" s="1167"/>
      <c r="O624" s="1192"/>
    </row>
    <row r="625" spans="1:18" ht="16.5" x14ac:dyDescent="0.2">
      <c r="A625" s="1197" t="s">
        <v>541</v>
      </c>
      <c r="B625" s="1159"/>
      <c r="C625" s="1160"/>
      <c r="D625" s="1160"/>
      <c r="E625" s="1168"/>
      <c r="F625" s="1168"/>
      <c r="G625" s="1160"/>
      <c r="H625" s="1162" t="s">
        <v>599</v>
      </c>
      <c r="I625" s="1167">
        <f>I626-I624</f>
        <v>0</v>
      </c>
      <c r="J625" s="1167"/>
      <c r="K625" s="1167" t="e">
        <f>+#REF!</f>
        <v>#REF!</v>
      </c>
      <c r="L625" s="1167"/>
      <c r="M625" s="1167" t="e">
        <f>ROUND(I625*1000000*K625/10000000,2)</f>
        <v>#REF!</v>
      </c>
      <c r="N625" s="1167"/>
      <c r="O625" s="1192"/>
    </row>
    <row r="626" spans="1:18" ht="16.5" x14ac:dyDescent="0.2">
      <c r="A626" s="1197" t="s">
        <v>541</v>
      </c>
      <c r="B626" s="1164"/>
      <c r="C626" s="1165"/>
      <c r="D626" s="1166" t="s">
        <v>486</v>
      </c>
      <c r="E626" s="1169">
        <f>ROUND(E631*0%,0)</f>
        <v>0</v>
      </c>
      <c r="F626" s="1169">
        <f>ROUND(F631*0%,0)</f>
        <v>0</v>
      </c>
      <c r="G626" s="1169">
        <f>SUM(G624:G625)</f>
        <v>0</v>
      </c>
      <c r="H626" s="1165"/>
      <c r="I626" s="1170">
        <f>ROUND(I631*0%,2)</f>
        <v>0</v>
      </c>
      <c r="J626" s="1170"/>
      <c r="K626" s="1170"/>
      <c r="L626" s="1170" t="e">
        <f>SUM(L624:L625)</f>
        <v>#REF!</v>
      </c>
      <c r="M626" s="1170" t="e">
        <f>SUM(M624:M625)</f>
        <v>#REF!</v>
      </c>
      <c r="N626" s="1170" t="e">
        <f>L626+M626</f>
        <v>#REF!</v>
      </c>
      <c r="O626" s="1177"/>
      <c r="R626" s="1224" t="e">
        <f>+N626-#REF!</f>
        <v>#REF!</v>
      </c>
    </row>
    <row r="627" spans="1:18" ht="16.5" x14ac:dyDescent="0.2">
      <c r="A627" s="1197" t="s">
        <v>541</v>
      </c>
      <c r="B627" s="1163"/>
      <c r="C627" s="1163"/>
      <c r="D627" s="1163"/>
      <c r="E627" s="1163"/>
      <c r="F627" s="1163"/>
      <c r="G627" s="1163"/>
      <c r="H627" s="1163"/>
      <c r="I627" s="1176"/>
      <c r="J627" s="1176"/>
      <c r="K627" s="1176"/>
      <c r="L627" s="1176"/>
      <c r="M627" s="1176"/>
      <c r="N627" s="1176"/>
      <c r="O627" s="1176"/>
    </row>
    <row r="628" spans="1:18" ht="16.5" x14ac:dyDescent="0.2">
      <c r="A628" s="1197" t="s">
        <v>541</v>
      </c>
      <c r="B628" s="1159"/>
      <c r="C628" s="1160" t="s">
        <v>597</v>
      </c>
      <c r="D628" s="1160" t="s">
        <v>589</v>
      </c>
      <c r="E628" s="1168">
        <f>E630</f>
        <v>518</v>
      </c>
      <c r="F628" s="1168">
        <f>F630</f>
        <v>504</v>
      </c>
      <c r="G628" s="1160">
        <f>ROUND(F628*185,0)</f>
        <v>93240</v>
      </c>
      <c r="H628" s="1162" t="s">
        <v>598</v>
      </c>
      <c r="I628" s="1167">
        <f>ROUND(I630*85%,2)</f>
        <v>64.7</v>
      </c>
      <c r="J628" s="1167" t="e">
        <f>+#REF!</f>
        <v>#REF!</v>
      </c>
      <c r="K628" s="1167" t="e">
        <f>+#REF!</f>
        <v>#REF!</v>
      </c>
      <c r="L628" s="1167" t="e">
        <f>ROUND((G628*85%)*J628*12/10000000,2)</f>
        <v>#REF!</v>
      </c>
      <c r="M628" s="1167" t="e">
        <f>ROUND(I628*1000000*K628/10000000,2)</f>
        <v>#REF!</v>
      </c>
      <c r="N628" s="1167"/>
      <c r="O628" s="1192"/>
    </row>
    <row r="629" spans="1:18" ht="16.5" x14ac:dyDescent="0.2">
      <c r="A629" s="1197" t="s">
        <v>541</v>
      </c>
      <c r="B629" s="1159"/>
      <c r="C629" s="1160"/>
      <c r="D629" s="1160"/>
      <c r="E629" s="1168"/>
      <c r="F629" s="1168"/>
      <c r="G629" s="1160"/>
      <c r="H629" s="1162" t="s">
        <v>599</v>
      </c>
      <c r="I629" s="1167">
        <f>I630-I628</f>
        <v>11.420000000000002</v>
      </c>
      <c r="J629" s="1167"/>
      <c r="K629" s="1167" t="e">
        <f>+#REF!</f>
        <v>#REF!</v>
      </c>
      <c r="L629" s="1167"/>
      <c r="M629" s="1167" t="e">
        <f>ROUND(I629*1000000*K629/10000000,2)</f>
        <v>#REF!</v>
      </c>
      <c r="N629" s="1167"/>
      <c r="O629" s="1192"/>
    </row>
    <row r="630" spans="1:18" ht="16.5" x14ac:dyDescent="0.2">
      <c r="A630" s="1197" t="s">
        <v>541</v>
      </c>
      <c r="B630" s="1164"/>
      <c r="C630" s="1165"/>
      <c r="D630" s="1166" t="s">
        <v>486</v>
      </c>
      <c r="E630" s="1169">
        <f>E631-E626</f>
        <v>518</v>
      </c>
      <c r="F630" s="1169">
        <f>F631-F626</f>
        <v>504</v>
      </c>
      <c r="G630" s="1169">
        <f>SUM(G628:G629)</f>
        <v>93240</v>
      </c>
      <c r="H630" s="1165"/>
      <c r="I630" s="1170">
        <f>I631-I626</f>
        <v>76.12</v>
      </c>
      <c r="J630" s="1170"/>
      <c r="K630" s="1170"/>
      <c r="L630" s="1170" t="e">
        <f>SUM(L628:L629)</f>
        <v>#REF!</v>
      </c>
      <c r="M630" s="1170" t="e">
        <f>SUM(M628:M629)</f>
        <v>#REF!</v>
      </c>
      <c r="N630" s="1170" t="e">
        <f>L630+M630</f>
        <v>#REF!</v>
      </c>
      <c r="O630" s="1177"/>
      <c r="R630" s="1224" t="e">
        <f>+N630-#REF!</f>
        <v>#REF!</v>
      </c>
    </row>
    <row r="631" spans="1:18" ht="16.5" x14ac:dyDescent="0.2">
      <c r="A631" s="1197" t="s">
        <v>541</v>
      </c>
      <c r="B631" s="1164">
        <v>11</v>
      </c>
      <c r="C631" s="1165" t="s">
        <v>595</v>
      </c>
      <c r="D631" s="1165"/>
      <c r="E631" s="1169">
        <f>Sales_FY24!$P$184</f>
        <v>518</v>
      </c>
      <c r="F631" s="1169">
        <f>Sales_FY24!$V$184</f>
        <v>504</v>
      </c>
      <c r="G631" s="1169">
        <f>G626+G630</f>
        <v>93240</v>
      </c>
      <c r="H631" s="1165"/>
      <c r="I631" s="1170">
        <f>Sales_FY24!$Q$184</f>
        <v>76.12</v>
      </c>
      <c r="J631" s="1170"/>
      <c r="K631" s="1170"/>
      <c r="L631" s="1170" t="e">
        <f>L626+L630</f>
        <v>#REF!</v>
      </c>
      <c r="M631" s="1170" t="e">
        <f>M626+M630</f>
        <v>#REF!</v>
      </c>
      <c r="N631" s="1170" t="e">
        <f>L631+M631</f>
        <v>#REF!</v>
      </c>
      <c r="O631" s="1177" t="e">
        <f>ROUND(N631/I631*10,2)</f>
        <v>#REF!</v>
      </c>
    </row>
    <row r="632" spans="1:18" ht="16.5" x14ac:dyDescent="0.2">
      <c r="A632" s="1197" t="s">
        <v>541</v>
      </c>
      <c r="B632" s="1163"/>
      <c r="C632" s="1163"/>
      <c r="D632" s="1163"/>
      <c r="E632" s="1163"/>
      <c r="F632" s="1163"/>
      <c r="G632" s="1163"/>
      <c r="H632" s="1163"/>
      <c r="I632" s="1176"/>
      <c r="J632" s="1176"/>
      <c r="K632" s="1176"/>
      <c r="L632" s="1176"/>
      <c r="M632" s="1176"/>
      <c r="N632" s="1176"/>
      <c r="O632" s="1176"/>
    </row>
    <row r="633" spans="1:18" ht="16.5" x14ac:dyDescent="0.2">
      <c r="A633" s="1197" t="s">
        <v>541</v>
      </c>
      <c r="B633" s="1159"/>
      <c r="C633" s="1160" t="s">
        <v>601</v>
      </c>
      <c r="D633" s="1160" t="s">
        <v>589</v>
      </c>
      <c r="E633" s="1168">
        <f>E635</f>
        <v>382</v>
      </c>
      <c r="F633" s="1168">
        <f>F635</f>
        <v>356</v>
      </c>
      <c r="G633" s="1160">
        <f>ROUND(F633*95,0)</f>
        <v>33820</v>
      </c>
      <c r="H633" s="1162" t="s">
        <v>591</v>
      </c>
      <c r="I633" s="1167">
        <f>ROUND(I635*55.79%,2)</f>
        <v>28.99</v>
      </c>
      <c r="J633" s="1167" t="e">
        <f>+#REF!</f>
        <v>#REF!</v>
      </c>
      <c r="K633" s="1167" t="e">
        <f>+#REF!</f>
        <v>#REF!</v>
      </c>
      <c r="L633" s="1167" t="e">
        <f>ROUND((G633*85%)*J633*12/10000000,2)</f>
        <v>#REF!</v>
      </c>
      <c r="M633" s="1167" t="e">
        <f>ROUND(I633*1000000*K633/10000000,2)</f>
        <v>#REF!</v>
      </c>
      <c r="N633" s="1167"/>
      <c r="O633" s="1192"/>
    </row>
    <row r="634" spans="1:18" ht="16.5" x14ac:dyDescent="0.2">
      <c r="A634" s="1197" t="s">
        <v>541</v>
      </c>
      <c r="B634" s="1159"/>
      <c r="C634" s="1160"/>
      <c r="D634" s="1160"/>
      <c r="E634" s="1168"/>
      <c r="F634" s="1168"/>
      <c r="G634" s="1160"/>
      <c r="H634" s="1162" t="s">
        <v>590</v>
      </c>
      <c r="I634" s="1167">
        <f>I635-I633</f>
        <v>22.970000000000002</v>
      </c>
      <c r="J634" s="1167"/>
      <c r="K634" s="1167" t="e">
        <f>+#REF!</f>
        <v>#REF!</v>
      </c>
      <c r="L634" s="1167"/>
      <c r="M634" s="1167" t="e">
        <f>ROUND(I634*1000000*K634/10000000,2)</f>
        <v>#REF!</v>
      </c>
      <c r="N634" s="1167"/>
      <c r="O634" s="1192"/>
    </row>
    <row r="635" spans="1:18" ht="16.5" x14ac:dyDescent="0.2">
      <c r="A635" s="1197" t="s">
        <v>541</v>
      </c>
      <c r="B635" s="1164"/>
      <c r="C635" s="1165"/>
      <c r="D635" s="1166" t="s">
        <v>486</v>
      </c>
      <c r="E635" s="1169">
        <f>ROUND(E640*100%,0)</f>
        <v>382</v>
      </c>
      <c r="F635" s="1169">
        <f>ROUND(F640*100%,0)</f>
        <v>356</v>
      </c>
      <c r="G635" s="1169">
        <f>SUM(G633:G634)</f>
        <v>33820</v>
      </c>
      <c r="H635" s="1165"/>
      <c r="I635" s="1170">
        <f>ROUND(I640*100%,2)</f>
        <v>51.96</v>
      </c>
      <c r="J635" s="1170"/>
      <c r="K635" s="1170"/>
      <c r="L635" s="1170" t="e">
        <f>SUM(L633:L634)</f>
        <v>#REF!</v>
      </c>
      <c r="M635" s="1170" t="e">
        <f>SUM(M633:M634)</f>
        <v>#REF!</v>
      </c>
      <c r="N635" s="1170" t="e">
        <f>L635+M635</f>
        <v>#REF!</v>
      </c>
      <c r="O635" s="1177" t="e">
        <f>ROUND(N635/I635*10,2)</f>
        <v>#REF!</v>
      </c>
    </row>
    <row r="636" spans="1:18" ht="16.5" x14ac:dyDescent="0.2">
      <c r="A636" s="1197" t="s">
        <v>541</v>
      </c>
      <c r="B636" s="1163"/>
      <c r="C636" s="1163"/>
      <c r="D636" s="1163"/>
      <c r="E636" s="1163"/>
      <c r="F636" s="1163"/>
      <c r="G636" s="1163"/>
      <c r="H636" s="1163"/>
      <c r="I636" s="1176"/>
      <c r="J636" s="1176"/>
      <c r="K636" s="1176"/>
      <c r="L636" s="1176"/>
      <c r="M636" s="1176"/>
      <c r="N636" s="1176"/>
      <c r="O636" s="1176"/>
    </row>
    <row r="637" spans="1:18" ht="16.5" x14ac:dyDescent="0.2">
      <c r="A637" s="1197" t="s">
        <v>541</v>
      </c>
      <c r="B637" s="1159"/>
      <c r="C637" s="1160" t="s">
        <v>602</v>
      </c>
      <c r="D637" s="1160" t="s">
        <v>589</v>
      </c>
      <c r="E637" s="1168">
        <f>E639</f>
        <v>0</v>
      </c>
      <c r="F637" s="1168">
        <f>F639</f>
        <v>0</v>
      </c>
      <c r="G637" s="1160">
        <f>ROUND(F637*66.97,0)</f>
        <v>0</v>
      </c>
      <c r="H637" s="1162" t="s">
        <v>591</v>
      </c>
      <c r="I637" s="1167">
        <f>ROUND(I639*90.02169%,2)</f>
        <v>0</v>
      </c>
      <c r="J637" s="1167" t="e">
        <f>+#REF!</f>
        <v>#REF!</v>
      </c>
      <c r="K637" s="1167" t="e">
        <f>+#REF!</f>
        <v>#REF!</v>
      </c>
      <c r="L637" s="1167" t="e">
        <f>ROUND((G637*85%)*J637*12/10000000,2)</f>
        <v>#REF!</v>
      </c>
      <c r="M637" s="1167" t="e">
        <f>ROUND(I637*1000000*K637/10000000,2)</f>
        <v>#REF!</v>
      </c>
      <c r="N637" s="1167"/>
      <c r="O637" s="1192"/>
    </row>
    <row r="638" spans="1:18" ht="16.5" x14ac:dyDescent="0.2">
      <c r="A638" s="1197" t="s">
        <v>541</v>
      </c>
      <c r="B638" s="1159"/>
      <c r="C638" s="1160"/>
      <c r="D638" s="1160"/>
      <c r="E638" s="1168"/>
      <c r="F638" s="1168"/>
      <c r="G638" s="1160"/>
      <c r="H638" s="1162" t="s">
        <v>590</v>
      </c>
      <c r="I638" s="1167">
        <f>I639-I637</f>
        <v>0</v>
      </c>
      <c r="J638" s="1167"/>
      <c r="K638" s="1167" t="e">
        <f>+#REF!</f>
        <v>#REF!</v>
      </c>
      <c r="L638" s="1167"/>
      <c r="M638" s="1167" t="e">
        <f>ROUND(I638*1000000*K638/10000000,2)</f>
        <v>#REF!</v>
      </c>
      <c r="N638" s="1167"/>
      <c r="O638" s="1192"/>
    </row>
    <row r="639" spans="1:18" ht="16.5" x14ac:dyDescent="0.2">
      <c r="A639" s="1197" t="s">
        <v>541</v>
      </c>
      <c r="B639" s="1164"/>
      <c r="C639" s="1165"/>
      <c r="D639" s="1166" t="s">
        <v>486</v>
      </c>
      <c r="E639" s="1169">
        <f>E640-E635</f>
        <v>0</v>
      </c>
      <c r="F639" s="1169">
        <f>F640-F635</f>
        <v>0</v>
      </c>
      <c r="G639" s="1169">
        <f>SUM(G637:G638)</f>
        <v>0</v>
      </c>
      <c r="H639" s="1165"/>
      <c r="I639" s="1170">
        <f>I640-I635</f>
        <v>0</v>
      </c>
      <c r="J639" s="1170"/>
      <c r="K639" s="1170"/>
      <c r="L639" s="1170" t="e">
        <f>SUM(L637:L638)</f>
        <v>#REF!</v>
      </c>
      <c r="M639" s="1170" t="e">
        <f>SUM(M637:M638)</f>
        <v>#REF!</v>
      </c>
      <c r="N639" s="1170" t="e">
        <f>L639+M639</f>
        <v>#REF!</v>
      </c>
      <c r="O639" s="1177"/>
    </row>
    <row r="640" spans="1:18" ht="16.5" x14ac:dyDescent="0.2">
      <c r="A640" s="1197" t="s">
        <v>541</v>
      </c>
      <c r="B640" s="1164">
        <v>12</v>
      </c>
      <c r="C640" s="1165" t="s">
        <v>600</v>
      </c>
      <c r="D640" s="1165"/>
      <c r="E640" s="1169">
        <f>Sales_FY24!$P$185</f>
        <v>382</v>
      </c>
      <c r="F640" s="1169">
        <f>Sales_FY24!$V$185</f>
        <v>356</v>
      </c>
      <c r="G640" s="1169">
        <f>G635+G639</f>
        <v>33820</v>
      </c>
      <c r="H640" s="1165"/>
      <c r="I640" s="1170">
        <f>Sales_FY24!$Q$185</f>
        <v>51.96</v>
      </c>
      <c r="J640" s="1170"/>
      <c r="K640" s="1170"/>
      <c r="L640" s="1170" t="e">
        <f>L635+L639</f>
        <v>#REF!</v>
      </c>
      <c r="M640" s="1170" t="e">
        <f>M635+M639</f>
        <v>#REF!</v>
      </c>
      <c r="N640" s="1170" t="e">
        <f>L640+M640</f>
        <v>#REF!</v>
      </c>
      <c r="O640" s="1177" t="e">
        <f>ROUND(N640/I640*10,2)</f>
        <v>#REF!</v>
      </c>
    </row>
    <row r="641" spans="1:15" ht="16.5" x14ac:dyDescent="0.2">
      <c r="A641" s="1197" t="s">
        <v>541</v>
      </c>
      <c r="B641" s="1163"/>
      <c r="C641" s="1163"/>
      <c r="D641" s="1163"/>
      <c r="E641" s="1163"/>
      <c r="F641" s="1163"/>
      <c r="G641" s="1163"/>
      <c r="H641" s="1163"/>
      <c r="I641" s="1176"/>
      <c r="J641" s="1176"/>
      <c r="K641" s="1176"/>
      <c r="L641" s="1176"/>
      <c r="M641" s="1176"/>
      <c r="N641" s="1176"/>
      <c r="O641" s="1176"/>
    </row>
    <row r="642" spans="1:15" ht="16.5" x14ac:dyDescent="0.2">
      <c r="A642" s="1197" t="s">
        <v>541</v>
      </c>
      <c r="B642" s="1159"/>
      <c r="C642" s="1160" t="s">
        <v>612</v>
      </c>
      <c r="D642" s="1160" t="s">
        <v>604</v>
      </c>
      <c r="E642" s="1168">
        <f>ROUND(E646*68.0761%,0)</f>
        <v>331</v>
      </c>
      <c r="F642" s="1168">
        <f>ROUND(F646*68.0761%,0)</f>
        <v>322</v>
      </c>
      <c r="G642" s="1160">
        <f>ROUND(F642*310,0)</f>
        <v>99820</v>
      </c>
      <c r="H642" s="1162" t="s">
        <v>561</v>
      </c>
      <c r="I642" s="1167">
        <f>ROUND(I646*88.82983%,2)</f>
        <v>103.62</v>
      </c>
      <c r="J642" s="1167" t="e">
        <f>+#REF!</f>
        <v>#REF!</v>
      </c>
      <c r="K642" s="1167" t="e">
        <f>+#REF!</f>
        <v>#REF!</v>
      </c>
      <c r="L642" s="1167" t="e">
        <f>IF((ROUND(G642*J642*1/10000000,2))&gt;(ROUND(I642*1000000*K642/10000000,2)),(ROUND(G642*J642*1/10000000,2)),0)</f>
        <v>#REF!</v>
      </c>
      <c r="M642" s="1167" t="e">
        <f>IF((ROUND(I642*1000000*K642/10000000,2))&gt;(ROUND(G642*J642*1/10000000,2)),(ROUND(I642*1000000*K642/10000000,2)),0)</f>
        <v>#REF!</v>
      </c>
      <c r="N642" s="1167" t="e">
        <f>L642+M642</f>
        <v>#REF!</v>
      </c>
      <c r="O642" s="1192" t="e">
        <f>ROUND(N642/I642*10,2)</f>
        <v>#REF!</v>
      </c>
    </row>
    <row r="643" spans="1:15" ht="16.5" x14ac:dyDescent="0.2">
      <c r="A643" s="1197" t="s">
        <v>541</v>
      </c>
      <c r="B643" s="1159"/>
      <c r="C643" s="1160" t="s">
        <v>613</v>
      </c>
      <c r="D643" s="1160" t="s">
        <v>604</v>
      </c>
      <c r="E643" s="1168">
        <f>ROUND(E646*31.92389%,0)</f>
        <v>155</v>
      </c>
      <c r="F643" s="1168">
        <f>ROUND(F646*31.92389%,0)</f>
        <v>151</v>
      </c>
      <c r="G643" s="1160">
        <f>ROUND(F643*125,0)</f>
        <v>18875</v>
      </c>
      <c r="H643" s="1162" t="s">
        <v>561</v>
      </c>
      <c r="I643" s="1167">
        <f>ROUND(I646*11.17016%,2)</f>
        <v>13.03</v>
      </c>
      <c r="J643" s="1167" t="e">
        <f>+#REF!</f>
        <v>#REF!</v>
      </c>
      <c r="K643" s="1167" t="e">
        <f>+#REF!</f>
        <v>#REF!</v>
      </c>
      <c r="L643" s="1167" t="e">
        <f>ROUND(G643*J643*12/10000000,2)</f>
        <v>#REF!</v>
      </c>
      <c r="M643" s="1167" t="e">
        <f>ROUND(I643*1000000*K643/10000000,2)</f>
        <v>#REF!</v>
      </c>
      <c r="N643" s="1167" t="e">
        <f>L643+M643</f>
        <v>#REF!</v>
      </c>
      <c r="O643" s="1192"/>
    </row>
    <row r="644" spans="1:15" ht="16.5" x14ac:dyDescent="0.2">
      <c r="A644" s="1197" t="s">
        <v>541</v>
      </c>
      <c r="B644" s="1159"/>
      <c r="C644" s="1160" t="s">
        <v>614</v>
      </c>
      <c r="D644" s="1160" t="s">
        <v>604</v>
      </c>
      <c r="E644" s="1168">
        <f>ROUND(E646*0%,0)</f>
        <v>0</v>
      </c>
      <c r="F644" s="1168">
        <f>ROUND(F646*0%,0)</f>
        <v>0</v>
      </c>
      <c r="G644" s="1160">
        <f>ROUND(F644*168.5,0)</f>
        <v>0</v>
      </c>
      <c r="H644" s="1162" t="s">
        <v>561</v>
      </c>
      <c r="I644" s="1167">
        <f>ROUND(I646*0%,2)</f>
        <v>0</v>
      </c>
      <c r="J644" s="1167" t="e">
        <f>+#REF!</f>
        <v>#REF!</v>
      </c>
      <c r="K644" s="1167" t="e">
        <f>+#REF!</f>
        <v>#REF!</v>
      </c>
      <c r="L644" s="1167" t="e">
        <f>ROUND(G644*J644*12/10000000,2)</f>
        <v>#REF!</v>
      </c>
      <c r="M644" s="1167" t="e">
        <f>ROUND(I644*1000000*K644/10000000,2)</f>
        <v>#REF!</v>
      </c>
      <c r="N644" s="1167" t="e">
        <f>L644+M644</f>
        <v>#REF!</v>
      </c>
      <c r="O644" s="1192"/>
    </row>
    <row r="645" spans="1:15" ht="16.5" x14ac:dyDescent="0.2">
      <c r="A645" s="1197" t="s">
        <v>541</v>
      </c>
      <c r="B645" s="1159"/>
      <c r="C645" s="1160" t="s">
        <v>615</v>
      </c>
      <c r="D645" s="1160" t="s">
        <v>604</v>
      </c>
      <c r="E645" s="1168">
        <f>ROUND(E646*0%,0)</f>
        <v>0</v>
      </c>
      <c r="F645" s="1168">
        <f>ROUND(F646*0%,0)</f>
        <v>0</v>
      </c>
      <c r="G645" s="1160">
        <f>ROUND(F645*31.5,0)</f>
        <v>0</v>
      </c>
      <c r="H645" s="1162" t="s">
        <v>561</v>
      </c>
      <c r="I645" s="1167">
        <f>+I646-I642-I643-I644</f>
        <v>1.7763568394002505E-15</v>
      </c>
      <c r="J645" s="1167" t="e">
        <f>+#REF!</f>
        <v>#REF!</v>
      </c>
      <c r="K645" s="1167" t="e">
        <f>+#REF!</f>
        <v>#REF!</v>
      </c>
      <c r="L645" s="1167" t="e">
        <f>IF((ROUND(G645*J645*1/10000000,2))&gt;(ROUND(I645*1000000*K645/10000000,2)),(ROUND(G645*J645*1/10000000,2)),0)</f>
        <v>#REF!</v>
      </c>
      <c r="M645" s="1167" t="e">
        <f>IF((ROUND(I645*1000000*K645/10000000,2))&gt;(ROUND(G645*J645*1/10000000,2)),(ROUND(I645*1000000*K645/10000000,2)),0)</f>
        <v>#REF!</v>
      </c>
      <c r="N645" s="1167" t="e">
        <f>L645+M645</f>
        <v>#REF!</v>
      </c>
      <c r="O645" s="1192" t="e">
        <f>ROUND(N645/I645*10,2)</f>
        <v>#REF!</v>
      </c>
    </row>
    <row r="646" spans="1:15" ht="16.5" x14ac:dyDescent="0.2">
      <c r="A646" s="1197" t="s">
        <v>541</v>
      </c>
      <c r="B646" s="1164">
        <v>13</v>
      </c>
      <c r="C646" s="1165" t="s">
        <v>603</v>
      </c>
      <c r="D646" s="1165"/>
      <c r="E646" s="1169">
        <f>Sales_FY24!$P$186</f>
        <v>486</v>
      </c>
      <c r="F646" s="1169">
        <f>Sales_FY24!$V$186</f>
        <v>473</v>
      </c>
      <c r="G646" s="1169">
        <f>SUM(G642:G645)</f>
        <v>118695</v>
      </c>
      <c r="H646" s="1165"/>
      <c r="I646" s="1170">
        <f>Sales_FY24!$Q$186</f>
        <v>116.65</v>
      </c>
      <c r="J646" s="1170"/>
      <c r="K646" s="1170"/>
      <c r="L646" s="1170" t="e">
        <f>SUM(L642:L645)</f>
        <v>#REF!</v>
      </c>
      <c r="M646" s="1170" t="e">
        <f>SUM(M642:M645)</f>
        <v>#REF!</v>
      </c>
      <c r="N646" s="1170" t="e">
        <f>L646+M646</f>
        <v>#REF!</v>
      </c>
      <c r="O646" s="1177" t="e">
        <f>ROUND(N646/I646*10,2)</f>
        <v>#REF!</v>
      </c>
    </row>
    <row r="647" spans="1:15" ht="16.5" x14ac:dyDescent="0.2">
      <c r="A647" s="1197" t="s">
        <v>541</v>
      </c>
      <c r="B647" s="1163"/>
      <c r="C647" s="1163"/>
      <c r="D647" s="1163"/>
      <c r="E647" s="1163"/>
      <c r="F647" s="1163"/>
      <c r="G647" s="1163"/>
      <c r="H647" s="1163"/>
      <c r="I647" s="1176"/>
      <c r="J647" s="1176"/>
      <c r="K647" s="1176"/>
      <c r="L647" s="1176"/>
      <c r="M647" s="1176"/>
      <c r="N647" s="1176"/>
      <c r="O647" s="1176"/>
    </row>
    <row r="648" spans="1:15" ht="16.5" x14ac:dyDescent="0.2">
      <c r="A648" s="1197" t="s">
        <v>541</v>
      </c>
      <c r="B648" s="1159">
        <v>14</v>
      </c>
      <c r="C648" s="1160" t="s">
        <v>312</v>
      </c>
      <c r="D648" s="1160" t="s">
        <v>589</v>
      </c>
      <c r="E648" s="1168">
        <f>Sales_FY24!$P$187</f>
        <v>61</v>
      </c>
      <c r="F648" s="1168">
        <f>Sales_FY24!$V$187</f>
        <v>58</v>
      </c>
      <c r="G648" s="1160">
        <f>ROUND(F648*125,0)</f>
        <v>7250</v>
      </c>
      <c r="H648" s="1162" t="s">
        <v>561</v>
      </c>
      <c r="I648" s="1167">
        <f>Sales_FY24!$Q$187</f>
        <v>15.31</v>
      </c>
      <c r="J648" s="1167" t="e">
        <f>+#REF!</f>
        <v>#REF!</v>
      </c>
      <c r="K648" s="1167" t="e">
        <f>+#REF!</f>
        <v>#REF!</v>
      </c>
      <c r="L648" s="1167" t="e">
        <f>ROUND((G648*85%)*J648*12/10000000,2)</f>
        <v>#REF!</v>
      </c>
      <c r="M648" s="1167" t="e">
        <f>ROUND(I648*1000000*K648/10000000,2)</f>
        <v>#REF!</v>
      </c>
      <c r="N648" s="1167" t="e">
        <f>L648+M648</f>
        <v>#REF!</v>
      </c>
      <c r="O648" s="1192" t="e">
        <f>ROUND(N648/I648*10,2)</f>
        <v>#REF!</v>
      </c>
    </row>
    <row r="649" spans="1:15" ht="16.5" x14ac:dyDescent="0.2">
      <c r="A649" s="1197" t="s">
        <v>541</v>
      </c>
      <c r="B649" s="1163"/>
      <c r="C649" s="1163"/>
      <c r="D649" s="1163"/>
      <c r="E649" s="1163"/>
      <c r="F649" s="1163"/>
      <c r="G649" s="1163"/>
      <c r="H649" s="1163"/>
      <c r="I649" s="1176"/>
      <c r="J649" s="1176"/>
      <c r="K649" s="1176"/>
      <c r="L649" s="1176"/>
      <c r="M649" s="1176"/>
      <c r="N649" s="1176"/>
      <c r="O649" s="1176"/>
    </row>
    <row r="650" spans="1:15" ht="16.5" x14ac:dyDescent="0.2">
      <c r="A650" s="1197" t="s">
        <v>541</v>
      </c>
      <c r="B650" s="1159">
        <v>15</v>
      </c>
      <c r="C650" s="1160" t="s">
        <v>313</v>
      </c>
      <c r="D650" s="1160" t="s">
        <v>589</v>
      </c>
      <c r="E650" s="1168">
        <f>Sales_FY24!$P$188</f>
        <v>74</v>
      </c>
      <c r="F650" s="1168">
        <f>Sales_FY24!$V$188</f>
        <v>72</v>
      </c>
      <c r="G650" s="1160">
        <f>ROUND(F650*150,0)</f>
        <v>10800</v>
      </c>
      <c r="H650" s="1162" t="s">
        <v>561</v>
      </c>
      <c r="I650" s="1167">
        <f>Sales_FY24!$Q$188</f>
        <v>15.29</v>
      </c>
      <c r="J650" s="1167" t="e">
        <f>+#REF!</f>
        <v>#REF!</v>
      </c>
      <c r="K650" s="1167" t="e">
        <f>+#REF!</f>
        <v>#REF!</v>
      </c>
      <c r="L650" s="1167" t="e">
        <f>ROUND((G650*100%)*J650*12/10000000,2)</f>
        <v>#REF!</v>
      </c>
      <c r="M650" s="1167" t="e">
        <f>ROUND(I650*1000000*K650/10000000,2)</f>
        <v>#REF!</v>
      </c>
      <c r="N650" s="1167" t="e">
        <f>L650+M650</f>
        <v>#REF!</v>
      </c>
      <c r="O650" s="1192" t="e">
        <f>ROUND(N650/I650*10,2)</f>
        <v>#REF!</v>
      </c>
    </row>
    <row r="651" spans="1:15" ht="16.5" x14ac:dyDescent="0.2">
      <c r="A651" s="1197" t="s">
        <v>541</v>
      </c>
      <c r="B651" s="1163"/>
      <c r="C651" s="1163"/>
      <c r="D651" s="1163"/>
      <c r="E651" s="1163"/>
      <c r="F651" s="1163"/>
      <c r="G651" s="1163"/>
      <c r="H651" s="1163"/>
      <c r="I651" s="1176"/>
      <c r="J651" s="1176"/>
      <c r="K651" s="1176"/>
      <c r="L651" s="1176"/>
      <c r="M651" s="1176"/>
      <c r="N651" s="1176"/>
      <c r="O651" s="1176"/>
    </row>
    <row r="652" spans="1:15" ht="16.5" x14ac:dyDescent="0.2">
      <c r="A652" s="1197" t="s">
        <v>541</v>
      </c>
      <c r="B652" s="1194"/>
      <c r="C652" s="1195" t="s">
        <v>605</v>
      </c>
      <c r="D652" s="1195"/>
      <c r="E652" s="1196">
        <f>E613+E622+E631+E640+E646+E648+E650</f>
        <v>3706</v>
      </c>
      <c r="F652" s="1196">
        <f>F613+F622+F631+F640+F646+F648+F650</f>
        <v>3591</v>
      </c>
      <c r="G652" s="1196">
        <f>G613+G622+G631+G640+G646+G648+G650</f>
        <v>1365645</v>
      </c>
      <c r="H652" s="1195"/>
      <c r="I652" s="1193">
        <f>I613+I622+I631+I640+I646+I648+I650</f>
        <v>1773.1799999999998</v>
      </c>
      <c r="J652" s="1193"/>
      <c r="K652" s="1193"/>
      <c r="L652" s="1193" t="e">
        <f>L613+L622+L631+L640+L646+L648+L650</f>
        <v>#REF!</v>
      </c>
      <c r="M652" s="1193" t="e">
        <f>M613+M622+M631+M640+M646+M648+M650</f>
        <v>#REF!</v>
      </c>
      <c r="N652" s="1193" t="e">
        <f>L652+M652</f>
        <v>#REF!</v>
      </c>
      <c r="O652" s="1193" t="e">
        <f>ROUND(N652/I652*10,2)</f>
        <v>#REF!</v>
      </c>
    </row>
    <row r="653" spans="1:15" ht="16.5" x14ac:dyDescent="0.2">
      <c r="A653" s="1197" t="s">
        <v>541</v>
      </c>
      <c r="B653" s="1163"/>
      <c r="C653" s="1163"/>
      <c r="D653" s="1163"/>
      <c r="E653" s="1163"/>
      <c r="F653" s="1163"/>
      <c r="G653" s="1163"/>
      <c r="H653" s="1163"/>
      <c r="I653" s="1176"/>
      <c r="J653" s="1176"/>
      <c r="K653" s="1176"/>
      <c r="L653" s="1176"/>
      <c r="M653" s="1176"/>
      <c r="N653" s="1176"/>
      <c r="O653" s="1176"/>
    </row>
    <row r="654" spans="1:15" ht="16.5" x14ac:dyDescent="0.2">
      <c r="A654" s="1197" t="s">
        <v>541</v>
      </c>
      <c r="B654" s="1194"/>
      <c r="C654" s="1195" t="s">
        <v>606</v>
      </c>
      <c r="D654" s="1195"/>
      <c r="E654" s="1196">
        <f>E611+E652</f>
        <v>3690328</v>
      </c>
      <c r="F654" s="1196">
        <f>F611+F652</f>
        <v>3630445</v>
      </c>
      <c r="G654" s="1196">
        <f>G611+G652</f>
        <v>8259096</v>
      </c>
      <c r="H654" s="1195"/>
      <c r="I654" s="1193">
        <f>I611+I652</f>
        <v>8489.3000000000011</v>
      </c>
      <c r="J654" s="1193"/>
      <c r="K654" s="1193"/>
      <c r="L654" s="1193" t="e">
        <f>L611+L652</f>
        <v>#REF!</v>
      </c>
      <c r="M654" s="1193" t="e">
        <f>M611+M652</f>
        <v>#REF!</v>
      </c>
      <c r="N654" s="1193" t="e">
        <f>L654+M654</f>
        <v>#REF!</v>
      </c>
      <c r="O654" s="1193" t="e">
        <f>ROUND(N654/I654*10,2)</f>
        <v>#REF!</v>
      </c>
    </row>
    <row r="655" spans="1:15" ht="16.5" x14ac:dyDescent="0.2">
      <c r="A655" s="1197" t="s">
        <v>541</v>
      </c>
      <c r="B655" s="1163"/>
      <c r="C655" s="1163"/>
      <c r="D655" s="1163"/>
      <c r="E655" s="1163"/>
      <c r="F655" s="1163"/>
      <c r="G655" s="1163"/>
      <c r="H655" s="1163"/>
      <c r="I655" s="1176"/>
      <c r="J655" s="1176"/>
      <c r="K655" s="1176"/>
      <c r="L655" s="1176"/>
      <c r="M655" s="1176"/>
      <c r="N655" s="1176"/>
      <c r="O655" s="1176"/>
    </row>
    <row r="656" spans="1:15" ht="16.5" x14ac:dyDescent="0.2">
      <c r="A656" s="1197" t="s">
        <v>541</v>
      </c>
      <c r="B656" s="1159">
        <v>16</v>
      </c>
      <c r="C656" s="1160"/>
      <c r="D656" s="1160"/>
      <c r="E656" s="1168"/>
      <c r="F656" s="1168"/>
      <c r="G656" s="1160"/>
      <c r="H656" s="1162"/>
      <c r="I656" s="1167"/>
      <c r="J656" s="1167"/>
      <c r="K656" s="1167"/>
      <c r="L656" s="1167"/>
      <c r="M656" s="1167"/>
      <c r="N656" s="1167"/>
      <c r="O656" s="1192"/>
    </row>
    <row r="657" spans="1:19" ht="16.5" x14ac:dyDescent="0.2">
      <c r="A657" s="1197" t="s">
        <v>541</v>
      </c>
      <c r="B657" s="1163"/>
      <c r="C657" s="1163"/>
      <c r="D657" s="1163"/>
      <c r="E657" s="1163"/>
      <c r="F657" s="1163"/>
      <c r="G657" s="1163"/>
      <c r="H657" s="1163"/>
      <c r="I657" s="1176"/>
      <c r="J657" s="1176"/>
      <c r="K657" s="1176"/>
      <c r="L657" s="1176"/>
      <c r="M657" s="1176"/>
      <c r="N657" s="1176"/>
      <c r="O657" s="1176"/>
    </row>
    <row r="658" spans="1:19" ht="16.5" x14ac:dyDescent="0.2">
      <c r="A658" s="1197" t="s">
        <v>541</v>
      </c>
      <c r="B658" s="1159">
        <v>17</v>
      </c>
      <c r="C658" s="1160"/>
      <c r="D658" s="1160"/>
      <c r="E658" s="1168"/>
      <c r="F658" s="1168"/>
      <c r="G658" s="1160"/>
      <c r="H658" s="1162"/>
      <c r="I658" s="1167"/>
      <c r="J658" s="1167"/>
      <c r="K658" s="1167"/>
      <c r="L658" s="1167"/>
      <c r="M658" s="1167"/>
      <c r="N658" s="1167"/>
      <c r="O658" s="1192"/>
    </row>
    <row r="659" spans="1:19" ht="16.5" x14ac:dyDescent="0.2">
      <c r="A659" s="1197" t="s">
        <v>541</v>
      </c>
      <c r="B659" s="1163"/>
      <c r="C659" s="1163"/>
      <c r="D659" s="1163"/>
      <c r="E659" s="1163"/>
      <c r="F659" s="1163"/>
      <c r="G659" s="1163"/>
      <c r="H659" s="1163"/>
      <c r="I659" s="1176"/>
      <c r="J659" s="1176"/>
      <c r="K659" s="1176"/>
      <c r="L659" s="1176"/>
      <c r="M659" s="1176"/>
      <c r="N659" s="1176"/>
      <c r="O659" s="1176"/>
    </row>
    <row r="660" spans="1:19" ht="16.5" x14ac:dyDescent="0.2">
      <c r="A660" s="1197" t="s">
        <v>541</v>
      </c>
      <c r="B660" s="1159">
        <v>18</v>
      </c>
      <c r="C660" s="1160"/>
      <c r="D660" s="1160" t="s">
        <v>305</v>
      </c>
      <c r="E660" s="1168"/>
      <c r="F660" s="1168"/>
      <c r="G660" s="1160"/>
      <c r="H660" s="1162"/>
      <c r="I660" s="1167"/>
      <c r="J660" s="1167"/>
      <c r="K660" s="1167"/>
      <c r="L660" s="1167">
        <v>0</v>
      </c>
      <c r="M660" s="1167">
        <f>ROUND((176.19+(176.19*38.64495%))+3.06,2)</f>
        <v>247.34</v>
      </c>
      <c r="N660" s="1167">
        <f>L660+M660</f>
        <v>247.34</v>
      </c>
      <c r="O660" s="1192"/>
    </row>
    <row r="661" spans="1:19" ht="16.5" x14ac:dyDescent="0.2">
      <c r="A661" s="1197" t="s">
        <v>541</v>
      </c>
      <c r="B661" s="1163"/>
      <c r="C661" s="1163"/>
      <c r="D661" s="1163"/>
      <c r="E661" s="1163"/>
      <c r="F661" s="1163"/>
      <c r="G661" s="1163"/>
      <c r="H661" s="1163"/>
      <c r="I661" s="1176"/>
      <c r="J661" s="1176"/>
      <c r="K661" s="1176"/>
      <c r="L661" s="1176"/>
      <c r="M661" s="1176"/>
      <c r="N661" s="1176"/>
      <c r="O661" s="1176"/>
    </row>
    <row r="662" spans="1:19" ht="16.5" x14ac:dyDescent="0.2">
      <c r="A662" s="1197" t="s">
        <v>541</v>
      </c>
      <c r="B662" s="1194"/>
      <c r="C662" s="1195" t="s">
        <v>607</v>
      </c>
      <c r="D662" s="1195"/>
      <c r="E662" s="1196">
        <f>E654+E660+E656+E658</f>
        <v>3690328</v>
      </c>
      <c r="F662" s="1196">
        <f>F654+F660+F656+F658</f>
        <v>3630445</v>
      </c>
      <c r="G662" s="1196">
        <f>G654+G660+G656+G658</f>
        <v>8259096</v>
      </c>
      <c r="H662" s="1195"/>
      <c r="I662" s="1193">
        <f>I654+I660+I656+I658</f>
        <v>8489.3000000000011</v>
      </c>
      <c r="J662" s="1193"/>
      <c r="K662" s="1193"/>
      <c r="L662" s="1193" t="e">
        <f>L654+L660+L656+L658</f>
        <v>#REF!</v>
      </c>
      <c r="M662" s="1193" t="e">
        <f>M654+M660+M656+M658</f>
        <v>#REF!</v>
      </c>
      <c r="N662" s="1193" t="e">
        <f>L662+M662</f>
        <v>#REF!</v>
      </c>
      <c r="O662" s="1193" t="e">
        <f>ROUND(N662/I662*10,2)</f>
        <v>#REF!</v>
      </c>
      <c r="R662" s="1224" t="e">
        <f>+#REF!</f>
        <v>#REF!</v>
      </c>
      <c r="S662" s="1224" t="e">
        <f>+N662-R662</f>
        <v>#REF!</v>
      </c>
    </row>
    <row r="666" spans="1:19" x14ac:dyDescent="0.15">
      <c r="B666" s="1172" t="s">
        <v>609</v>
      </c>
      <c r="D666" s="1173" t="s">
        <v>608</v>
      </c>
    </row>
    <row r="667" spans="1:19" x14ac:dyDescent="0.15">
      <c r="B667" s="1187" t="s">
        <v>472</v>
      </c>
      <c r="C667" s="1187" t="s">
        <v>474</v>
      </c>
      <c r="D667" s="1188" t="s">
        <v>3</v>
      </c>
      <c r="E667" s="1187" t="s">
        <v>49</v>
      </c>
      <c r="F667" s="1187" t="s">
        <v>469</v>
      </c>
      <c r="G667" s="1187" t="s">
        <v>467</v>
      </c>
      <c r="H667" s="1188" t="s">
        <v>475</v>
      </c>
      <c r="I667" s="1188" t="s">
        <v>475</v>
      </c>
      <c r="J667" s="1187" t="s">
        <v>477</v>
      </c>
      <c r="K667" s="1187" t="s">
        <v>480</v>
      </c>
      <c r="L667" s="1189" t="s">
        <v>610</v>
      </c>
      <c r="M667" s="1189" t="s">
        <v>611</v>
      </c>
      <c r="N667" s="1189" t="s">
        <v>488</v>
      </c>
      <c r="O667" s="1189" t="s">
        <v>489</v>
      </c>
    </row>
    <row r="668" spans="1:19" x14ac:dyDescent="0.15">
      <c r="B668" s="1190" t="s">
        <v>473</v>
      </c>
      <c r="C668" s="1190" t="s">
        <v>31</v>
      </c>
      <c r="D668" s="1191"/>
      <c r="E668" s="1190" t="s">
        <v>33</v>
      </c>
      <c r="F668" s="1190" t="s">
        <v>33</v>
      </c>
      <c r="G668" s="1190" t="s">
        <v>468</v>
      </c>
      <c r="H668" s="1191" t="s">
        <v>487</v>
      </c>
      <c r="I668" s="1191" t="s">
        <v>476</v>
      </c>
      <c r="J668" s="1190" t="s">
        <v>479</v>
      </c>
      <c r="K668" s="1190" t="s">
        <v>478</v>
      </c>
      <c r="L668" s="1190" t="s">
        <v>481</v>
      </c>
      <c r="M668" s="1190" t="s">
        <v>481</v>
      </c>
      <c r="N668" s="1190" t="s">
        <v>481</v>
      </c>
      <c r="O668" s="1190" t="s">
        <v>478</v>
      </c>
    </row>
    <row r="669" spans="1:19" ht="16.5" x14ac:dyDescent="0.2">
      <c r="A669" s="1197" t="s">
        <v>616</v>
      </c>
      <c r="B669" s="1159"/>
      <c r="C669" s="1160" t="s">
        <v>38</v>
      </c>
      <c r="D669" s="1160" t="s">
        <v>482</v>
      </c>
      <c r="E669" s="1168">
        <f>Sales_FY24!$P$252</f>
        <v>12074</v>
      </c>
      <c r="F669" s="1168">
        <f>Sales_FY24!$V$252</f>
        <v>12074</v>
      </c>
      <c r="G669" s="1160">
        <f>ROUND(E669*0.100961,0)</f>
        <v>1219</v>
      </c>
      <c r="H669" s="1167"/>
      <c r="I669" s="1167">
        <f>Sales_FY24!$Q$252</f>
        <v>3.92</v>
      </c>
      <c r="J669" s="1167" t="e">
        <f>+#REF!</f>
        <v>#REF!</v>
      </c>
      <c r="K669" s="1167" t="e">
        <f>+#REF!</f>
        <v>#REF!</v>
      </c>
      <c r="L669" s="1167"/>
      <c r="M669" s="1167" t="e">
        <f>ROUND(I669*1000000*K669/10000000,2)</f>
        <v>#REF!</v>
      </c>
      <c r="N669" s="1175" t="e">
        <f>+L669+M669</f>
        <v>#REF!</v>
      </c>
      <c r="O669" s="1171" t="e">
        <f>ROUND(N669/I669*10,2)</f>
        <v>#REF!</v>
      </c>
    </row>
    <row r="670" spans="1:19" ht="16.5" x14ac:dyDescent="0.2">
      <c r="A670" s="1197" t="s">
        <v>616</v>
      </c>
      <c r="B670" s="1159"/>
      <c r="C670" s="1160" t="s">
        <v>38</v>
      </c>
      <c r="D670" s="1161" t="s">
        <v>483</v>
      </c>
      <c r="E670" s="1168">
        <f>Sales_FY24!$P$253</f>
        <v>380</v>
      </c>
      <c r="F670" s="1168">
        <f>Sales_FY24!$V$253</f>
        <v>380</v>
      </c>
      <c r="G670" s="1160">
        <f>ROUND(E670*0.10524,0)</f>
        <v>40</v>
      </c>
      <c r="H670" s="1162" t="s">
        <v>426</v>
      </c>
      <c r="I670" s="1167">
        <f>ROUND(F670*50*12/1000000,2)</f>
        <v>0.23</v>
      </c>
      <c r="J670" s="1167" t="e">
        <f>+J681</f>
        <v>#REF!</v>
      </c>
      <c r="K670" s="1167" t="e">
        <f>+K681</f>
        <v>#REF!</v>
      </c>
      <c r="L670" s="1167" t="e">
        <f>ROUND((F670*J670*12)/10000000,2)</f>
        <v>#REF!</v>
      </c>
      <c r="M670" s="1167" t="e">
        <f>ROUND(I670*1000000*K670/10000000,2)</f>
        <v>#REF!</v>
      </c>
      <c r="N670" s="1167"/>
      <c r="O670" s="1167"/>
    </row>
    <row r="671" spans="1:19" ht="16.5" x14ac:dyDescent="0.2">
      <c r="A671" s="1197" t="s">
        <v>616</v>
      </c>
      <c r="B671" s="1159"/>
      <c r="C671" s="1160"/>
      <c r="D671" s="1161"/>
      <c r="E671" s="1160"/>
      <c r="F671" s="1160"/>
      <c r="G671" s="1160"/>
      <c r="H671" s="1162" t="s">
        <v>432</v>
      </c>
      <c r="I671" s="1167">
        <f>I672-I670</f>
        <v>0.03</v>
      </c>
      <c r="J671" s="1167"/>
      <c r="K671" s="1167" t="e">
        <f>+K682</f>
        <v>#REF!</v>
      </c>
      <c r="L671" s="1167"/>
      <c r="M671" s="1167" t="e">
        <f>ROUND(I671*1000000*K671/10000000,2)</f>
        <v>#REF!</v>
      </c>
      <c r="N671" s="1167"/>
      <c r="O671" s="1167"/>
    </row>
    <row r="672" spans="1:19" ht="16.5" x14ac:dyDescent="0.2">
      <c r="A672" s="1197" t="s">
        <v>616</v>
      </c>
      <c r="B672" s="1172"/>
      <c r="C672" s="1173"/>
      <c r="D672" s="1174" t="s">
        <v>486</v>
      </c>
      <c r="E672" s="1173">
        <f>SUM(E670:E671)</f>
        <v>380</v>
      </c>
      <c r="F672" s="1173">
        <f>SUM(F670:F671)</f>
        <v>380</v>
      </c>
      <c r="G672" s="1173">
        <f>SUM(G670:G671)</f>
        <v>40</v>
      </c>
      <c r="H672" s="1173"/>
      <c r="I672" s="1175">
        <f>Sales_FY24!$Q$253</f>
        <v>0.26</v>
      </c>
      <c r="J672" s="1175"/>
      <c r="K672" s="1175"/>
      <c r="L672" s="1175" t="e">
        <f>SUM(L670:L671)</f>
        <v>#REF!</v>
      </c>
      <c r="M672" s="1175" t="e">
        <f>SUM(M670:M671)</f>
        <v>#REF!</v>
      </c>
      <c r="N672" s="1175" t="e">
        <f>+L672+M672</f>
        <v>#REF!</v>
      </c>
      <c r="O672" s="1171" t="e">
        <f>ROUND(N672/I672*10,2)</f>
        <v>#REF!</v>
      </c>
    </row>
    <row r="673" spans="1:15" ht="16.5" x14ac:dyDescent="0.2">
      <c r="A673" s="1197" t="s">
        <v>616</v>
      </c>
      <c r="B673" s="1164">
        <v>1</v>
      </c>
      <c r="C673" s="1165" t="s">
        <v>484</v>
      </c>
      <c r="D673" s="1165"/>
      <c r="E673" s="1169">
        <f>+E669+E672</f>
        <v>12454</v>
      </c>
      <c r="F673" s="1169">
        <f>+F669+F672</f>
        <v>12454</v>
      </c>
      <c r="G673" s="1169">
        <f>+G669+G672</f>
        <v>1259</v>
      </c>
      <c r="H673" s="1165"/>
      <c r="I673" s="1170">
        <f>+I669+I672</f>
        <v>4.18</v>
      </c>
      <c r="J673" s="1170"/>
      <c r="K673" s="1170"/>
      <c r="L673" s="1170" t="e">
        <f>+L669+L672</f>
        <v>#REF!</v>
      </c>
      <c r="M673" s="1170" t="e">
        <f>+M669+M672</f>
        <v>#REF!</v>
      </c>
      <c r="N673" s="1170" t="e">
        <f>L673+M673</f>
        <v>#REF!</v>
      </c>
      <c r="O673" s="1170"/>
    </row>
    <row r="674" spans="1:15" ht="16.5" x14ac:dyDescent="0.2">
      <c r="A674" s="1197" t="s">
        <v>616</v>
      </c>
      <c r="B674" s="1163"/>
      <c r="C674" s="1163"/>
      <c r="D674" s="1163"/>
      <c r="E674" s="1163"/>
      <c r="F674" s="1163"/>
      <c r="G674" s="1163"/>
      <c r="H674" s="1163"/>
      <c r="I674" s="1176"/>
      <c r="J674" s="1176"/>
      <c r="K674" s="1176"/>
      <c r="L674" s="1176"/>
      <c r="M674" s="1176"/>
      <c r="N674" s="1176"/>
      <c r="O674" s="1176"/>
    </row>
    <row r="675" spans="1:15" ht="16.5" x14ac:dyDescent="0.2">
      <c r="A675" s="1197" t="s">
        <v>616</v>
      </c>
      <c r="B675" s="1159"/>
      <c r="C675" s="1160" t="s">
        <v>485</v>
      </c>
      <c r="D675" s="1160" t="s">
        <v>43</v>
      </c>
      <c r="E675" s="1160">
        <f>ROUND(E679*89.9801%,0)</f>
        <v>15177</v>
      </c>
      <c r="F675" s="1160">
        <f>ROUND(F679*89.9801%,0)</f>
        <v>14925</v>
      </c>
      <c r="G675" s="1160">
        <f>ROUND(F675*0.79303,0)</f>
        <v>11836</v>
      </c>
      <c r="H675" s="1162" t="s">
        <v>426</v>
      </c>
      <c r="I675" s="1167">
        <f>ROUND(I679*56.56111%,2)</f>
        <v>5.56</v>
      </c>
      <c r="J675" s="1167" t="e">
        <f>+#REF!</f>
        <v>#REF!</v>
      </c>
      <c r="K675" s="1167" t="e">
        <f>+#REF!</f>
        <v>#REF!</v>
      </c>
      <c r="L675" s="1167" t="e">
        <f>ROUND((F675*J675*12)/10000000,2)</f>
        <v>#REF!</v>
      </c>
      <c r="M675" s="1167" t="e">
        <f>ROUND(I675*1000000*K675/10000000,2)</f>
        <v>#REF!</v>
      </c>
      <c r="N675" s="1167"/>
      <c r="O675" s="1171"/>
    </row>
    <row r="676" spans="1:15" ht="16.5" x14ac:dyDescent="0.2">
      <c r="A676" s="1197" t="s">
        <v>616</v>
      </c>
      <c r="B676" s="1159"/>
      <c r="C676" s="1160"/>
      <c r="D676" s="1160" t="s">
        <v>451</v>
      </c>
      <c r="E676" s="1160">
        <f>ROUND(E679*10.01989%,0)</f>
        <v>1690</v>
      </c>
      <c r="F676" s="1160">
        <f>ROUND(F679*10.01989%,0)</f>
        <v>1662</v>
      </c>
      <c r="G676" s="1160">
        <f>ROUND(F676*2.62996,0)</f>
        <v>4371</v>
      </c>
      <c r="H676" s="1162" t="s">
        <v>432</v>
      </c>
      <c r="I676" s="1167">
        <f>ROUND(I679*24.24034%,2)</f>
        <v>2.38</v>
      </c>
      <c r="J676" s="1167" t="e">
        <f>+#REF!</f>
        <v>#REF!</v>
      </c>
      <c r="K676" s="1167" t="e">
        <f>+#REF!</f>
        <v>#REF!</v>
      </c>
      <c r="L676" s="1167" t="e">
        <f>ROUND(((F676*J675*12)+((G676-F676)*J676*12))/10000000,2)</f>
        <v>#REF!</v>
      </c>
      <c r="M676" s="1167" t="e">
        <f>ROUND(I676*1000000*K676/10000000,2)</f>
        <v>#REF!</v>
      </c>
      <c r="N676" s="1167"/>
      <c r="O676" s="1167"/>
    </row>
    <row r="677" spans="1:15" ht="16.5" x14ac:dyDescent="0.2">
      <c r="A677" s="1197" t="s">
        <v>616</v>
      </c>
      <c r="B677" s="1159"/>
      <c r="C677" s="1160"/>
      <c r="D677" s="1160" t="s">
        <v>444</v>
      </c>
      <c r="E677" s="1160">
        <f>+E679-E675-E676</f>
        <v>0</v>
      </c>
      <c r="F677" s="1160">
        <f>+F679-F675-F676</f>
        <v>0</v>
      </c>
      <c r="G677" s="1160">
        <f>ROUND(F677*0,0)</f>
        <v>0</v>
      </c>
      <c r="H677" s="1162" t="s">
        <v>380</v>
      </c>
      <c r="I677" s="1167">
        <f>ROUND(I679*12.83536%,2)</f>
        <v>1.26</v>
      </c>
      <c r="J677" s="1167" t="e">
        <f>+#REF!</f>
        <v>#REF!</v>
      </c>
      <c r="K677" s="1167" t="e">
        <f>+#REF!</f>
        <v>#REF!</v>
      </c>
      <c r="L677" s="1167" t="e">
        <f>ROUND(((F677*J675*12)+(F677*49*12*J676)+((G677-(F677*50))*12*J677))/10000000,2)</f>
        <v>#REF!</v>
      </c>
      <c r="M677" s="1167" t="e">
        <f>ROUND(I677*1000000*K677/10000000,2)</f>
        <v>#REF!</v>
      </c>
      <c r="N677" s="1167"/>
      <c r="O677" s="1167"/>
    </row>
    <row r="678" spans="1:15" ht="16.5" x14ac:dyDescent="0.2">
      <c r="A678" s="1197" t="s">
        <v>616</v>
      </c>
      <c r="B678" s="1159"/>
      <c r="C678" s="1160"/>
      <c r="D678" s="1160"/>
      <c r="E678" s="1160"/>
      <c r="F678" s="1160"/>
      <c r="G678" s="1160"/>
      <c r="H678" s="1162" t="s">
        <v>411</v>
      </c>
      <c r="I678" s="1167">
        <f>+I679-I675-I676-I677</f>
        <v>0.63000000000000056</v>
      </c>
      <c r="J678" s="1167"/>
      <c r="K678" s="1167" t="e">
        <f>+#REF!</f>
        <v>#REF!</v>
      </c>
      <c r="L678" s="1167"/>
      <c r="M678" s="1167" t="e">
        <f>ROUND(I678*1000000*K678/10000000,2)</f>
        <v>#REF!</v>
      </c>
      <c r="N678" s="1167"/>
      <c r="O678" s="1167"/>
    </row>
    <row r="679" spans="1:15" ht="16.5" x14ac:dyDescent="0.2">
      <c r="A679" s="1197" t="s">
        <v>616</v>
      </c>
      <c r="B679" s="1164"/>
      <c r="C679" s="1165"/>
      <c r="D679" s="1166" t="s">
        <v>486</v>
      </c>
      <c r="E679" s="1165">
        <f>ROUND(E686*18.66854%,0)</f>
        <v>16867</v>
      </c>
      <c r="F679" s="1165">
        <f>ROUND(F686*18.66854%,0)</f>
        <v>16587</v>
      </c>
      <c r="G679" s="1165">
        <f>SUM(G675:G678)</f>
        <v>16207</v>
      </c>
      <c r="H679" s="1165"/>
      <c r="I679" s="1170">
        <f>ROUND(I686*30.29878%,2)</f>
        <v>9.83</v>
      </c>
      <c r="J679" s="1170"/>
      <c r="K679" s="1170"/>
      <c r="L679" s="1170" t="e">
        <f>SUM(L675:L678)</f>
        <v>#REF!</v>
      </c>
      <c r="M679" s="1170" t="e">
        <f>SUM(M675:M678)</f>
        <v>#REF!</v>
      </c>
      <c r="N679" s="1170" t="e">
        <f>L679+M679</f>
        <v>#REF!</v>
      </c>
      <c r="O679" s="1177" t="e">
        <f>ROUND(N679/I679*10,2)</f>
        <v>#REF!</v>
      </c>
    </row>
    <row r="680" spans="1:15" ht="16.5" x14ac:dyDescent="0.2">
      <c r="A680" s="1197" t="s">
        <v>616</v>
      </c>
      <c r="B680" s="1163"/>
      <c r="C680" s="1163"/>
      <c r="D680" s="1163"/>
      <c r="E680" s="1163"/>
      <c r="F680" s="1163"/>
      <c r="G680" s="1163"/>
      <c r="H680" s="1163"/>
      <c r="I680" s="1176"/>
      <c r="J680" s="1176"/>
      <c r="K680" s="1176"/>
      <c r="L680" s="1176"/>
      <c r="M680" s="1176"/>
      <c r="N680" s="1176"/>
      <c r="O680" s="1176"/>
    </row>
    <row r="681" spans="1:15" ht="16.5" x14ac:dyDescent="0.2">
      <c r="A681" s="1197" t="s">
        <v>616</v>
      </c>
      <c r="B681" s="1159"/>
      <c r="C681" s="1160" t="s">
        <v>555</v>
      </c>
      <c r="D681" s="1160" t="s">
        <v>43</v>
      </c>
      <c r="E681" s="1160">
        <f>ROUND(E685*97.6198%,0)</f>
        <v>71735</v>
      </c>
      <c r="F681" s="1160">
        <f>ROUND(F685*97.6198%,0)</f>
        <v>70543</v>
      </c>
      <c r="G681" s="1160">
        <f>ROUND(F681*0.653,0)</f>
        <v>46065</v>
      </c>
      <c r="H681" s="1162" t="s">
        <v>426</v>
      </c>
      <c r="I681" s="1167">
        <f>ROUND(I685*74.27602%,2)</f>
        <v>16.8</v>
      </c>
      <c r="J681" s="1167" t="e">
        <f>+#REF!</f>
        <v>#REF!</v>
      </c>
      <c r="K681" s="1167" t="e">
        <f>+#REF!</f>
        <v>#REF!</v>
      </c>
      <c r="L681" s="1167" t="e">
        <f>ROUND((F681*J681*12)/10000000,2)</f>
        <v>#REF!</v>
      </c>
      <c r="M681" s="1167" t="e">
        <f>ROUND(I681*1000000*K681/10000000,2)</f>
        <v>#REF!</v>
      </c>
      <c r="N681" s="1167"/>
      <c r="O681" s="1167"/>
    </row>
    <row r="682" spans="1:15" ht="16.5" x14ac:dyDescent="0.2">
      <c r="A682" s="1197" t="s">
        <v>616</v>
      </c>
      <c r="B682" s="1159"/>
      <c r="C682" s="1160"/>
      <c r="D682" s="1160" t="s">
        <v>451</v>
      </c>
      <c r="E682" s="1160">
        <f>ROUND(E685*2.38019%,0)</f>
        <v>1749</v>
      </c>
      <c r="F682" s="1160">
        <f>ROUND(F685*2.38019%,0)</f>
        <v>1720</v>
      </c>
      <c r="G682" s="1160">
        <f>ROUND(F682*2.45,0)</f>
        <v>4214</v>
      </c>
      <c r="H682" s="1162" t="s">
        <v>432</v>
      </c>
      <c r="I682" s="1167">
        <f>ROUND(I685*16.89968%,2)</f>
        <v>3.82</v>
      </c>
      <c r="J682" s="1167" t="e">
        <f>+#REF!</f>
        <v>#REF!</v>
      </c>
      <c r="K682" s="1167" t="e">
        <f>+#REF!</f>
        <v>#REF!</v>
      </c>
      <c r="L682" s="1167" t="e">
        <f>ROUND(((F682*J681*12)+((G682-F682)*J682*12))/10000000,2)</f>
        <v>#REF!</v>
      </c>
      <c r="M682" s="1167" t="e">
        <f>ROUND(I682*1000000*K682/10000000,2)</f>
        <v>#REF!</v>
      </c>
      <c r="N682" s="1167"/>
      <c r="O682" s="1167"/>
    </row>
    <row r="683" spans="1:15" ht="16.5" x14ac:dyDescent="0.2">
      <c r="A683" s="1197" t="s">
        <v>616</v>
      </c>
      <c r="B683" s="1159"/>
      <c r="C683" s="1160"/>
      <c r="D683" s="1160" t="s">
        <v>444</v>
      </c>
      <c r="E683" s="1160">
        <f>+E685-E681-E682</f>
        <v>0</v>
      </c>
      <c r="F683" s="1160">
        <f>+F685-F681-F682</f>
        <v>0</v>
      </c>
      <c r="G683" s="1160">
        <f>ROUND(F683*0,0)</f>
        <v>0</v>
      </c>
      <c r="H683" s="1162" t="s">
        <v>380</v>
      </c>
      <c r="I683" s="1167">
        <f>ROUND(I685*6.43297%,2)</f>
        <v>1.46</v>
      </c>
      <c r="J683" s="1167" t="e">
        <f>+#REF!</f>
        <v>#REF!</v>
      </c>
      <c r="K683" s="1167" t="e">
        <f>+#REF!</f>
        <v>#REF!</v>
      </c>
      <c r="L683" s="1167" t="e">
        <f>ROUND(((F683*J681*12)+(F683*49*12*J682)+((G683-(F683*50))*12*J683))/10000000,2)</f>
        <v>#REF!</v>
      </c>
      <c r="M683" s="1167" t="e">
        <f>ROUND(I683*1000000*K683/10000000,2)</f>
        <v>#REF!</v>
      </c>
      <c r="N683" s="1167"/>
      <c r="O683" s="1167"/>
    </row>
    <row r="684" spans="1:15" ht="16.5" x14ac:dyDescent="0.2">
      <c r="A684" s="1197" t="s">
        <v>616</v>
      </c>
      <c r="B684" s="1159"/>
      <c r="C684" s="1160"/>
      <c r="D684" s="1160"/>
      <c r="E684" s="1160"/>
      <c r="F684" s="1160"/>
      <c r="G684" s="1160"/>
      <c r="H684" s="1162" t="s">
        <v>411</v>
      </c>
      <c r="I684" s="1167">
        <f>+I685-I681-I682-I683</f>
        <v>0.54000000000000403</v>
      </c>
      <c r="J684" s="1167"/>
      <c r="K684" s="1167" t="e">
        <f>+#REF!</f>
        <v>#REF!</v>
      </c>
      <c r="L684" s="1167"/>
      <c r="M684" s="1167" t="e">
        <f>ROUND(I684*1000000*K684/10000000,2)</f>
        <v>#REF!</v>
      </c>
      <c r="N684" s="1167"/>
      <c r="O684" s="1167"/>
    </row>
    <row r="685" spans="1:15" ht="16.5" x14ac:dyDescent="0.2">
      <c r="A685" s="1197" t="s">
        <v>616</v>
      </c>
      <c r="B685" s="1164"/>
      <c r="C685" s="1165"/>
      <c r="D685" s="1166" t="s">
        <v>486</v>
      </c>
      <c r="E685" s="1169">
        <f>E686-E679</f>
        <v>73484</v>
      </c>
      <c r="F685" s="1169">
        <f>F686-F679</f>
        <v>72263</v>
      </c>
      <c r="G685" s="1165">
        <f>SUM(G681:G684)</f>
        <v>50279</v>
      </c>
      <c r="H685" s="1165"/>
      <c r="I685" s="1170">
        <f>I686-I679</f>
        <v>22.620000000000005</v>
      </c>
      <c r="J685" s="1170"/>
      <c r="K685" s="1170"/>
      <c r="L685" s="1170" t="e">
        <f>SUM(L681:L684)</f>
        <v>#REF!</v>
      </c>
      <c r="M685" s="1170" t="e">
        <f>SUM(M681:M684)</f>
        <v>#REF!</v>
      </c>
      <c r="N685" s="1170" t="e">
        <f>L685+M685</f>
        <v>#REF!</v>
      </c>
      <c r="O685" s="1177" t="e">
        <f>ROUND(N685/I685*10,2)</f>
        <v>#REF!</v>
      </c>
    </row>
    <row r="686" spans="1:15" ht="16.5" x14ac:dyDescent="0.2">
      <c r="A686" s="1197" t="s">
        <v>616</v>
      </c>
      <c r="B686" s="1164">
        <v>2</v>
      </c>
      <c r="C686" s="1165" t="s">
        <v>490</v>
      </c>
      <c r="D686" s="1165"/>
      <c r="E686" s="1169">
        <f>Sales_FY24!$P$254</f>
        <v>90351</v>
      </c>
      <c r="F686" s="1169">
        <f>Sales_FY24!$V$254</f>
        <v>88850</v>
      </c>
      <c r="G686" s="1169">
        <f>G679+G685</f>
        <v>66486</v>
      </c>
      <c r="H686" s="1165"/>
      <c r="I686" s="1170">
        <f>Sales_FY24!$Q$254</f>
        <v>32.450000000000003</v>
      </c>
      <c r="J686" s="1170"/>
      <c r="K686" s="1170"/>
      <c r="L686" s="1170" t="e">
        <f>L679+L685</f>
        <v>#REF!</v>
      </c>
      <c r="M686" s="1170" t="e">
        <f>M679+M685</f>
        <v>#REF!</v>
      </c>
      <c r="N686" s="1170" t="e">
        <f>L686+M686</f>
        <v>#REF!</v>
      </c>
      <c r="O686" s="1177" t="e">
        <f>ROUND(N686/I686*10,2)</f>
        <v>#REF!</v>
      </c>
    </row>
    <row r="687" spans="1:15" ht="16.5" x14ac:dyDescent="0.2">
      <c r="A687" s="1197" t="s">
        <v>616</v>
      </c>
      <c r="B687" s="1163"/>
      <c r="C687" s="1163"/>
      <c r="D687" s="1163"/>
      <c r="E687" s="1163"/>
      <c r="F687" s="1163"/>
      <c r="G687" s="1163"/>
      <c r="H687" s="1163"/>
      <c r="I687" s="1176"/>
      <c r="J687" s="1176"/>
      <c r="K687" s="1176"/>
      <c r="L687" s="1176"/>
      <c r="M687" s="1176"/>
      <c r="N687" s="1176"/>
      <c r="O687" s="1176"/>
    </row>
    <row r="688" spans="1:15" ht="16.5" x14ac:dyDescent="0.2">
      <c r="A688" s="1197" t="s">
        <v>616</v>
      </c>
      <c r="B688" s="1159"/>
      <c r="C688" s="1160" t="s">
        <v>491</v>
      </c>
      <c r="D688" s="1160" t="s">
        <v>492</v>
      </c>
      <c r="E688" s="1160">
        <f>ROUND(E691*62.99888%,0)</f>
        <v>29</v>
      </c>
      <c r="F688" s="1160">
        <f>ROUND(F691*62.99888%,0)</f>
        <v>28</v>
      </c>
      <c r="G688" s="1160">
        <f>ROUND(F688*0.75,0)</f>
        <v>21</v>
      </c>
      <c r="H688" s="1162" t="s">
        <v>493</v>
      </c>
      <c r="I688" s="1167">
        <f>ROUND(I691*35.3486%,2)</f>
        <v>0.05</v>
      </c>
      <c r="J688" s="1167" t="e">
        <f>+#REF!</f>
        <v>#REF!</v>
      </c>
      <c r="K688" s="1167" t="e">
        <f>+#REF!</f>
        <v>#REF!</v>
      </c>
      <c r="L688" s="1167" t="e">
        <f>ROUND(G688*J688*12/10000000,2)</f>
        <v>#REF!</v>
      </c>
      <c r="M688" s="1167" t="e">
        <f>ROUND(I688*1000000*K688/10000000,2)</f>
        <v>#REF!</v>
      </c>
      <c r="N688" s="1167"/>
      <c r="O688" s="1167"/>
    </row>
    <row r="689" spans="1:15" ht="16.5" x14ac:dyDescent="0.2">
      <c r="A689" s="1197" t="s">
        <v>616</v>
      </c>
      <c r="B689" s="1159"/>
      <c r="C689" s="1160"/>
      <c r="D689" s="1160" t="s">
        <v>444</v>
      </c>
      <c r="E689" s="1160">
        <f>E691-E688</f>
        <v>17</v>
      </c>
      <c r="F689" s="1160">
        <f>F691-F688</f>
        <v>17</v>
      </c>
      <c r="G689" s="1160">
        <f>ROUND(F689*10.12,0)</f>
        <v>172</v>
      </c>
      <c r="H689" s="1162" t="s">
        <v>411</v>
      </c>
      <c r="I689" s="1167">
        <f>I691-I688</f>
        <v>9.9999999999999992E-2</v>
      </c>
      <c r="J689" s="1167" t="e">
        <f>+#REF!</f>
        <v>#REF!</v>
      </c>
      <c r="K689" s="1167" t="e">
        <f>+#REF!</f>
        <v>#REF!</v>
      </c>
      <c r="L689" s="1167" t="e">
        <f>ROUND(((F689*J688*50*12)+((G689-(F689*50))*J689*12))/10000000,2)</f>
        <v>#REF!</v>
      </c>
      <c r="M689" s="1167" t="e">
        <f>ROUND(I689*1000000*K689/10000000,2)</f>
        <v>#REF!</v>
      </c>
      <c r="N689" s="1167"/>
      <c r="O689" s="1167"/>
    </row>
    <row r="690" spans="1:15" ht="16.5" x14ac:dyDescent="0.2">
      <c r="A690" s="1197" t="s">
        <v>616</v>
      </c>
      <c r="B690" s="1159"/>
      <c r="C690" s="1160"/>
      <c r="D690" s="1160" t="s">
        <v>556</v>
      </c>
      <c r="E690" s="1160"/>
      <c r="F690" s="1160"/>
      <c r="G690" s="1160"/>
      <c r="H690" s="1162"/>
      <c r="I690" s="1167"/>
      <c r="J690" s="1186" t="e">
        <f>+#REF!</f>
        <v>#REF!</v>
      </c>
      <c r="K690" s="1167"/>
      <c r="L690" s="1167"/>
      <c r="M690" s="1167"/>
      <c r="N690" s="1167"/>
      <c r="O690" s="1167"/>
    </row>
    <row r="691" spans="1:15" ht="16.5" x14ac:dyDescent="0.2">
      <c r="A691" s="1197" t="s">
        <v>616</v>
      </c>
      <c r="B691" s="1164"/>
      <c r="C691" s="1165"/>
      <c r="D691" s="1166" t="s">
        <v>486</v>
      </c>
      <c r="E691" s="1165">
        <f>ROUND(E697*48.38709%,0)</f>
        <v>46</v>
      </c>
      <c r="F691" s="1165">
        <f>ROUND(F697*48.38709%,0)</f>
        <v>45</v>
      </c>
      <c r="G691" s="1165">
        <f>SUM(G688:G689)</f>
        <v>193</v>
      </c>
      <c r="H691" s="1165"/>
      <c r="I691" s="1170">
        <f>ROUND(I697*62.28383%,2)</f>
        <v>0.15</v>
      </c>
      <c r="J691" s="1170"/>
      <c r="K691" s="1170"/>
      <c r="L691" s="1170" t="e">
        <f>SUM(L688:L689)</f>
        <v>#REF!</v>
      </c>
      <c r="M691" s="1170" t="e">
        <f>SUM(M688:M689)</f>
        <v>#REF!</v>
      </c>
      <c r="N691" s="1170" t="e">
        <f>L691+M691</f>
        <v>#REF!</v>
      </c>
      <c r="O691" s="1177" t="e">
        <f>ROUND(N691/I691*10,2)</f>
        <v>#REF!</v>
      </c>
    </row>
    <row r="692" spans="1:15" ht="16.5" x14ac:dyDescent="0.2">
      <c r="A692" s="1197" t="s">
        <v>616</v>
      </c>
      <c r="B692" s="1163"/>
      <c r="C692" s="1163"/>
      <c r="D692" s="1163"/>
      <c r="E692" s="1163"/>
      <c r="F692" s="1163"/>
      <c r="G692" s="1163"/>
      <c r="H692" s="1163"/>
      <c r="I692" s="1176"/>
      <c r="J692" s="1176"/>
      <c r="K692" s="1176"/>
      <c r="L692" s="1176"/>
      <c r="M692" s="1176"/>
      <c r="N692" s="1176"/>
      <c r="O692" s="1176"/>
    </row>
    <row r="693" spans="1:15" ht="16.5" x14ac:dyDescent="0.2">
      <c r="A693" s="1197" t="s">
        <v>616</v>
      </c>
      <c r="B693" s="1159"/>
      <c r="C693" s="1160" t="s">
        <v>554</v>
      </c>
      <c r="D693" s="1160" t="s">
        <v>492</v>
      </c>
      <c r="E693" s="1160">
        <f>ROUND(E696*68.00146%,0)</f>
        <v>33</v>
      </c>
      <c r="F693" s="1160">
        <f>ROUND(F696*68.00146%,0)</f>
        <v>33</v>
      </c>
      <c r="G693" s="1160">
        <f>ROUND(F693*0.68,0)</f>
        <v>22</v>
      </c>
      <c r="H693" s="1162" t="s">
        <v>493</v>
      </c>
      <c r="I693" s="1167">
        <f>ROUND(I696*54.49677%,2)</f>
        <v>0.05</v>
      </c>
      <c r="J693" s="1167" t="e">
        <f>+#REF!</f>
        <v>#REF!</v>
      </c>
      <c r="K693" s="1167" t="e">
        <f>+#REF!</f>
        <v>#REF!</v>
      </c>
      <c r="L693" s="1167" t="e">
        <f>ROUND(G693*J693*12/10000000,2)</f>
        <v>#REF!</v>
      </c>
      <c r="M693" s="1167" t="e">
        <f>ROUND(I693*1000000*K693/10000000,2)</f>
        <v>#REF!</v>
      </c>
      <c r="N693" s="1167"/>
      <c r="O693" s="1167"/>
    </row>
    <row r="694" spans="1:15" ht="16.5" x14ac:dyDescent="0.2">
      <c r="A694" s="1197" t="s">
        <v>616</v>
      </c>
      <c r="B694" s="1159"/>
      <c r="C694" s="1160"/>
      <c r="D694" s="1160" t="s">
        <v>444</v>
      </c>
      <c r="E694" s="1160">
        <f>E696-E693</f>
        <v>16</v>
      </c>
      <c r="F694" s="1160">
        <f>F696-F693</f>
        <v>16</v>
      </c>
      <c r="G694" s="1160">
        <f>ROUND(F694*9.52173,0)</f>
        <v>152</v>
      </c>
      <c r="H694" s="1162" t="s">
        <v>411</v>
      </c>
      <c r="I694" s="1167">
        <f>I696-I693</f>
        <v>3.9999999999999994E-2</v>
      </c>
      <c r="J694" s="1167" t="e">
        <f>+#REF!</f>
        <v>#REF!</v>
      </c>
      <c r="K694" s="1167" t="e">
        <f>+#REF!</f>
        <v>#REF!</v>
      </c>
      <c r="L694" s="1167" t="e">
        <f>ROUND(((F694*J693*50*12)+((G694-(F694*50))*J694*12))/10000000,2)</f>
        <v>#REF!</v>
      </c>
      <c r="M694" s="1167" t="e">
        <f>ROUND(I694*1000000*K694/10000000,2)</f>
        <v>#REF!</v>
      </c>
      <c r="N694" s="1167"/>
      <c r="O694" s="1167"/>
    </row>
    <row r="695" spans="1:15" ht="16.5" x14ac:dyDescent="0.2">
      <c r="A695" s="1197" t="s">
        <v>616</v>
      </c>
      <c r="B695" s="1159"/>
      <c r="C695" s="1160"/>
      <c r="D695" s="1160" t="s">
        <v>556</v>
      </c>
      <c r="E695" s="1160"/>
      <c r="F695" s="1160"/>
      <c r="G695" s="1160"/>
      <c r="H695" s="1162"/>
      <c r="I695" s="1167"/>
      <c r="J695" s="1186" t="e">
        <f>+#REF!</f>
        <v>#REF!</v>
      </c>
      <c r="K695" s="1167"/>
      <c r="L695" s="1167"/>
      <c r="M695" s="1167"/>
      <c r="N695" s="1167"/>
      <c r="O695" s="1167"/>
    </row>
    <row r="696" spans="1:15" ht="16.5" x14ac:dyDescent="0.2">
      <c r="A696" s="1197" t="s">
        <v>616</v>
      </c>
      <c r="B696" s="1164"/>
      <c r="C696" s="1165"/>
      <c r="D696" s="1166" t="s">
        <v>486</v>
      </c>
      <c r="E696" s="1169">
        <f>E697-E691</f>
        <v>49</v>
      </c>
      <c r="F696" s="1169">
        <f>F697-F691</f>
        <v>49</v>
      </c>
      <c r="G696" s="1165">
        <f>SUM(G693:G694)</f>
        <v>174</v>
      </c>
      <c r="H696" s="1165"/>
      <c r="I696" s="1170">
        <f>I697-I691</f>
        <v>0.09</v>
      </c>
      <c r="J696" s="1170"/>
      <c r="K696" s="1170"/>
      <c r="L696" s="1170" t="e">
        <f>SUM(L693:L694)</f>
        <v>#REF!</v>
      </c>
      <c r="M696" s="1170" t="e">
        <f>SUM(M693:M694)</f>
        <v>#REF!</v>
      </c>
      <c r="N696" s="1170" t="e">
        <f>L696+M696</f>
        <v>#REF!</v>
      </c>
      <c r="O696" s="1177" t="e">
        <f>ROUND(N696/I696*10,2)</f>
        <v>#REF!</v>
      </c>
    </row>
    <row r="697" spans="1:15" ht="16.5" x14ac:dyDescent="0.2">
      <c r="A697" s="1197" t="s">
        <v>616</v>
      </c>
      <c r="B697" s="1164">
        <v>3</v>
      </c>
      <c r="C697" s="1165" t="s">
        <v>553</v>
      </c>
      <c r="D697" s="1165"/>
      <c r="E697" s="1169">
        <f>Sales_FY24!$P$255</f>
        <v>95</v>
      </c>
      <c r="F697" s="1169">
        <f>Sales_FY24!$V$255</f>
        <v>94</v>
      </c>
      <c r="G697" s="1169">
        <f>G688+G696</f>
        <v>195</v>
      </c>
      <c r="H697" s="1165"/>
      <c r="I697" s="1170">
        <f>Sales_FY24!$Q$255</f>
        <v>0.24</v>
      </c>
      <c r="J697" s="1170"/>
      <c r="K697" s="1170"/>
      <c r="L697" s="1170" t="e">
        <f>L691+L696</f>
        <v>#REF!</v>
      </c>
      <c r="M697" s="1170" t="e">
        <f>M691+M696</f>
        <v>#REF!</v>
      </c>
      <c r="N697" s="1170" t="e">
        <f>L697+M697</f>
        <v>#REF!</v>
      </c>
      <c r="O697" s="1177" t="e">
        <f>ROUND(N697/I697*10,2)</f>
        <v>#REF!</v>
      </c>
    </row>
    <row r="698" spans="1:15" ht="16.5" x14ac:dyDescent="0.2">
      <c r="A698" s="1197" t="s">
        <v>616</v>
      </c>
      <c r="B698" s="1163"/>
      <c r="C698" s="1163"/>
      <c r="D698" s="1163"/>
      <c r="E698" s="1163"/>
      <c r="F698" s="1163"/>
      <c r="G698" s="1163"/>
      <c r="H698" s="1163"/>
      <c r="I698" s="1176"/>
      <c r="J698" s="1176"/>
      <c r="K698" s="1176"/>
      <c r="L698" s="1176"/>
      <c r="M698" s="1176"/>
      <c r="N698" s="1176"/>
      <c r="O698" s="1176"/>
    </row>
    <row r="699" spans="1:15" ht="16.5" x14ac:dyDescent="0.2">
      <c r="A699" s="1197" t="s">
        <v>616</v>
      </c>
      <c r="B699" s="1159"/>
      <c r="C699" s="1160" t="s">
        <v>69</v>
      </c>
      <c r="D699" s="1160" t="s">
        <v>492</v>
      </c>
      <c r="E699" s="1160">
        <f>ROUND(E701*100%,0)</f>
        <v>3190</v>
      </c>
      <c r="F699" s="1160">
        <f>ROUND(F701*100%,0)</f>
        <v>3152</v>
      </c>
      <c r="G699" s="1160">
        <f>ROUND(F699*1.24365,0)</f>
        <v>3920</v>
      </c>
      <c r="H699" s="1162" t="s">
        <v>426</v>
      </c>
      <c r="I699" s="1167">
        <f>ROUND(I701*22.90548%,2)</f>
        <v>0.88</v>
      </c>
      <c r="J699" s="1167" t="e">
        <f>+#REF!</f>
        <v>#REF!</v>
      </c>
      <c r="K699" s="1167" t="e">
        <f>+#REF!</f>
        <v>#REF!</v>
      </c>
      <c r="L699" s="1167" t="e">
        <f>ROUND(G699*J699*12/10000000,2)</f>
        <v>#REF!</v>
      </c>
      <c r="M699" s="1167" t="e">
        <f>ROUND(I699*1000000*K699/10000000,2)</f>
        <v>#REF!</v>
      </c>
      <c r="N699" s="1167"/>
      <c r="O699" s="1167"/>
    </row>
    <row r="700" spans="1:15" ht="16.5" x14ac:dyDescent="0.2">
      <c r="A700" s="1197" t="s">
        <v>616</v>
      </c>
      <c r="B700" s="1159"/>
      <c r="C700" s="1160"/>
      <c r="D700" s="1160" t="s">
        <v>444</v>
      </c>
      <c r="E700" s="1160">
        <f>E701-E699</f>
        <v>0</v>
      </c>
      <c r="F700" s="1160">
        <f>F701-F699</f>
        <v>0</v>
      </c>
      <c r="G700" s="1160">
        <f>ROUND(F700*0,0)</f>
        <v>0</v>
      </c>
      <c r="H700" s="1162" t="s">
        <v>558</v>
      </c>
      <c r="I700" s="1167">
        <f>I701-I699</f>
        <v>2.98</v>
      </c>
      <c r="J700" s="1167" t="e">
        <f>+#REF!</f>
        <v>#REF!</v>
      </c>
      <c r="K700" s="1167" t="e">
        <f>+#REF!</f>
        <v>#REF!</v>
      </c>
      <c r="L700" s="1167" t="e">
        <f>ROUND(((F700*J699*50*12)+((G700-(F700*50))*J700*12))/10000000,2)</f>
        <v>#REF!</v>
      </c>
      <c r="M700" s="1167" t="e">
        <f>ROUND(I700*1000000*K700/10000000,2)</f>
        <v>#REF!</v>
      </c>
      <c r="N700" s="1167"/>
      <c r="O700" s="1167"/>
    </row>
    <row r="701" spans="1:15" ht="16.5" x14ac:dyDescent="0.2">
      <c r="A701" s="1197" t="s">
        <v>616</v>
      </c>
      <c r="B701" s="1164"/>
      <c r="C701" s="1165"/>
      <c r="D701" s="1166" t="s">
        <v>486</v>
      </c>
      <c r="E701" s="1165">
        <f>ROUND(E706*47.22804%,0)</f>
        <v>3190</v>
      </c>
      <c r="F701" s="1165">
        <f>ROUND(F706*47.22804%,0)</f>
        <v>3152</v>
      </c>
      <c r="G701" s="1165">
        <f>SUM(G699:G700)</f>
        <v>3920</v>
      </c>
      <c r="H701" s="1165"/>
      <c r="I701" s="1170">
        <f>ROUND(I706*36.17172%,2)</f>
        <v>3.86</v>
      </c>
      <c r="J701" s="1170"/>
      <c r="K701" s="1170"/>
      <c r="L701" s="1170" t="e">
        <f>SUM(L699:L700)</f>
        <v>#REF!</v>
      </c>
      <c r="M701" s="1170" t="e">
        <f>SUM(M699:M700)</f>
        <v>#REF!</v>
      </c>
      <c r="N701" s="1170" t="e">
        <f>L701+M701</f>
        <v>#REF!</v>
      </c>
      <c r="O701" s="1177" t="e">
        <f>ROUND(N701/I701*10,2)</f>
        <v>#REF!</v>
      </c>
    </row>
    <row r="702" spans="1:15" ht="16.5" x14ac:dyDescent="0.2">
      <c r="A702" s="1197" t="s">
        <v>616</v>
      </c>
      <c r="B702" s="1163"/>
      <c r="C702" s="1163"/>
      <c r="D702" s="1163"/>
      <c r="E702" s="1163"/>
      <c r="F702" s="1163"/>
      <c r="G702" s="1163"/>
      <c r="H702" s="1163"/>
      <c r="I702" s="1176"/>
      <c r="J702" s="1176"/>
      <c r="K702" s="1176"/>
      <c r="L702" s="1176"/>
      <c r="M702" s="1176"/>
      <c r="N702" s="1176"/>
      <c r="O702" s="1176"/>
    </row>
    <row r="703" spans="1:15" ht="16.5" x14ac:dyDescent="0.2">
      <c r="A703" s="1197" t="s">
        <v>616</v>
      </c>
      <c r="B703" s="1159"/>
      <c r="C703" s="1160" t="s">
        <v>76</v>
      </c>
      <c r="D703" s="1160" t="s">
        <v>492</v>
      </c>
      <c r="E703" s="1160">
        <f>ROUND(E705*100%,0)</f>
        <v>3565</v>
      </c>
      <c r="F703" s="1160">
        <f>ROUND(F705*100%,0)</f>
        <v>3521</v>
      </c>
      <c r="G703" s="1160">
        <f>ROUND(F703*1.47473,0)</f>
        <v>5193</v>
      </c>
      <c r="H703" s="1162" t="s">
        <v>426</v>
      </c>
      <c r="I703" s="1167">
        <f>ROUND(I705*13.86388%,2)</f>
        <v>0.94</v>
      </c>
      <c r="J703" s="1167" t="e">
        <f>+#REF!</f>
        <v>#REF!</v>
      </c>
      <c r="K703" s="1167" t="e">
        <f>+#REF!</f>
        <v>#REF!</v>
      </c>
      <c r="L703" s="1167" t="e">
        <f>ROUND(G703*J703*12/10000000,2)</f>
        <v>#REF!</v>
      </c>
      <c r="M703" s="1167" t="e">
        <f>ROUND(I703*1000000*K703/10000000,2)</f>
        <v>#REF!</v>
      </c>
      <c r="N703" s="1167"/>
      <c r="O703" s="1167"/>
    </row>
    <row r="704" spans="1:15" ht="16.5" x14ac:dyDescent="0.2">
      <c r="A704" s="1197" t="s">
        <v>616</v>
      </c>
      <c r="B704" s="1159"/>
      <c r="C704" s="1160"/>
      <c r="D704" s="1160" t="s">
        <v>444</v>
      </c>
      <c r="E704" s="1160">
        <f>E705-E703</f>
        <v>0</v>
      </c>
      <c r="F704" s="1160">
        <f>F705-F703</f>
        <v>0</v>
      </c>
      <c r="G704" s="1160">
        <f>ROUND(F704*0,0)</f>
        <v>0</v>
      </c>
      <c r="H704" s="1162" t="s">
        <v>558</v>
      </c>
      <c r="I704" s="1167">
        <f>I705-I703</f>
        <v>5.870000000000001</v>
      </c>
      <c r="J704" s="1167" t="e">
        <f>+#REF!</f>
        <v>#REF!</v>
      </c>
      <c r="K704" s="1167" t="e">
        <f>+#REF!</f>
        <v>#REF!</v>
      </c>
      <c r="L704" s="1167" t="e">
        <f>ROUND(((F704*J703*50*12)+((G704-(F704*50))*J704*12))/10000000,2)</f>
        <v>#REF!</v>
      </c>
      <c r="M704" s="1167" t="e">
        <f>ROUND(I704*1000000*K704/10000000,2)</f>
        <v>#REF!</v>
      </c>
      <c r="N704" s="1167"/>
      <c r="O704" s="1167"/>
    </row>
    <row r="705" spans="1:15" ht="16.5" x14ac:dyDescent="0.2">
      <c r="A705" s="1197" t="s">
        <v>616</v>
      </c>
      <c r="B705" s="1164"/>
      <c r="C705" s="1165"/>
      <c r="D705" s="1166" t="s">
        <v>486</v>
      </c>
      <c r="E705" s="1169">
        <f>E706-E701</f>
        <v>3565</v>
      </c>
      <c r="F705" s="1169">
        <f>F706-F701</f>
        <v>3521</v>
      </c>
      <c r="G705" s="1165">
        <f>SUM(G703:G704)</f>
        <v>5193</v>
      </c>
      <c r="H705" s="1165"/>
      <c r="I705" s="1170">
        <f>I706-I701</f>
        <v>6.8100000000000005</v>
      </c>
      <c r="J705" s="1170"/>
      <c r="K705" s="1170"/>
      <c r="L705" s="1170" t="e">
        <f>SUM(L703:L704)</f>
        <v>#REF!</v>
      </c>
      <c r="M705" s="1170" t="e">
        <f>SUM(M703:M704)</f>
        <v>#REF!</v>
      </c>
      <c r="N705" s="1170" t="e">
        <f>L705+M705</f>
        <v>#REF!</v>
      </c>
      <c r="O705" s="1177" t="e">
        <f>ROUND(N705/I705*10,2)</f>
        <v>#REF!</v>
      </c>
    </row>
    <row r="706" spans="1:15" ht="16.5" x14ac:dyDescent="0.2">
      <c r="A706" s="1197" t="s">
        <v>616</v>
      </c>
      <c r="B706" s="1164">
        <v>4</v>
      </c>
      <c r="C706" s="1165" t="s">
        <v>557</v>
      </c>
      <c r="D706" s="1165"/>
      <c r="E706" s="1169">
        <f>Sales_FY24!$P$256</f>
        <v>6755</v>
      </c>
      <c r="F706" s="1169">
        <f>Sales_FY24!$V$256</f>
        <v>6673</v>
      </c>
      <c r="G706" s="1169">
        <f>G701+G705</f>
        <v>9113</v>
      </c>
      <c r="H706" s="1165"/>
      <c r="I706" s="1170">
        <f>Sales_FY24!$Q$256</f>
        <v>10.67</v>
      </c>
      <c r="J706" s="1170"/>
      <c r="K706" s="1170"/>
      <c r="L706" s="1170" t="e">
        <f>L701+L705</f>
        <v>#REF!</v>
      </c>
      <c r="M706" s="1170" t="e">
        <f>M701+M705</f>
        <v>#REF!</v>
      </c>
      <c r="N706" s="1170" t="e">
        <f>L706+M706</f>
        <v>#REF!</v>
      </c>
      <c r="O706" s="1177" t="e">
        <f>ROUND(N706/I706*10,2)</f>
        <v>#REF!</v>
      </c>
    </row>
    <row r="707" spans="1:15" ht="16.5" x14ac:dyDescent="0.2">
      <c r="A707" s="1197" t="s">
        <v>616</v>
      </c>
      <c r="B707" s="1163"/>
      <c r="C707" s="1163"/>
      <c r="D707" s="1163"/>
      <c r="E707" s="1163"/>
      <c r="F707" s="1163"/>
      <c r="G707" s="1163"/>
      <c r="H707" s="1163"/>
      <c r="I707" s="1176"/>
      <c r="J707" s="1176"/>
      <c r="K707" s="1176"/>
      <c r="L707" s="1176"/>
      <c r="M707" s="1176"/>
      <c r="N707" s="1176"/>
      <c r="O707" s="1176"/>
    </row>
    <row r="708" spans="1:15" ht="16.5" x14ac:dyDescent="0.2">
      <c r="A708" s="1197" t="s">
        <v>616</v>
      </c>
      <c r="B708" s="1159"/>
      <c r="C708" s="1160" t="s">
        <v>559</v>
      </c>
      <c r="D708" s="1160" t="s">
        <v>560</v>
      </c>
      <c r="E708" s="1160">
        <f>Sales_FY24!$P$257</f>
        <v>34176</v>
      </c>
      <c r="F708" s="1160">
        <f>Sales_FY24!$V$257</f>
        <v>33501</v>
      </c>
      <c r="G708" s="1160">
        <f>ROUND(F708*5.52,0)</f>
        <v>184926</v>
      </c>
      <c r="H708" s="1162" t="s">
        <v>561</v>
      </c>
      <c r="I708" s="1167">
        <f>Sales_FY24!$Q$257</f>
        <v>192.38</v>
      </c>
      <c r="J708" s="1167"/>
      <c r="K708" s="1167" t="e">
        <f>+#REF!</f>
        <v>#REF!</v>
      </c>
      <c r="L708" s="1167">
        <f>ROUND(G708*J708*12/10000000,2)</f>
        <v>0</v>
      </c>
      <c r="M708" s="1167" t="e">
        <f>ROUND(I708*1000000*K708/10000000,2)</f>
        <v>#REF!</v>
      </c>
      <c r="N708" s="1167" t="e">
        <f>L708+M708</f>
        <v>#REF!</v>
      </c>
      <c r="O708" s="1192" t="e">
        <f>ROUND(N708/I708*10,2)</f>
        <v>#REF!</v>
      </c>
    </row>
    <row r="709" spans="1:15" ht="16.5" x14ac:dyDescent="0.2">
      <c r="A709" s="1197" t="s">
        <v>616</v>
      </c>
      <c r="B709" s="1159"/>
      <c r="C709" s="1160" t="s">
        <v>562</v>
      </c>
      <c r="D709" s="1160" t="s">
        <v>563</v>
      </c>
      <c r="E709" s="1168">
        <f>Sales_FY24!$P$258</f>
        <v>11</v>
      </c>
      <c r="F709" s="1160">
        <f>Sales_FY24!$V$258</f>
        <v>11</v>
      </c>
      <c r="G709" s="1160">
        <f>ROUND(F709*21.63636,0)</f>
        <v>238</v>
      </c>
      <c r="H709" s="1162" t="s">
        <v>561</v>
      </c>
      <c r="I709" s="1167">
        <f>Sales_FY24!$Q$258</f>
        <v>0.08</v>
      </c>
      <c r="J709" s="1167" t="e">
        <f>+#REF!</f>
        <v>#REF!</v>
      </c>
      <c r="K709" s="1167" t="e">
        <f>+#REF!</f>
        <v>#REF!</v>
      </c>
      <c r="L709" s="1167" t="e">
        <f>ROUND(G709*J709*12/10000000,2)</f>
        <v>#REF!</v>
      </c>
      <c r="M709" s="1167" t="e">
        <f>ROUND(I709*1000000*K709/10000000,2)</f>
        <v>#REF!</v>
      </c>
      <c r="N709" s="1167" t="e">
        <f>L709+M709</f>
        <v>#REF!</v>
      </c>
      <c r="O709" s="1192" t="e">
        <f>ROUND(N709/I709*10,2)</f>
        <v>#REF!</v>
      </c>
    </row>
    <row r="710" spans="1:15" ht="16.5" x14ac:dyDescent="0.2">
      <c r="A710" s="1197" t="s">
        <v>616</v>
      </c>
      <c r="B710" s="1159"/>
      <c r="C710" s="1160" t="s">
        <v>564</v>
      </c>
      <c r="D710" s="1160" t="s">
        <v>565</v>
      </c>
      <c r="E710" s="1168">
        <f>Sales_FY24!$P$259</f>
        <v>4</v>
      </c>
      <c r="F710" s="1160">
        <f>Sales_FY24!$V$259</f>
        <v>4</v>
      </c>
      <c r="G710" s="1160">
        <f>ROUND(F710*4,0)</f>
        <v>16</v>
      </c>
      <c r="H710" s="1162" t="s">
        <v>561</v>
      </c>
      <c r="I710" s="1167">
        <f>Sales_FY24!$Q$259+0.001</f>
        <v>1E-3</v>
      </c>
      <c r="J710" s="1167" t="e">
        <f>+#REF!</f>
        <v>#REF!</v>
      </c>
      <c r="K710" s="1167" t="e">
        <f>+#REF!</f>
        <v>#REF!</v>
      </c>
      <c r="L710" s="1167" t="e">
        <f>ROUND(G710*J710*12/10000000,2)</f>
        <v>#REF!</v>
      </c>
      <c r="M710" s="1167" t="e">
        <f>ROUND(I710*1000000*K710/10000000,2)</f>
        <v>#REF!</v>
      </c>
      <c r="N710" s="1167" t="e">
        <f>L710+M710</f>
        <v>#REF!</v>
      </c>
      <c r="O710" s="1192" t="e">
        <f>ROUND(N710/I710*10,2)</f>
        <v>#REF!</v>
      </c>
    </row>
    <row r="711" spans="1:15" ht="16.5" x14ac:dyDescent="0.2">
      <c r="A711" s="1197" t="s">
        <v>616</v>
      </c>
      <c r="B711" s="1164">
        <v>5</v>
      </c>
      <c r="C711" s="1165" t="s">
        <v>566</v>
      </c>
      <c r="D711" s="1165"/>
      <c r="E711" s="1169">
        <f>SUM(E708:E710)</f>
        <v>34191</v>
      </c>
      <c r="F711" s="1169">
        <f>SUM(F708:F710)</f>
        <v>33516</v>
      </c>
      <c r="G711" s="1169">
        <f>SUM(G708:G710)</f>
        <v>185180</v>
      </c>
      <c r="H711" s="1165"/>
      <c r="I711" s="1170">
        <f>SUM(I708:I710)</f>
        <v>192.46100000000001</v>
      </c>
      <c r="J711" s="1170"/>
      <c r="K711" s="1170"/>
      <c r="L711" s="1170" t="e">
        <f>SUM(L708:L710)</f>
        <v>#REF!</v>
      </c>
      <c r="M711" s="1170" t="e">
        <f>SUM(M708:M710)</f>
        <v>#REF!</v>
      </c>
      <c r="N711" s="1170" t="e">
        <f>SUM(N708:N710)</f>
        <v>#REF!</v>
      </c>
      <c r="O711" s="1177" t="e">
        <f>ROUND(N711/I711*10,2)</f>
        <v>#REF!</v>
      </c>
    </row>
    <row r="712" spans="1:15" ht="16.5" x14ac:dyDescent="0.2">
      <c r="A712" s="1197" t="s">
        <v>616</v>
      </c>
      <c r="B712" s="1163"/>
      <c r="C712" s="1163"/>
      <c r="D712" s="1163"/>
      <c r="E712" s="1163"/>
      <c r="F712" s="1163"/>
      <c r="G712" s="1163"/>
      <c r="H712" s="1163"/>
      <c r="I712" s="1176"/>
      <c r="J712" s="1176"/>
      <c r="K712" s="1176"/>
      <c r="L712" s="1176"/>
      <c r="M712" s="1176"/>
      <c r="N712" s="1176"/>
      <c r="O712" s="1176"/>
    </row>
    <row r="713" spans="1:15" ht="16.5" x14ac:dyDescent="0.2">
      <c r="A713" s="1197" t="s">
        <v>616</v>
      </c>
      <c r="B713" s="1159"/>
      <c r="C713" s="1160" t="s">
        <v>9</v>
      </c>
      <c r="D713" s="1160" t="s">
        <v>568</v>
      </c>
      <c r="E713" s="1160">
        <f>ROUND(E718*65.00093%,0)</f>
        <v>0</v>
      </c>
      <c r="F713" s="1160">
        <f>ROUND(F718*65.00093%,0)</f>
        <v>0</v>
      </c>
      <c r="G713" s="1160">
        <f>ROUND(F713*4.400008,0)</f>
        <v>0</v>
      </c>
      <c r="H713" s="1162" t="s">
        <v>573</v>
      </c>
      <c r="I713" s="1167">
        <f>ROUND(I718*68%,2)</f>
        <v>0</v>
      </c>
      <c r="J713" s="1167" t="e">
        <f>+#REF!</f>
        <v>#REF!</v>
      </c>
      <c r="K713" s="1167" t="e">
        <f>+#REF!</f>
        <v>#REF!</v>
      </c>
      <c r="L713" s="1167" t="e">
        <f>ROUND(G713*J713*12/10000000,2)</f>
        <v>#REF!</v>
      </c>
      <c r="M713" s="1167" t="e">
        <f>ROUND(I713*1000000*K713/10000000,2)</f>
        <v>#REF!</v>
      </c>
      <c r="N713" s="1167"/>
      <c r="O713" s="1167"/>
    </row>
    <row r="714" spans="1:15" ht="16.5" x14ac:dyDescent="0.2">
      <c r="A714" s="1197" t="s">
        <v>616</v>
      </c>
      <c r="B714" s="1159"/>
      <c r="C714" s="1160"/>
      <c r="D714" s="1160" t="s">
        <v>569</v>
      </c>
      <c r="E714" s="1160">
        <f>ROUND(E718*24.99933%,0)</f>
        <v>0</v>
      </c>
      <c r="F714" s="1160">
        <f>ROUND(F718*24.99933%,0)</f>
        <v>0</v>
      </c>
      <c r="G714" s="1160">
        <f>ROUND(F714*16.1685,0)</f>
        <v>0</v>
      </c>
      <c r="H714" s="1162" t="s">
        <v>574</v>
      </c>
      <c r="I714" s="1167">
        <f>ROUND(I718*17.99602%,2)</f>
        <v>0</v>
      </c>
      <c r="J714" s="1167" t="e">
        <f>+#REF!</f>
        <v>#REF!</v>
      </c>
      <c r="K714" s="1167" t="e">
        <f>+#REF!</f>
        <v>#REF!</v>
      </c>
      <c r="L714" s="1167" t="e">
        <f>ROUND(G714*J714*12/10000000,2)</f>
        <v>#REF!</v>
      </c>
      <c r="M714" s="1167" t="e">
        <f>ROUND(I714*1000000*K714/10000000,2)</f>
        <v>#REF!</v>
      </c>
      <c r="N714" s="1167"/>
      <c r="O714" s="1167"/>
    </row>
    <row r="715" spans="1:15" ht="16.5" x14ac:dyDescent="0.2">
      <c r="A715" s="1197" t="s">
        <v>616</v>
      </c>
      <c r="B715" s="1159"/>
      <c r="C715" s="1160"/>
      <c r="D715" s="1160" t="s">
        <v>570</v>
      </c>
      <c r="E715" s="1160">
        <f>ROUND(E718*7.00034%,0)</f>
        <v>0</v>
      </c>
      <c r="F715" s="1160">
        <f>ROUND(F718*7.00034%,0)</f>
        <v>0</v>
      </c>
      <c r="G715" s="1160">
        <f>ROUND(F715*57.9977,0)</f>
        <v>0</v>
      </c>
      <c r="H715" s="1162" t="s">
        <v>575</v>
      </c>
      <c r="I715" s="1167">
        <f>I718-I713-I714</f>
        <v>0</v>
      </c>
      <c r="J715" s="1167" t="e">
        <f>+#REF!</f>
        <v>#REF!</v>
      </c>
      <c r="K715" s="1167" t="e">
        <f>+#REF!</f>
        <v>#REF!</v>
      </c>
      <c r="L715" s="1167" t="e">
        <f>ROUND(G715*J715*12/10000000,2)</f>
        <v>#REF!</v>
      </c>
      <c r="M715" s="1167" t="e">
        <f>ROUND(I715*1000000*K715/10000000,2)</f>
        <v>#REF!</v>
      </c>
      <c r="N715" s="1167"/>
      <c r="O715" s="1167"/>
    </row>
    <row r="716" spans="1:15" ht="16.5" x14ac:dyDescent="0.2">
      <c r="A716" s="1197" t="s">
        <v>616</v>
      </c>
      <c r="B716" s="1159"/>
      <c r="C716" s="1160"/>
      <c r="D716" s="1160" t="s">
        <v>571</v>
      </c>
      <c r="E716" s="1160">
        <f>ROUND(E718*2.99938%,0)</f>
        <v>0</v>
      </c>
      <c r="F716" s="1160">
        <f>ROUND(F718*2.99938%,0)</f>
        <v>0</v>
      </c>
      <c r="G716" s="1160">
        <f>ROUND(F716*71.01517,0)</f>
        <v>0</v>
      </c>
      <c r="H716" s="1162"/>
      <c r="I716" s="1167"/>
      <c r="J716" s="1167" t="e">
        <f>+#REF!</f>
        <v>#REF!</v>
      </c>
      <c r="K716" s="1167"/>
      <c r="L716" s="1167" t="e">
        <f>ROUND(G716*J716*12/10000000,2)</f>
        <v>#REF!</v>
      </c>
      <c r="M716" s="1167"/>
      <c r="N716" s="1167"/>
      <c r="O716" s="1167"/>
    </row>
    <row r="717" spans="1:15" ht="16.5" x14ac:dyDescent="0.2">
      <c r="A717" s="1197" t="s">
        <v>616</v>
      </c>
      <c r="B717" s="1159"/>
      <c r="C717" s="1160"/>
      <c r="D717" s="1160" t="s">
        <v>572</v>
      </c>
      <c r="E717" s="1160">
        <f>E718-E713-E714-E715-E716</f>
        <v>0</v>
      </c>
      <c r="F717" s="1160">
        <f>F718-F713-F714-F715-F716</f>
        <v>0</v>
      </c>
      <c r="G717" s="1160">
        <f>ROUND(F717*112,0)</f>
        <v>0</v>
      </c>
      <c r="H717" s="1162"/>
      <c r="I717" s="1167"/>
      <c r="J717" s="1167" t="e">
        <f>+#REF!</f>
        <v>#REF!</v>
      </c>
      <c r="K717" s="1167"/>
      <c r="L717" s="1167" t="e">
        <f>ROUND(G717*J717*12/10000000,2)</f>
        <v>#REF!</v>
      </c>
      <c r="M717" s="1167"/>
      <c r="N717" s="1167"/>
      <c r="O717" s="1167"/>
    </row>
    <row r="718" spans="1:15" ht="16.5" x14ac:dyDescent="0.2">
      <c r="A718" s="1197" t="s">
        <v>616</v>
      </c>
      <c r="B718" s="1164"/>
      <c r="C718" s="1165"/>
      <c r="D718" s="1166" t="s">
        <v>486</v>
      </c>
      <c r="E718" s="1165">
        <f>ROUND(E726*0%,0)</f>
        <v>0</v>
      </c>
      <c r="F718" s="1165">
        <f>ROUND(F726*0%,0)</f>
        <v>0</v>
      </c>
      <c r="G718" s="1165">
        <f>SUM(G713:G717)</f>
        <v>0</v>
      </c>
      <c r="H718" s="1165"/>
      <c r="I718" s="1170">
        <f>ROUND(I726*0%,2)</f>
        <v>0</v>
      </c>
      <c r="J718" s="1170"/>
      <c r="K718" s="1170"/>
      <c r="L718" s="1170" t="e">
        <f>SUM(L713:L717)</f>
        <v>#REF!</v>
      </c>
      <c r="M718" s="1170" t="e">
        <f>SUM(M713:M717)</f>
        <v>#REF!</v>
      </c>
      <c r="N718" s="1170" t="e">
        <f>L718+M718</f>
        <v>#REF!</v>
      </c>
      <c r="O718" s="1177"/>
    </row>
    <row r="719" spans="1:15" ht="16.5" x14ac:dyDescent="0.2">
      <c r="A719" s="1197" t="s">
        <v>616</v>
      </c>
      <c r="B719" s="1163"/>
      <c r="C719" s="1163"/>
      <c r="D719" s="1163"/>
      <c r="E719" s="1163"/>
      <c r="F719" s="1163"/>
      <c r="G719" s="1163"/>
      <c r="H719" s="1163"/>
      <c r="I719" s="1176"/>
      <c r="J719" s="1176"/>
      <c r="K719" s="1176"/>
      <c r="L719" s="1176"/>
      <c r="M719" s="1176"/>
      <c r="N719" s="1176"/>
      <c r="O719" s="1176"/>
    </row>
    <row r="720" spans="1:15" ht="16.5" x14ac:dyDescent="0.2">
      <c r="A720" s="1197" t="s">
        <v>616</v>
      </c>
      <c r="B720" s="1159"/>
      <c r="C720" s="1160" t="s">
        <v>11</v>
      </c>
      <c r="D720" s="1160" t="s">
        <v>568</v>
      </c>
      <c r="E720" s="1160">
        <f>ROUND(E725*53.14029%,0)+1</f>
        <v>1315</v>
      </c>
      <c r="F720" s="1160">
        <f>ROUND(F725*53.14029%,0)</f>
        <v>1303</v>
      </c>
      <c r="G720" s="1160">
        <f>ROUND(F720*2.8043,0)</f>
        <v>3654</v>
      </c>
      <c r="H720" s="1162" t="s">
        <v>573</v>
      </c>
      <c r="I720" s="1167">
        <f>ROUND(I725*54.74096%,2)</f>
        <v>3.6</v>
      </c>
      <c r="J720" s="1167" t="e">
        <f>+#REF!</f>
        <v>#REF!</v>
      </c>
      <c r="K720" s="1167" t="e">
        <f>+#REF!</f>
        <v>#REF!</v>
      </c>
      <c r="L720" s="1167" t="e">
        <f>ROUND(G720*J720*12/10000000,2)</f>
        <v>#REF!</v>
      </c>
      <c r="M720" s="1167" t="e">
        <f>ROUND(I720*1000000*K720/10000000,2)</f>
        <v>#REF!</v>
      </c>
      <c r="N720" s="1167"/>
      <c r="O720" s="1167"/>
    </row>
    <row r="721" spans="1:15" ht="16.5" x14ac:dyDescent="0.2">
      <c r="A721" s="1197" t="s">
        <v>616</v>
      </c>
      <c r="B721" s="1159"/>
      <c r="C721" s="1160"/>
      <c r="D721" s="1160" t="s">
        <v>569</v>
      </c>
      <c r="E721" s="1160">
        <f>ROUND(E725*44.9429%,0)</f>
        <v>1111</v>
      </c>
      <c r="F721" s="1160">
        <f>ROUND(F725*44.9429%,0)</f>
        <v>1102</v>
      </c>
      <c r="G721" s="1160">
        <f>ROUND(F721*10.23593,0)</f>
        <v>11280</v>
      </c>
      <c r="H721" s="1162" t="s">
        <v>574</v>
      </c>
      <c r="I721" s="1167">
        <f>ROUND(I725*12.7016%,2)</f>
        <v>0.83</v>
      </c>
      <c r="J721" s="1167" t="e">
        <f>+#REF!</f>
        <v>#REF!</v>
      </c>
      <c r="K721" s="1167" t="e">
        <f>+#REF!</f>
        <v>#REF!</v>
      </c>
      <c r="L721" s="1167" t="e">
        <f>ROUND(G721*J721*12/10000000,2)</f>
        <v>#REF!</v>
      </c>
      <c r="M721" s="1167" t="e">
        <f>ROUND(I721*1000000*K721/10000000,2)</f>
        <v>#REF!</v>
      </c>
      <c r="N721" s="1167"/>
      <c r="O721" s="1167"/>
    </row>
    <row r="722" spans="1:15" ht="16.5" x14ac:dyDescent="0.2">
      <c r="A722" s="1197" t="s">
        <v>616</v>
      </c>
      <c r="B722" s="1159"/>
      <c r="C722" s="1160"/>
      <c r="D722" s="1160" t="s">
        <v>570</v>
      </c>
      <c r="E722" s="1160">
        <f>ROUND(E725*1.9168%,0)</f>
        <v>47</v>
      </c>
      <c r="F722" s="1160">
        <f>ROUND(F725*1.9168%,0)</f>
        <v>47</v>
      </c>
      <c r="G722" s="1160">
        <f>ROUND(F722*51.14894,0)</f>
        <v>2404</v>
      </c>
      <c r="H722" s="1162" t="s">
        <v>575</v>
      </c>
      <c r="I722" s="1167">
        <f>I725-I720-I721</f>
        <v>2.14</v>
      </c>
      <c r="J722" s="1167" t="e">
        <f>+#REF!</f>
        <v>#REF!</v>
      </c>
      <c r="K722" s="1167" t="e">
        <f>+#REF!</f>
        <v>#REF!</v>
      </c>
      <c r="L722" s="1167" t="e">
        <f>ROUND(G722*J722*12/10000000,2)</f>
        <v>#REF!</v>
      </c>
      <c r="M722" s="1167" t="e">
        <f>ROUND(I722*1000000*K722/10000000,2)</f>
        <v>#REF!</v>
      </c>
      <c r="N722" s="1167"/>
      <c r="O722" s="1167"/>
    </row>
    <row r="723" spans="1:15" ht="16.5" x14ac:dyDescent="0.2">
      <c r="A723" s="1197" t="s">
        <v>616</v>
      </c>
      <c r="B723" s="1159"/>
      <c r="C723" s="1160"/>
      <c r="D723" s="1160" t="s">
        <v>571</v>
      </c>
      <c r="E723" s="1160">
        <f>ROUND(E725*0%,0)</f>
        <v>0</v>
      </c>
      <c r="F723" s="1160">
        <f>ROUND(F725*0%,0)</f>
        <v>0</v>
      </c>
      <c r="G723" s="1160">
        <f>ROUND(F723*69.50909,0)</f>
        <v>0</v>
      </c>
      <c r="H723" s="1162"/>
      <c r="I723" s="1167"/>
      <c r="J723" s="1167" t="e">
        <f>+#REF!</f>
        <v>#REF!</v>
      </c>
      <c r="K723" s="1167"/>
      <c r="L723" s="1167" t="e">
        <f>ROUND(G723*J723*12/10000000,2)</f>
        <v>#REF!</v>
      </c>
      <c r="M723" s="1167"/>
      <c r="N723" s="1167"/>
      <c r="O723" s="1167"/>
    </row>
    <row r="724" spans="1:15" ht="16.5" x14ac:dyDescent="0.2">
      <c r="A724" s="1197" t="s">
        <v>616</v>
      </c>
      <c r="B724" s="1159"/>
      <c r="C724" s="1160"/>
      <c r="D724" s="1160" t="s">
        <v>572</v>
      </c>
      <c r="E724" s="1160">
        <f>E725-E720-E721-E722-E723</f>
        <v>0</v>
      </c>
      <c r="F724" s="1160">
        <f>F725-F720-F721-F722-F723</f>
        <v>0</v>
      </c>
      <c r="G724" s="1160">
        <f>ROUND(F724*124.15384,0)</f>
        <v>0</v>
      </c>
      <c r="H724" s="1162"/>
      <c r="I724" s="1167"/>
      <c r="J724" s="1167" t="e">
        <f>+#REF!</f>
        <v>#REF!</v>
      </c>
      <c r="K724" s="1167"/>
      <c r="L724" s="1167" t="e">
        <f>ROUND(G724*J724*12/10000000,2)</f>
        <v>#REF!</v>
      </c>
      <c r="M724" s="1167"/>
      <c r="N724" s="1167"/>
      <c r="O724" s="1167"/>
    </row>
    <row r="725" spans="1:15" ht="16.5" x14ac:dyDescent="0.2">
      <c r="A725" s="1197" t="s">
        <v>616</v>
      </c>
      <c r="B725" s="1164"/>
      <c r="C725" s="1165"/>
      <c r="D725" s="1166" t="s">
        <v>486</v>
      </c>
      <c r="E725" s="1169">
        <f>E726-E718</f>
        <v>2473</v>
      </c>
      <c r="F725" s="1169">
        <f>F726-F718</f>
        <v>2452</v>
      </c>
      <c r="G725" s="1165">
        <f>SUM(G720:G724)</f>
        <v>17338</v>
      </c>
      <c r="H725" s="1165"/>
      <c r="I725" s="1170">
        <f>I726-I718</f>
        <v>6.57</v>
      </c>
      <c r="J725" s="1170"/>
      <c r="K725" s="1170"/>
      <c r="L725" s="1170" t="e">
        <f>SUM(L720:L724)</f>
        <v>#REF!</v>
      </c>
      <c r="M725" s="1170" t="e">
        <f>SUM(M720:M724)</f>
        <v>#REF!</v>
      </c>
      <c r="N725" s="1170" t="e">
        <f>L725+M725</f>
        <v>#REF!</v>
      </c>
      <c r="O725" s="1177" t="e">
        <f>ROUND(N725/I725*10,2)</f>
        <v>#REF!</v>
      </c>
    </row>
    <row r="726" spans="1:15" ht="16.5" x14ac:dyDescent="0.2">
      <c r="A726" s="1197" t="s">
        <v>616</v>
      </c>
      <c r="B726" s="1164">
        <v>6</v>
      </c>
      <c r="C726" s="1165" t="s">
        <v>567</v>
      </c>
      <c r="D726" s="1165"/>
      <c r="E726" s="1169">
        <f>Sales_FY24!$P$260</f>
        <v>2473</v>
      </c>
      <c r="F726" s="1169">
        <f>Sales_FY24!$V$260</f>
        <v>2452</v>
      </c>
      <c r="G726" s="1169">
        <f>G718+G725</f>
        <v>17338</v>
      </c>
      <c r="H726" s="1165"/>
      <c r="I726" s="1170">
        <f>Sales_FY24!$Q$260</f>
        <v>6.57</v>
      </c>
      <c r="J726" s="1170"/>
      <c r="K726" s="1170"/>
      <c r="L726" s="1170" t="e">
        <f>L718+L725</f>
        <v>#REF!</v>
      </c>
      <c r="M726" s="1170" t="e">
        <f>M718+M725</f>
        <v>#REF!</v>
      </c>
      <c r="N726" s="1170" t="e">
        <f>L726+M726</f>
        <v>#REF!</v>
      </c>
      <c r="O726" s="1177" t="e">
        <f>ROUND(N726/I726*10,2)</f>
        <v>#REF!</v>
      </c>
    </row>
    <row r="727" spans="1:15" ht="16.5" x14ac:dyDescent="0.2">
      <c r="A727" s="1197" t="s">
        <v>616</v>
      </c>
      <c r="B727" s="1163"/>
      <c r="C727" s="1163"/>
      <c r="D727" s="1163"/>
      <c r="E727" s="1163"/>
      <c r="F727" s="1163"/>
      <c r="G727" s="1163"/>
      <c r="H727" s="1163"/>
      <c r="I727" s="1176"/>
      <c r="J727" s="1176"/>
      <c r="K727" s="1176"/>
      <c r="L727" s="1176"/>
      <c r="M727" s="1176"/>
      <c r="N727" s="1176"/>
      <c r="O727" s="1176"/>
    </row>
    <row r="728" spans="1:15" ht="16.5" x14ac:dyDescent="0.2">
      <c r="A728" s="1197" t="s">
        <v>616</v>
      </c>
      <c r="B728" s="1159"/>
      <c r="C728" s="1160" t="s">
        <v>512</v>
      </c>
      <c r="D728" s="1160" t="s">
        <v>578</v>
      </c>
      <c r="E728" s="1168">
        <f>Sales_FY24!$P$261</f>
        <v>884</v>
      </c>
      <c r="F728" s="1168">
        <f>Sales_FY24!$V$261</f>
        <v>862</v>
      </c>
      <c r="G728" s="1160">
        <f>ROUND(F728*7.41995,0)</f>
        <v>6396</v>
      </c>
      <c r="H728" s="1162" t="s">
        <v>561</v>
      </c>
      <c r="I728" s="1167">
        <f>Sales_FY24!$Q$261</f>
        <v>4.47</v>
      </c>
      <c r="J728" s="1167" t="e">
        <f>+#REF!</f>
        <v>#REF!</v>
      </c>
      <c r="K728" s="1167" t="e">
        <f>+#REF!</f>
        <v>#REF!</v>
      </c>
      <c r="L728" s="1167" t="e">
        <f>ROUND(G728*J728*12/10000000,2)</f>
        <v>#REF!</v>
      </c>
      <c r="M728" s="1167" t="e">
        <f>ROUND(I728*1000000*K728/10000000,2)</f>
        <v>#REF!</v>
      </c>
      <c r="N728" s="1167" t="e">
        <f>L728+M728</f>
        <v>#REF!</v>
      </c>
      <c r="O728" s="1192"/>
    </row>
    <row r="729" spans="1:15" ht="16.5" x14ac:dyDescent="0.2">
      <c r="A729" s="1197" t="s">
        <v>616</v>
      </c>
      <c r="B729" s="1159"/>
      <c r="C729" s="1160"/>
      <c r="D729" s="1160" t="s">
        <v>579</v>
      </c>
      <c r="E729" s="1168"/>
      <c r="F729" s="1168"/>
      <c r="G729" s="1160"/>
      <c r="H729" s="1162"/>
      <c r="I729" s="1167"/>
      <c r="J729" s="1167" t="e">
        <f>+#REF!</f>
        <v>#REF!</v>
      </c>
      <c r="K729" s="1167"/>
      <c r="L729" s="1167"/>
      <c r="M729" s="1167"/>
      <c r="N729" s="1167"/>
      <c r="O729" s="1192"/>
    </row>
    <row r="730" spans="1:15" ht="16.5" x14ac:dyDescent="0.2">
      <c r="A730" s="1197" t="s">
        <v>616</v>
      </c>
      <c r="B730" s="1164"/>
      <c r="C730" s="1165"/>
      <c r="D730" s="1166" t="s">
        <v>486</v>
      </c>
      <c r="E730" s="1169">
        <f>SUM(E728:E729)</f>
        <v>884</v>
      </c>
      <c r="F730" s="1169">
        <f>SUM(F728:F729)</f>
        <v>862</v>
      </c>
      <c r="G730" s="1169">
        <f>SUM(G728:G729)</f>
        <v>6396</v>
      </c>
      <c r="H730" s="1165"/>
      <c r="I730" s="1170">
        <f>SUM(I728:I729)</f>
        <v>4.47</v>
      </c>
      <c r="J730" s="1170"/>
      <c r="K730" s="1170"/>
      <c r="L730" s="1170" t="e">
        <f>SUM(L728:L729)</f>
        <v>#REF!</v>
      </c>
      <c r="M730" s="1170" t="e">
        <f>SUM(M728:M729)</f>
        <v>#REF!</v>
      </c>
      <c r="N730" s="1170" t="e">
        <f>L730+M730</f>
        <v>#REF!</v>
      </c>
      <c r="O730" s="1177" t="e">
        <f>ROUND(N730/I730*10,2)</f>
        <v>#REF!</v>
      </c>
    </row>
    <row r="731" spans="1:15" ht="16.5" x14ac:dyDescent="0.2">
      <c r="A731" s="1197" t="s">
        <v>616</v>
      </c>
      <c r="B731" s="1163"/>
      <c r="C731" s="1163"/>
      <c r="D731" s="1163"/>
      <c r="E731" s="1163"/>
      <c r="F731" s="1163"/>
      <c r="G731" s="1163"/>
      <c r="H731" s="1163"/>
      <c r="I731" s="1176"/>
      <c r="J731" s="1176"/>
      <c r="K731" s="1176"/>
      <c r="L731" s="1176"/>
      <c r="M731" s="1176"/>
      <c r="N731" s="1176"/>
      <c r="O731" s="1176"/>
    </row>
    <row r="732" spans="1:15" ht="16.5" x14ac:dyDescent="0.2">
      <c r="A732" s="1197" t="s">
        <v>616</v>
      </c>
      <c r="B732" s="1159"/>
      <c r="C732" s="1160" t="s">
        <v>513</v>
      </c>
      <c r="D732" s="1160" t="s">
        <v>580</v>
      </c>
      <c r="E732" s="1168">
        <f>Sales_FY24!$P$262</f>
        <v>618</v>
      </c>
      <c r="F732" s="1168">
        <f>Sales_FY24!$V$262</f>
        <v>596</v>
      </c>
      <c r="G732" s="1160">
        <f>ROUND(F732*2.5302,0)</f>
        <v>1508</v>
      </c>
      <c r="H732" s="1162" t="s">
        <v>561</v>
      </c>
      <c r="I732" s="1167">
        <f>Sales_FY24!$Q$262</f>
        <v>2.91</v>
      </c>
      <c r="J732" s="1167" t="e">
        <f>+#REF!</f>
        <v>#REF!</v>
      </c>
      <c r="K732" s="1167" t="e">
        <f>+#REF!</f>
        <v>#REF!</v>
      </c>
      <c r="L732" s="1167" t="e">
        <f>ROUND(G732*J732*12/10000000,2)</f>
        <v>#REF!</v>
      </c>
      <c r="M732" s="1167" t="e">
        <f>ROUND(I732*1000000*K732/10000000,2)</f>
        <v>#REF!</v>
      </c>
      <c r="N732" s="1167" t="e">
        <f>L732+M732</f>
        <v>#REF!</v>
      </c>
      <c r="O732" s="1192" t="e">
        <f>ROUND(N732/I732*10,2)</f>
        <v>#REF!</v>
      </c>
    </row>
    <row r="733" spans="1:15" ht="16.5" x14ac:dyDescent="0.2">
      <c r="A733" s="1197" t="s">
        <v>616</v>
      </c>
      <c r="B733" s="1163"/>
      <c r="C733" s="1163"/>
      <c r="D733" s="1163"/>
      <c r="E733" s="1163"/>
      <c r="F733" s="1163"/>
      <c r="G733" s="1163"/>
      <c r="H733" s="1163"/>
      <c r="I733" s="1176"/>
      <c r="J733" s="1176"/>
      <c r="K733" s="1176"/>
      <c r="L733" s="1176"/>
      <c r="M733" s="1176"/>
      <c r="N733" s="1176"/>
      <c r="O733" s="1176"/>
    </row>
    <row r="734" spans="1:15" ht="16.5" x14ac:dyDescent="0.2">
      <c r="A734" s="1197" t="s">
        <v>616</v>
      </c>
      <c r="B734" s="1159"/>
      <c r="C734" s="1160" t="s">
        <v>526</v>
      </c>
      <c r="D734" s="1160" t="s">
        <v>581</v>
      </c>
      <c r="E734" s="1168">
        <f>Sales_FY24!$P$263</f>
        <v>0</v>
      </c>
      <c r="F734" s="1168">
        <f>Sales_FY24!$V$263</f>
        <v>0</v>
      </c>
      <c r="G734" s="1160">
        <f>ROUND(F734*10,0)</f>
        <v>0</v>
      </c>
      <c r="H734" s="1162" t="s">
        <v>561</v>
      </c>
      <c r="I734" s="1167">
        <f>Sales_FY24!$Q$263</f>
        <v>0</v>
      </c>
      <c r="J734" s="1167" t="e">
        <f>+#REF!</f>
        <v>#REF!</v>
      </c>
      <c r="K734" s="1167" t="e">
        <f>+#REF!</f>
        <v>#REF!</v>
      </c>
      <c r="L734" s="1167" t="e">
        <f>ROUND(G734*J734*12/10000000,2)</f>
        <v>#REF!</v>
      </c>
      <c r="M734" s="1167" t="e">
        <f>ROUND(I734*1000000*K734/10000000,2)</f>
        <v>#REF!</v>
      </c>
      <c r="N734" s="1167" t="e">
        <f>L734+M734</f>
        <v>#REF!</v>
      </c>
      <c r="O734" s="1192"/>
    </row>
    <row r="735" spans="1:15" ht="16.5" x14ac:dyDescent="0.2">
      <c r="A735" s="1197" t="s">
        <v>616</v>
      </c>
      <c r="B735" s="1159"/>
      <c r="C735" s="1160"/>
      <c r="D735" s="1160" t="s">
        <v>582</v>
      </c>
      <c r="E735" s="1168"/>
      <c r="F735" s="1168"/>
      <c r="G735" s="1160"/>
      <c r="H735" s="1162"/>
      <c r="I735" s="1167"/>
      <c r="J735" s="1167" t="e">
        <f>+#REF!</f>
        <v>#REF!</v>
      </c>
      <c r="K735" s="1167"/>
      <c r="L735" s="1167"/>
      <c r="M735" s="1167"/>
      <c r="N735" s="1167"/>
      <c r="O735" s="1192"/>
    </row>
    <row r="736" spans="1:15" ht="16.5" x14ac:dyDescent="0.2">
      <c r="A736" s="1197" t="s">
        <v>616</v>
      </c>
      <c r="B736" s="1159"/>
      <c r="C736" s="1160"/>
      <c r="D736" s="1160" t="s">
        <v>583</v>
      </c>
      <c r="E736" s="1168"/>
      <c r="F736" s="1168"/>
      <c r="G736" s="1160"/>
      <c r="H736" s="1162"/>
      <c r="I736" s="1167"/>
      <c r="J736" s="1167" t="e">
        <f>+#REF!</f>
        <v>#REF!</v>
      </c>
      <c r="K736" s="1167"/>
      <c r="L736" s="1167"/>
      <c r="M736" s="1167"/>
      <c r="N736" s="1167"/>
      <c r="O736" s="1192"/>
    </row>
    <row r="737" spans="1:15" ht="16.5" x14ac:dyDescent="0.2">
      <c r="A737" s="1197" t="s">
        <v>616</v>
      </c>
      <c r="B737" s="1164"/>
      <c r="C737" s="1165"/>
      <c r="D737" s="1166" t="s">
        <v>486</v>
      </c>
      <c r="E737" s="1169">
        <f>SUM(E734:E736)</f>
        <v>0</v>
      </c>
      <c r="F737" s="1169">
        <f>SUM(F734:F736)</f>
        <v>0</v>
      </c>
      <c r="G737" s="1169">
        <f>SUM(G734:G736)</f>
        <v>0</v>
      </c>
      <c r="H737" s="1165"/>
      <c r="I737" s="1170">
        <f>SUM(I734:I736)</f>
        <v>0</v>
      </c>
      <c r="J737" s="1170"/>
      <c r="K737" s="1170"/>
      <c r="L737" s="1170" t="e">
        <f>SUM(L734:L736)</f>
        <v>#REF!</v>
      </c>
      <c r="M737" s="1170" t="e">
        <f>SUM(M734:M736)</f>
        <v>#REF!</v>
      </c>
      <c r="N737" s="1170" t="e">
        <f>L737+M737</f>
        <v>#REF!</v>
      </c>
      <c r="O737" s="1177"/>
    </row>
    <row r="738" spans="1:15" ht="16.5" x14ac:dyDescent="0.2">
      <c r="A738" s="1197" t="s">
        <v>616</v>
      </c>
      <c r="B738" s="1164">
        <v>7</v>
      </c>
      <c r="C738" s="1165" t="s">
        <v>577</v>
      </c>
      <c r="D738" s="1165"/>
      <c r="E738" s="1169">
        <f>E730+E732+E737</f>
        <v>1502</v>
      </c>
      <c r="F738" s="1169">
        <f>F730+F732+F737</f>
        <v>1458</v>
      </c>
      <c r="G738" s="1169">
        <f>G730+G732+G737</f>
        <v>7904</v>
      </c>
      <c r="H738" s="1165"/>
      <c r="I738" s="1170">
        <f>I730+I732+I737</f>
        <v>7.38</v>
      </c>
      <c r="J738" s="1170"/>
      <c r="K738" s="1170"/>
      <c r="L738" s="1170" t="e">
        <f>L730+L732+L737</f>
        <v>#REF!</v>
      </c>
      <c r="M738" s="1170" t="e">
        <f>M730+M732+M737</f>
        <v>#REF!</v>
      </c>
      <c r="N738" s="1170" t="e">
        <f>L738+M738</f>
        <v>#REF!</v>
      </c>
      <c r="O738" s="1177" t="e">
        <f>ROUND(N738/I738*10,2)</f>
        <v>#REF!</v>
      </c>
    </row>
    <row r="739" spans="1:15" ht="16.5" x14ac:dyDescent="0.2">
      <c r="A739" s="1197" t="s">
        <v>616</v>
      </c>
      <c r="B739" s="1163"/>
      <c r="C739" s="1163"/>
      <c r="D739" s="1163"/>
      <c r="E739" s="1163"/>
      <c r="F739" s="1163"/>
      <c r="G739" s="1163"/>
      <c r="H739" s="1163"/>
      <c r="I739" s="1176"/>
      <c r="J739" s="1176"/>
      <c r="K739" s="1176"/>
      <c r="L739" s="1176"/>
      <c r="M739" s="1176"/>
      <c r="N739" s="1176"/>
      <c r="O739" s="1176"/>
    </row>
    <row r="740" spans="1:15" ht="16.5" x14ac:dyDescent="0.2">
      <c r="A740" s="1197" t="s">
        <v>616</v>
      </c>
      <c r="B740" s="1159"/>
      <c r="C740" s="1160" t="s">
        <v>584</v>
      </c>
      <c r="D740" s="1160" t="s">
        <v>586</v>
      </c>
      <c r="E740" s="1160">
        <f>ROUND(E742*100%,0)</f>
        <v>100</v>
      </c>
      <c r="F740" s="1160">
        <f>ROUND(F742*100%,0)</f>
        <v>100</v>
      </c>
      <c r="G740" s="1160">
        <f>ROUND(F740*0.9,0)</f>
        <v>90</v>
      </c>
      <c r="H740" s="1162" t="s">
        <v>561</v>
      </c>
      <c r="I740" s="1167">
        <f>ROUND(I742*100%,2)</f>
        <v>0.38</v>
      </c>
      <c r="J740" s="1167" t="e">
        <f>+#REF!</f>
        <v>#REF!</v>
      </c>
      <c r="K740" s="1167" t="e">
        <f>+#REF!</f>
        <v>#REF!</v>
      </c>
      <c r="L740" s="1167" t="e">
        <f>ROUND(G740*J740*4/10000000,2)</f>
        <v>#REF!</v>
      </c>
      <c r="M740" s="1198" t="e">
        <f>ROUND(I740*1000000*K740/10000000,2)-ROUND(I740*1000000*K740/10000000,2)</f>
        <v>#REF!</v>
      </c>
      <c r="N740" s="1167" t="e">
        <f>L740+M740</f>
        <v>#REF!</v>
      </c>
      <c r="O740" s="1192"/>
    </row>
    <row r="741" spans="1:15" ht="16.5" x14ac:dyDescent="0.2">
      <c r="A741" s="1197" t="s">
        <v>616</v>
      </c>
      <c r="B741" s="1159"/>
      <c r="C741" s="1160" t="s">
        <v>585</v>
      </c>
      <c r="D741" s="1160" t="s">
        <v>586</v>
      </c>
      <c r="E741" s="1168">
        <f>E742-E740</f>
        <v>0</v>
      </c>
      <c r="F741" s="1168">
        <f>F742-F740</f>
        <v>0</v>
      </c>
      <c r="G741" s="1160">
        <f>ROUND(F741*0.79986,0)</f>
        <v>0</v>
      </c>
      <c r="H741" s="1162" t="s">
        <v>561</v>
      </c>
      <c r="I741" s="1167">
        <f>I742-I740</f>
        <v>0</v>
      </c>
      <c r="J741" s="1167" t="e">
        <f>+#REF!</f>
        <v>#REF!</v>
      </c>
      <c r="K741" s="1167" t="e">
        <f>+#REF!</f>
        <v>#REF!</v>
      </c>
      <c r="L741" s="1167" t="e">
        <f>ROUND(G741*J741*12/10000000,2)</f>
        <v>#REF!</v>
      </c>
      <c r="M741" s="1167" t="e">
        <f>ROUND(I741*1000000*K741/10000000,2)</f>
        <v>#REF!</v>
      </c>
      <c r="N741" s="1167" t="e">
        <f>L741+M741</f>
        <v>#REF!</v>
      </c>
      <c r="O741" s="1192"/>
    </row>
    <row r="742" spans="1:15" ht="16.5" x14ac:dyDescent="0.2">
      <c r="A742" s="1197" t="s">
        <v>616</v>
      </c>
      <c r="B742" s="1164">
        <v>8</v>
      </c>
      <c r="C742" s="1165" t="s">
        <v>587</v>
      </c>
      <c r="D742" s="1165"/>
      <c r="E742" s="1169">
        <f>Sales_FY24!$P$264</f>
        <v>100</v>
      </c>
      <c r="F742" s="1169">
        <f>Sales_FY24!$V$264</f>
        <v>100</v>
      </c>
      <c r="G742" s="1169">
        <f>SUM(G740:G741)</f>
        <v>90</v>
      </c>
      <c r="H742" s="1165"/>
      <c r="I742" s="1170">
        <f>Sales_FY24!$Q$264</f>
        <v>0.38</v>
      </c>
      <c r="J742" s="1170"/>
      <c r="K742" s="1170"/>
      <c r="L742" s="1170" t="e">
        <f>SUM(L740:L741)</f>
        <v>#REF!</v>
      </c>
      <c r="M742" s="1170" t="e">
        <f>SUM(M740:M741)</f>
        <v>#REF!</v>
      </c>
      <c r="N742" s="1170" t="e">
        <f>L742+M742</f>
        <v>#REF!</v>
      </c>
      <c r="O742" s="1177" t="e">
        <f>ROUND(N742/I742*10,2)</f>
        <v>#REF!</v>
      </c>
    </row>
    <row r="743" spans="1:15" ht="16.5" x14ac:dyDescent="0.2">
      <c r="A743" s="1197" t="s">
        <v>616</v>
      </c>
      <c r="B743" s="1163"/>
      <c r="C743" s="1163"/>
      <c r="D743" s="1163"/>
      <c r="E743" s="1163"/>
      <c r="F743" s="1163"/>
      <c r="G743" s="1163"/>
      <c r="H743" s="1163"/>
      <c r="I743" s="1176"/>
      <c r="J743" s="1176"/>
      <c r="K743" s="1176"/>
      <c r="L743" s="1176"/>
      <c r="M743" s="1176"/>
      <c r="N743" s="1176"/>
      <c r="O743" s="1176"/>
    </row>
    <row r="744" spans="1:15" ht="16.5" x14ac:dyDescent="0.2">
      <c r="A744" s="1197" t="s">
        <v>616</v>
      </c>
      <c r="B744" s="1194"/>
      <c r="C744" s="1195" t="s">
        <v>588</v>
      </c>
      <c r="D744" s="1195"/>
      <c r="E744" s="1196">
        <f>E673+E686+E697+E706+E711+E726+E738+E742</f>
        <v>147921</v>
      </c>
      <c r="F744" s="1196">
        <f>F673+F686+F697+F706+F711+F726+F738+F742</f>
        <v>145597</v>
      </c>
      <c r="G744" s="1196">
        <f>G673+G686+G697+G706+G711+G726+G738+G742</f>
        <v>287565</v>
      </c>
      <c r="H744" s="1195"/>
      <c r="I744" s="1193">
        <f>I673+I686+I697+I706+I711+I726+I738+I742</f>
        <v>254.33100000000002</v>
      </c>
      <c r="J744" s="1193"/>
      <c r="K744" s="1193"/>
      <c r="L744" s="1193" t="e">
        <f>L673+L686+L697+L706+L711+L726+L738+L742</f>
        <v>#REF!</v>
      </c>
      <c r="M744" s="1193" t="e">
        <f>M673+M686+M697+M706+M711+M726+M738+M742</f>
        <v>#REF!</v>
      </c>
      <c r="N744" s="1193" t="e">
        <f>L744+M744</f>
        <v>#REF!</v>
      </c>
      <c r="O744" s="1193" t="e">
        <f>ROUND(N744/I744*10,2)</f>
        <v>#REF!</v>
      </c>
    </row>
    <row r="745" spans="1:15" ht="16.5" x14ac:dyDescent="0.2">
      <c r="A745" s="1197" t="s">
        <v>616</v>
      </c>
      <c r="B745" s="1163"/>
      <c r="C745" s="1163"/>
      <c r="D745" s="1163"/>
      <c r="E745" s="1163"/>
      <c r="F745" s="1176"/>
      <c r="G745" s="1163"/>
      <c r="H745" s="1163"/>
      <c r="I745" s="1176"/>
      <c r="J745" s="1176"/>
      <c r="K745" s="1176"/>
      <c r="L745" s="1176"/>
      <c r="M745" s="1176"/>
      <c r="N745" s="1176"/>
      <c r="O745" s="1176"/>
    </row>
    <row r="746" spans="1:15" ht="16.5" x14ac:dyDescent="0.2">
      <c r="A746" s="1197" t="s">
        <v>616</v>
      </c>
      <c r="B746" s="1159">
        <v>9</v>
      </c>
      <c r="C746" s="1160" t="s">
        <v>16</v>
      </c>
      <c r="D746" s="1160" t="s">
        <v>589</v>
      </c>
      <c r="E746" s="1168">
        <f>Sales_FY24!$P$267</f>
        <v>12</v>
      </c>
      <c r="F746" s="1168">
        <f>Sales_FY24!$V$267</f>
        <v>12</v>
      </c>
      <c r="G746" s="1160">
        <f>ROUND(F746*156.5,0)</f>
        <v>1878</v>
      </c>
      <c r="H746" s="1162" t="s">
        <v>561</v>
      </c>
      <c r="I746" s="1167">
        <f>Sales_FY24!$Q$267</f>
        <v>8.7799999999999994</v>
      </c>
      <c r="J746" s="1167" t="e">
        <f>+#REF!</f>
        <v>#REF!</v>
      </c>
      <c r="K746" s="1167" t="e">
        <f>+#REF!</f>
        <v>#REF!</v>
      </c>
      <c r="L746" s="1167" t="e">
        <f>ROUND((G746*85%)*J746*12/10000000,2)</f>
        <v>#REF!</v>
      </c>
      <c r="M746" s="1167" t="e">
        <f>ROUND(I746*1000000*K746/10000000,2)</f>
        <v>#REF!</v>
      </c>
      <c r="N746" s="1167" t="e">
        <f>L746+M746</f>
        <v>#REF!</v>
      </c>
      <c r="O746" s="1192" t="e">
        <f>ROUND(N746/I746*10,2)</f>
        <v>#REF!</v>
      </c>
    </row>
    <row r="747" spans="1:15" ht="16.5" x14ac:dyDescent="0.2">
      <c r="A747" s="1197" t="s">
        <v>616</v>
      </c>
      <c r="B747" s="1163"/>
      <c r="C747" s="1163"/>
      <c r="D747" s="1163"/>
      <c r="E747" s="1163"/>
      <c r="F747" s="1163"/>
      <c r="G747" s="1163"/>
      <c r="H747" s="1163"/>
      <c r="I747" s="1176"/>
      <c r="J747" s="1176"/>
      <c r="K747" s="1176"/>
      <c r="L747" s="1176"/>
      <c r="M747" s="1176"/>
      <c r="N747" s="1176"/>
      <c r="O747" s="1176"/>
    </row>
    <row r="748" spans="1:15" ht="16.5" x14ac:dyDescent="0.2">
      <c r="A748" s="1197" t="s">
        <v>616</v>
      </c>
      <c r="B748" s="1159"/>
      <c r="C748" s="1160" t="s">
        <v>593</v>
      </c>
      <c r="D748" s="1160" t="s">
        <v>589</v>
      </c>
      <c r="E748" s="1168">
        <f>E750</f>
        <v>0</v>
      </c>
      <c r="F748" s="1168">
        <f>F750</f>
        <v>0</v>
      </c>
      <c r="G748" s="1160">
        <f>ROUND(F748*0,0)</f>
        <v>0</v>
      </c>
      <c r="H748" s="1162" t="s">
        <v>591</v>
      </c>
      <c r="I748" s="1167">
        <f>ROUND(I750*0%,2)</f>
        <v>0</v>
      </c>
      <c r="J748" s="1167" t="e">
        <f>+#REF!</f>
        <v>#REF!</v>
      </c>
      <c r="K748" s="1167" t="e">
        <f>+#REF!</f>
        <v>#REF!</v>
      </c>
      <c r="L748" s="1167" t="e">
        <f>ROUND((G748*85%)*J748*12/10000000,2)</f>
        <v>#REF!</v>
      </c>
      <c r="M748" s="1167" t="e">
        <f>ROUND(I748*1000000*K748/10000000,2)</f>
        <v>#REF!</v>
      </c>
      <c r="N748" s="1167"/>
      <c r="O748" s="1192"/>
    </row>
    <row r="749" spans="1:15" ht="16.5" x14ac:dyDescent="0.2">
      <c r="A749" s="1197" t="s">
        <v>616</v>
      </c>
      <c r="B749" s="1159"/>
      <c r="C749" s="1160"/>
      <c r="D749" s="1160"/>
      <c r="E749" s="1168"/>
      <c r="F749" s="1168"/>
      <c r="G749" s="1160"/>
      <c r="H749" s="1162" t="s">
        <v>590</v>
      </c>
      <c r="I749" s="1167">
        <f>I750-I748</f>
        <v>0</v>
      </c>
      <c r="J749" s="1167"/>
      <c r="K749" s="1167" t="e">
        <f>+#REF!</f>
        <v>#REF!</v>
      </c>
      <c r="L749" s="1167"/>
      <c r="M749" s="1167" t="e">
        <f>ROUND(I749*1000000*K749/10000000,2)</f>
        <v>#REF!</v>
      </c>
      <c r="N749" s="1167"/>
      <c r="O749" s="1192"/>
    </row>
    <row r="750" spans="1:15" ht="16.5" x14ac:dyDescent="0.2">
      <c r="A750" s="1197" t="s">
        <v>616</v>
      </c>
      <c r="B750" s="1164"/>
      <c r="C750" s="1165"/>
      <c r="D750" s="1166" t="s">
        <v>486</v>
      </c>
      <c r="E750" s="1169">
        <f>ROUND(E755*0%,0)</f>
        <v>0</v>
      </c>
      <c r="F750" s="1169">
        <f>ROUND(F755*0%,0)</f>
        <v>0</v>
      </c>
      <c r="G750" s="1169">
        <f>SUM(G748:G749)</f>
        <v>0</v>
      </c>
      <c r="H750" s="1165"/>
      <c r="I750" s="1170">
        <f>ROUND(I755*0%,2)</f>
        <v>0</v>
      </c>
      <c r="J750" s="1170"/>
      <c r="K750" s="1170"/>
      <c r="L750" s="1170" t="e">
        <f>SUM(L748:L749)</f>
        <v>#REF!</v>
      </c>
      <c r="M750" s="1170" t="e">
        <f>SUM(M748:M749)</f>
        <v>#REF!</v>
      </c>
      <c r="N750" s="1170" t="e">
        <f>L750+M750</f>
        <v>#REF!</v>
      </c>
      <c r="O750" s="1177"/>
    </row>
    <row r="751" spans="1:15" ht="16.5" x14ac:dyDescent="0.2">
      <c r="A751" s="1197" t="s">
        <v>616</v>
      </c>
      <c r="B751" s="1163"/>
      <c r="C751" s="1163"/>
      <c r="D751" s="1163"/>
      <c r="E751" s="1163"/>
      <c r="F751" s="1163"/>
      <c r="G751" s="1163"/>
      <c r="H751" s="1163"/>
      <c r="I751" s="1176"/>
      <c r="J751" s="1176"/>
      <c r="K751" s="1176"/>
      <c r="L751" s="1176"/>
      <c r="M751" s="1176"/>
      <c r="N751" s="1176"/>
      <c r="O751" s="1176"/>
    </row>
    <row r="752" spans="1:15" ht="16.5" x14ac:dyDescent="0.2">
      <c r="A752" s="1197" t="s">
        <v>616</v>
      </c>
      <c r="B752" s="1159"/>
      <c r="C752" s="1160" t="s">
        <v>594</v>
      </c>
      <c r="D752" s="1160" t="s">
        <v>589</v>
      </c>
      <c r="E752" s="1168">
        <f>E754</f>
        <v>28</v>
      </c>
      <c r="F752" s="1168">
        <f>F754</f>
        <v>26</v>
      </c>
      <c r="G752" s="1160">
        <f>ROUND(F752*1368.42307,0)</f>
        <v>35579</v>
      </c>
      <c r="H752" s="1162" t="s">
        <v>591</v>
      </c>
      <c r="I752" s="1167">
        <f>ROUND(I754*84.02857%,2)</f>
        <v>81.41</v>
      </c>
      <c r="J752" s="1167" t="e">
        <f>+#REF!</f>
        <v>#REF!</v>
      </c>
      <c r="K752" s="1167" t="e">
        <f>+#REF!</f>
        <v>#REF!</v>
      </c>
      <c r="L752" s="1167" t="e">
        <f>ROUND((G752*85%)*J752*12/10000000,2)</f>
        <v>#REF!</v>
      </c>
      <c r="M752" s="1167" t="e">
        <f>ROUND(I752*1000000*K752/10000000,2)</f>
        <v>#REF!</v>
      </c>
      <c r="N752" s="1167"/>
      <c r="O752" s="1192"/>
    </row>
    <row r="753" spans="1:15" ht="16.5" x14ac:dyDescent="0.2">
      <c r="A753" s="1197" t="s">
        <v>616</v>
      </c>
      <c r="B753" s="1159"/>
      <c r="C753" s="1160"/>
      <c r="D753" s="1160"/>
      <c r="E753" s="1168"/>
      <c r="F753" s="1168"/>
      <c r="G753" s="1160"/>
      <c r="H753" s="1162" t="s">
        <v>590</v>
      </c>
      <c r="I753" s="1167">
        <f>I754-I752</f>
        <v>15.469999999999999</v>
      </c>
      <c r="J753" s="1167"/>
      <c r="K753" s="1167" t="e">
        <f>+#REF!</f>
        <v>#REF!</v>
      </c>
      <c r="L753" s="1167"/>
      <c r="M753" s="1167" t="e">
        <f>ROUND(I753*1000000*K753/10000000,2)</f>
        <v>#REF!</v>
      </c>
      <c r="N753" s="1167"/>
      <c r="O753" s="1192"/>
    </row>
    <row r="754" spans="1:15" ht="16.5" x14ac:dyDescent="0.2">
      <c r="A754" s="1197" t="s">
        <v>616</v>
      </c>
      <c r="B754" s="1164"/>
      <c r="C754" s="1165"/>
      <c r="D754" s="1166" t="s">
        <v>486</v>
      </c>
      <c r="E754" s="1169">
        <f>E755-E750</f>
        <v>28</v>
      </c>
      <c r="F754" s="1169">
        <f>F755-F750</f>
        <v>26</v>
      </c>
      <c r="G754" s="1169">
        <f>SUM(G752:G753)</f>
        <v>35579</v>
      </c>
      <c r="H754" s="1165"/>
      <c r="I754" s="1170">
        <f>I755-I750</f>
        <v>96.88</v>
      </c>
      <c r="J754" s="1170"/>
      <c r="K754" s="1170"/>
      <c r="L754" s="1170" t="e">
        <f>SUM(L752:L753)</f>
        <v>#REF!</v>
      </c>
      <c r="M754" s="1170" t="e">
        <f>SUM(M752:M753)</f>
        <v>#REF!</v>
      </c>
      <c r="N754" s="1170" t="e">
        <f>L754+M754</f>
        <v>#REF!</v>
      </c>
      <c r="O754" s="1177"/>
    </row>
    <row r="755" spans="1:15" ht="16.5" x14ac:dyDescent="0.2">
      <c r="A755" s="1197" t="s">
        <v>616</v>
      </c>
      <c r="B755" s="1164">
        <v>10</v>
      </c>
      <c r="C755" s="1165" t="s">
        <v>592</v>
      </c>
      <c r="D755" s="1165"/>
      <c r="E755" s="1169">
        <f>Sales_FY24!$P$268</f>
        <v>28</v>
      </c>
      <c r="F755" s="1169">
        <f>Sales_FY24!$V$268</f>
        <v>26</v>
      </c>
      <c r="G755" s="1169">
        <f>G750+G754</f>
        <v>35579</v>
      </c>
      <c r="H755" s="1165"/>
      <c r="I755" s="1170">
        <f>Sales_FY24!$Q$268</f>
        <v>96.88</v>
      </c>
      <c r="J755" s="1170"/>
      <c r="K755" s="1170"/>
      <c r="L755" s="1169" t="e">
        <f>L750+L754</f>
        <v>#REF!</v>
      </c>
      <c r="M755" s="1169" t="e">
        <f>M750+M754</f>
        <v>#REF!</v>
      </c>
      <c r="N755" s="1170" t="e">
        <f>L755+M755</f>
        <v>#REF!</v>
      </c>
      <c r="O755" s="1177" t="e">
        <f>ROUND(N755/I755*10,2)</f>
        <v>#REF!</v>
      </c>
    </row>
    <row r="756" spans="1:15" ht="16.5" x14ac:dyDescent="0.2">
      <c r="A756" s="1197" t="s">
        <v>616</v>
      </c>
      <c r="B756" s="1163"/>
      <c r="C756" s="1163"/>
      <c r="D756" s="1163"/>
      <c r="E756" s="1163"/>
      <c r="F756" s="1163"/>
      <c r="G756" s="1163"/>
      <c r="H756" s="1163"/>
      <c r="I756" s="1176"/>
      <c r="J756" s="1176"/>
      <c r="K756" s="1176"/>
      <c r="L756" s="1176"/>
      <c r="M756" s="1176"/>
      <c r="N756" s="1176"/>
      <c r="O756" s="1176"/>
    </row>
    <row r="757" spans="1:15" ht="16.5" x14ac:dyDescent="0.2">
      <c r="A757" s="1197" t="s">
        <v>616</v>
      </c>
      <c r="B757" s="1159"/>
      <c r="C757" s="1160" t="s">
        <v>596</v>
      </c>
      <c r="D757" s="1160" t="s">
        <v>589</v>
      </c>
      <c r="E757" s="1168">
        <f>E759</f>
        <v>0</v>
      </c>
      <c r="F757" s="1168">
        <f>F759</f>
        <v>0</v>
      </c>
      <c r="G757" s="1160">
        <f>ROUND(F757*0,0)</f>
        <v>0</v>
      </c>
      <c r="H757" s="1162" t="s">
        <v>598</v>
      </c>
      <c r="I757" s="1167">
        <f>ROUND(I759*0%,2)</f>
        <v>0</v>
      </c>
      <c r="J757" s="1167" t="e">
        <f>+#REF!</f>
        <v>#REF!</v>
      </c>
      <c r="K757" s="1167" t="e">
        <f>+#REF!</f>
        <v>#REF!</v>
      </c>
      <c r="L757" s="1167" t="e">
        <f>ROUND((G757*85%)*J757*12/10000000,2)</f>
        <v>#REF!</v>
      </c>
      <c r="M757" s="1167" t="e">
        <f>ROUND(I757*1000000*K757/10000000,2)</f>
        <v>#REF!</v>
      </c>
      <c r="N757" s="1167"/>
      <c r="O757" s="1192"/>
    </row>
    <row r="758" spans="1:15" ht="16.5" x14ac:dyDescent="0.2">
      <c r="A758" s="1197" t="s">
        <v>616</v>
      </c>
      <c r="B758" s="1159"/>
      <c r="C758" s="1160"/>
      <c r="D758" s="1160"/>
      <c r="E758" s="1168"/>
      <c r="F758" s="1168"/>
      <c r="G758" s="1160"/>
      <c r="H758" s="1162" t="s">
        <v>599</v>
      </c>
      <c r="I758" s="1167">
        <f>I759-I757</f>
        <v>0</v>
      </c>
      <c r="J758" s="1167"/>
      <c r="K758" s="1167" t="e">
        <f>+#REF!</f>
        <v>#REF!</v>
      </c>
      <c r="L758" s="1167"/>
      <c r="M758" s="1167" t="e">
        <f>ROUND(I758*1000000*K758/10000000,2)</f>
        <v>#REF!</v>
      </c>
      <c r="N758" s="1167"/>
      <c r="O758" s="1192"/>
    </row>
    <row r="759" spans="1:15" ht="16.5" x14ac:dyDescent="0.2">
      <c r="A759" s="1197" t="s">
        <v>616</v>
      </c>
      <c r="B759" s="1164"/>
      <c r="C759" s="1165"/>
      <c r="D759" s="1166" t="s">
        <v>486</v>
      </c>
      <c r="E759" s="1169">
        <f>ROUND(E764*0%,0)</f>
        <v>0</v>
      </c>
      <c r="F759" s="1169">
        <f>ROUND(F764*0%,0)</f>
        <v>0</v>
      </c>
      <c r="G759" s="1169">
        <f>SUM(G757:G758)</f>
        <v>0</v>
      </c>
      <c r="H759" s="1165"/>
      <c r="I759" s="1170">
        <f>ROUND(I764*0%,2)</f>
        <v>0</v>
      </c>
      <c r="J759" s="1170"/>
      <c r="K759" s="1170"/>
      <c r="L759" s="1170" t="e">
        <f>SUM(L757:L758)</f>
        <v>#REF!</v>
      </c>
      <c r="M759" s="1170" t="e">
        <f>SUM(M757:M758)</f>
        <v>#REF!</v>
      </c>
      <c r="N759" s="1170" t="e">
        <f>L759+M759</f>
        <v>#REF!</v>
      </c>
      <c r="O759" s="1177"/>
    </row>
    <row r="760" spans="1:15" ht="16.5" x14ac:dyDescent="0.2">
      <c r="A760" s="1197" t="s">
        <v>616</v>
      </c>
      <c r="B760" s="1163"/>
      <c r="C760" s="1163"/>
      <c r="D760" s="1163"/>
      <c r="E760" s="1163"/>
      <c r="F760" s="1163"/>
      <c r="G760" s="1163"/>
      <c r="H760" s="1163"/>
      <c r="I760" s="1176"/>
      <c r="J760" s="1176"/>
      <c r="K760" s="1176"/>
      <c r="L760" s="1176"/>
      <c r="M760" s="1176"/>
      <c r="N760" s="1176"/>
      <c r="O760" s="1176"/>
    </row>
    <row r="761" spans="1:15" ht="16.5" x14ac:dyDescent="0.2">
      <c r="A761" s="1197" t="s">
        <v>616</v>
      </c>
      <c r="B761" s="1159"/>
      <c r="C761" s="1160" t="s">
        <v>597</v>
      </c>
      <c r="D761" s="1160" t="s">
        <v>589</v>
      </c>
      <c r="E761" s="1168">
        <f>E763</f>
        <v>5</v>
      </c>
      <c r="F761" s="1168">
        <f>F763</f>
        <v>5</v>
      </c>
      <c r="G761" s="1160">
        <f>ROUND(F761*77,0)</f>
        <v>385</v>
      </c>
      <c r="H761" s="1162" t="s">
        <v>598</v>
      </c>
      <c r="I761" s="1167">
        <f>ROUND(I763*39.2789%,2)</f>
        <v>0.05</v>
      </c>
      <c r="J761" s="1167" t="e">
        <f>+#REF!</f>
        <v>#REF!</v>
      </c>
      <c r="K761" s="1167" t="e">
        <f>+#REF!</f>
        <v>#REF!</v>
      </c>
      <c r="L761" s="1167" t="e">
        <f>ROUND((G761*85%)*J761*12/10000000,2)</f>
        <v>#REF!</v>
      </c>
      <c r="M761" s="1167" t="e">
        <f>ROUND(I761*1000000*K761/10000000,2)</f>
        <v>#REF!</v>
      </c>
      <c r="N761" s="1167"/>
      <c r="O761" s="1192"/>
    </row>
    <row r="762" spans="1:15" ht="16.5" x14ac:dyDescent="0.2">
      <c r="A762" s="1197" t="s">
        <v>616</v>
      </c>
      <c r="B762" s="1159"/>
      <c r="C762" s="1160"/>
      <c r="D762" s="1160"/>
      <c r="E762" s="1168"/>
      <c r="F762" s="1168"/>
      <c r="G762" s="1160"/>
      <c r="H762" s="1162" t="s">
        <v>599</v>
      </c>
      <c r="I762" s="1167">
        <f>I763-I761</f>
        <v>9.0000000000000011E-2</v>
      </c>
      <c r="J762" s="1167"/>
      <c r="K762" s="1167" t="e">
        <f>+#REF!</f>
        <v>#REF!</v>
      </c>
      <c r="L762" s="1167"/>
      <c r="M762" s="1167" t="e">
        <f>ROUND(I762*1000000*K762/10000000,2)</f>
        <v>#REF!</v>
      </c>
      <c r="N762" s="1167"/>
      <c r="O762" s="1192"/>
    </row>
    <row r="763" spans="1:15" ht="16.5" x14ac:dyDescent="0.2">
      <c r="A763" s="1197" t="s">
        <v>616</v>
      </c>
      <c r="B763" s="1164"/>
      <c r="C763" s="1165"/>
      <c r="D763" s="1166" t="s">
        <v>486</v>
      </c>
      <c r="E763" s="1169">
        <f>E764-E759</f>
        <v>5</v>
      </c>
      <c r="F763" s="1169">
        <f>F764-F759</f>
        <v>5</v>
      </c>
      <c r="G763" s="1169">
        <f>SUM(G761:G762)</f>
        <v>385</v>
      </c>
      <c r="H763" s="1165"/>
      <c r="I763" s="1170">
        <f>I764-I759</f>
        <v>0.14000000000000001</v>
      </c>
      <c r="J763" s="1170"/>
      <c r="K763" s="1170"/>
      <c r="L763" s="1170" t="e">
        <f>SUM(L761:L762)</f>
        <v>#REF!</v>
      </c>
      <c r="M763" s="1170" t="e">
        <f>SUM(M761:M762)</f>
        <v>#REF!</v>
      </c>
      <c r="N763" s="1170" t="e">
        <f>L763+M763</f>
        <v>#REF!</v>
      </c>
      <c r="O763" s="1177"/>
    </row>
    <row r="764" spans="1:15" ht="16.5" x14ac:dyDescent="0.2">
      <c r="A764" s="1197" t="s">
        <v>616</v>
      </c>
      <c r="B764" s="1164">
        <v>11</v>
      </c>
      <c r="C764" s="1165" t="s">
        <v>595</v>
      </c>
      <c r="D764" s="1165"/>
      <c r="E764" s="1169">
        <f>Sales_FY24!$P$269</f>
        <v>5</v>
      </c>
      <c r="F764" s="1169">
        <f>Sales_FY24!$V$269</f>
        <v>5</v>
      </c>
      <c r="G764" s="1169">
        <f>G759+G763</f>
        <v>385</v>
      </c>
      <c r="H764" s="1165"/>
      <c r="I764" s="1170">
        <f>Sales_FY24!$Q$269</f>
        <v>0.14000000000000001</v>
      </c>
      <c r="J764" s="1170"/>
      <c r="K764" s="1170"/>
      <c r="L764" s="1170" t="e">
        <f>L759+L763</f>
        <v>#REF!</v>
      </c>
      <c r="M764" s="1170" t="e">
        <f>M759+M763</f>
        <v>#REF!</v>
      </c>
      <c r="N764" s="1170" t="e">
        <f>L764+M764</f>
        <v>#REF!</v>
      </c>
      <c r="O764" s="1177" t="e">
        <f>ROUND(N764/I764*10,2)</f>
        <v>#REF!</v>
      </c>
    </row>
    <row r="765" spans="1:15" ht="16.5" x14ac:dyDescent="0.2">
      <c r="A765" s="1197" t="s">
        <v>616</v>
      </c>
      <c r="B765" s="1163"/>
      <c r="C765" s="1163"/>
      <c r="D765" s="1163"/>
      <c r="E765" s="1163"/>
      <c r="F765" s="1163"/>
      <c r="G765" s="1163"/>
      <c r="H765" s="1163"/>
      <c r="I765" s="1176"/>
      <c r="J765" s="1176"/>
      <c r="K765" s="1176"/>
      <c r="L765" s="1176"/>
      <c r="M765" s="1176"/>
      <c r="N765" s="1176"/>
      <c r="O765" s="1176"/>
    </row>
    <row r="766" spans="1:15" ht="16.5" x14ac:dyDescent="0.2">
      <c r="A766" s="1197" t="s">
        <v>616</v>
      </c>
      <c r="B766" s="1159"/>
      <c r="C766" s="1160" t="s">
        <v>601</v>
      </c>
      <c r="D766" s="1160" t="s">
        <v>589</v>
      </c>
      <c r="E766" s="1168">
        <f>E768</f>
        <v>4</v>
      </c>
      <c r="F766" s="1168">
        <f>F768</f>
        <v>4</v>
      </c>
      <c r="G766" s="1160">
        <f>ROUND(F766*69.5,0)</f>
        <v>278</v>
      </c>
      <c r="H766" s="1162" t="s">
        <v>591</v>
      </c>
      <c r="I766" s="1167">
        <f>ROUND(I768*100%,2)</f>
        <v>0.17</v>
      </c>
      <c r="J766" s="1167" t="e">
        <f>+#REF!</f>
        <v>#REF!</v>
      </c>
      <c r="K766" s="1167" t="e">
        <f>+#REF!</f>
        <v>#REF!</v>
      </c>
      <c r="L766" s="1167" t="e">
        <f>ROUND((G766*85%)*J766*12/10000000,2)</f>
        <v>#REF!</v>
      </c>
      <c r="M766" s="1167" t="e">
        <f>ROUND(I766*1000000*K766/10000000,2)</f>
        <v>#REF!</v>
      </c>
      <c r="N766" s="1167"/>
      <c r="O766" s="1192"/>
    </row>
    <row r="767" spans="1:15" ht="16.5" x14ac:dyDescent="0.2">
      <c r="A767" s="1197" t="s">
        <v>616</v>
      </c>
      <c r="B767" s="1159"/>
      <c r="C767" s="1160"/>
      <c r="D767" s="1160"/>
      <c r="E767" s="1168"/>
      <c r="F767" s="1168"/>
      <c r="G767" s="1160"/>
      <c r="H767" s="1162" t="s">
        <v>590</v>
      </c>
      <c r="I767" s="1167">
        <f>I768-I766</f>
        <v>0</v>
      </c>
      <c r="J767" s="1167"/>
      <c r="K767" s="1167" t="e">
        <f>+#REF!</f>
        <v>#REF!</v>
      </c>
      <c r="L767" s="1167"/>
      <c r="M767" s="1167" t="e">
        <f>ROUND(I767*1000000*K767/10000000,2)</f>
        <v>#REF!</v>
      </c>
      <c r="N767" s="1167"/>
      <c r="O767" s="1192"/>
    </row>
    <row r="768" spans="1:15" ht="16.5" x14ac:dyDescent="0.2">
      <c r="A768" s="1197" t="s">
        <v>616</v>
      </c>
      <c r="B768" s="1164"/>
      <c r="C768" s="1165"/>
      <c r="D768" s="1166" t="s">
        <v>486</v>
      </c>
      <c r="E768" s="1169">
        <f>ROUND(E773*64.12037%,0)</f>
        <v>4</v>
      </c>
      <c r="F768" s="1169">
        <f>ROUND(F773*64.12037%,0)</f>
        <v>4</v>
      </c>
      <c r="G768" s="1169">
        <f>SUM(G766:G767)</f>
        <v>278</v>
      </c>
      <c r="H768" s="1165"/>
      <c r="I768" s="1170">
        <f>ROUND(I773*30.82949%,2)</f>
        <v>0.17</v>
      </c>
      <c r="J768" s="1170"/>
      <c r="K768" s="1170"/>
      <c r="L768" s="1170" t="e">
        <f>SUM(L766:L767)</f>
        <v>#REF!</v>
      </c>
      <c r="M768" s="1170" t="e">
        <f>SUM(M766:M767)</f>
        <v>#REF!</v>
      </c>
      <c r="N768" s="1170" t="e">
        <f>L768+M768</f>
        <v>#REF!</v>
      </c>
      <c r="O768" s="1177" t="e">
        <f>ROUND(N768/I768*10,2)</f>
        <v>#REF!</v>
      </c>
    </row>
    <row r="769" spans="1:15" ht="16.5" x14ac:dyDescent="0.2">
      <c r="A769" s="1197" t="s">
        <v>616</v>
      </c>
      <c r="B769" s="1163"/>
      <c r="C769" s="1163"/>
      <c r="D769" s="1163"/>
      <c r="E769" s="1163"/>
      <c r="F769" s="1163"/>
      <c r="G769" s="1163"/>
      <c r="H769" s="1163"/>
      <c r="I769" s="1176"/>
      <c r="J769" s="1176"/>
      <c r="K769" s="1176"/>
      <c r="L769" s="1176"/>
      <c r="M769" s="1176"/>
      <c r="N769" s="1176"/>
      <c r="O769" s="1176"/>
    </row>
    <row r="770" spans="1:15" ht="16.5" x14ac:dyDescent="0.2">
      <c r="A770" s="1197" t="s">
        <v>616</v>
      </c>
      <c r="B770" s="1159"/>
      <c r="C770" s="1160" t="s">
        <v>602</v>
      </c>
      <c r="D770" s="1160" t="s">
        <v>589</v>
      </c>
      <c r="E770" s="1168">
        <f>E772</f>
        <v>2</v>
      </c>
      <c r="F770" s="1168">
        <f>F772</f>
        <v>2</v>
      </c>
      <c r="G770" s="1160">
        <f>ROUND(F770*80,0)</f>
        <v>160</v>
      </c>
      <c r="H770" s="1162" t="s">
        <v>591</v>
      </c>
      <c r="I770" s="1167">
        <f>ROUND(I772*100%,2)</f>
        <v>0.39</v>
      </c>
      <c r="J770" s="1167" t="e">
        <f>+#REF!</f>
        <v>#REF!</v>
      </c>
      <c r="K770" s="1167" t="e">
        <f>+#REF!</f>
        <v>#REF!</v>
      </c>
      <c r="L770" s="1167" t="e">
        <f>ROUND((G770*85%)*J770*12/10000000,2)</f>
        <v>#REF!</v>
      </c>
      <c r="M770" s="1167" t="e">
        <f>ROUND(I770*1000000*K770/10000000,2)</f>
        <v>#REF!</v>
      </c>
      <c r="N770" s="1167"/>
      <c r="O770" s="1192"/>
    </row>
    <row r="771" spans="1:15" ht="16.5" x14ac:dyDescent="0.2">
      <c r="A771" s="1197" t="s">
        <v>616</v>
      </c>
      <c r="B771" s="1159"/>
      <c r="C771" s="1160"/>
      <c r="D771" s="1160"/>
      <c r="E771" s="1168"/>
      <c r="F771" s="1168"/>
      <c r="G771" s="1160"/>
      <c r="H771" s="1162" t="s">
        <v>590</v>
      </c>
      <c r="I771" s="1167">
        <f>I772-I770</f>
        <v>0</v>
      </c>
      <c r="J771" s="1167"/>
      <c r="K771" s="1167" t="e">
        <f>+#REF!</f>
        <v>#REF!</v>
      </c>
      <c r="L771" s="1167"/>
      <c r="M771" s="1167" t="e">
        <f>ROUND(I771*1000000*K771/10000000,2)</f>
        <v>#REF!</v>
      </c>
      <c r="N771" s="1167"/>
      <c r="O771" s="1192"/>
    </row>
    <row r="772" spans="1:15" ht="16.5" x14ac:dyDescent="0.2">
      <c r="A772" s="1197" t="s">
        <v>616</v>
      </c>
      <c r="B772" s="1164"/>
      <c r="C772" s="1165"/>
      <c r="D772" s="1166" t="s">
        <v>486</v>
      </c>
      <c r="E772" s="1169">
        <f>E773-E768</f>
        <v>2</v>
      </c>
      <c r="F772" s="1169">
        <f>F773-F768</f>
        <v>2</v>
      </c>
      <c r="G772" s="1169">
        <f>SUM(G770:G771)</f>
        <v>160</v>
      </c>
      <c r="H772" s="1165"/>
      <c r="I772" s="1170">
        <f>I773-I768</f>
        <v>0.39</v>
      </c>
      <c r="J772" s="1170"/>
      <c r="K772" s="1170"/>
      <c r="L772" s="1170" t="e">
        <f>SUM(L770:L771)</f>
        <v>#REF!</v>
      </c>
      <c r="M772" s="1170" t="e">
        <f>SUM(M770:M771)</f>
        <v>#REF!</v>
      </c>
      <c r="N772" s="1170" t="e">
        <f>L772+M772</f>
        <v>#REF!</v>
      </c>
      <c r="O772" s="1177" t="e">
        <f>ROUND(N772/I772*10,2)</f>
        <v>#REF!</v>
      </c>
    </row>
    <row r="773" spans="1:15" ht="16.5" x14ac:dyDescent="0.2">
      <c r="A773" s="1197" t="s">
        <v>616</v>
      </c>
      <c r="B773" s="1164">
        <v>12</v>
      </c>
      <c r="C773" s="1165" t="s">
        <v>600</v>
      </c>
      <c r="D773" s="1165"/>
      <c r="E773" s="1169">
        <f>Sales_FY24!$P$270</f>
        <v>6</v>
      </c>
      <c r="F773" s="1169">
        <f>Sales_FY24!$V$270</f>
        <v>6</v>
      </c>
      <c r="G773" s="1169">
        <f>G768+G772</f>
        <v>438</v>
      </c>
      <c r="H773" s="1165"/>
      <c r="I773" s="1170">
        <f>Sales_FY24!$Q$270</f>
        <v>0.56000000000000005</v>
      </c>
      <c r="J773" s="1170"/>
      <c r="K773" s="1170"/>
      <c r="L773" s="1170" t="e">
        <f>L768+L772</f>
        <v>#REF!</v>
      </c>
      <c r="M773" s="1170" t="e">
        <f>M768+M772</f>
        <v>#REF!</v>
      </c>
      <c r="N773" s="1170" t="e">
        <f>L773+M773</f>
        <v>#REF!</v>
      </c>
      <c r="O773" s="1177" t="e">
        <f>ROUND(N773/I773*10,2)</f>
        <v>#REF!</v>
      </c>
    </row>
    <row r="774" spans="1:15" ht="16.5" x14ac:dyDescent="0.2">
      <c r="A774" s="1197" t="s">
        <v>616</v>
      </c>
      <c r="B774" s="1163"/>
      <c r="C774" s="1163"/>
      <c r="D774" s="1163"/>
      <c r="E774" s="1163"/>
      <c r="F774" s="1163"/>
      <c r="G774" s="1163"/>
      <c r="H774" s="1163"/>
      <c r="I774" s="1176"/>
      <c r="J774" s="1176"/>
      <c r="K774" s="1176"/>
      <c r="L774" s="1176"/>
      <c r="M774" s="1176"/>
      <c r="N774" s="1176"/>
      <c r="O774" s="1176"/>
    </row>
    <row r="775" spans="1:15" ht="16.5" x14ac:dyDescent="0.2">
      <c r="A775" s="1197" t="s">
        <v>616</v>
      </c>
      <c r="B775" s="1159"/>
      <c r="C775" s="1160" t="s">
        <v>612</v>
      </c>
      <c r="D775" s="1160" t="s">
        <v>604</v>
      </c>
      <c r="E775" s="1168">
        <f>ROUND(E779*84.61538%,0)</f>
        <v>12</v>
      </c>
      <c r="F775" s="1168">
        <f>ROUND(F779*84.61538%,0)</f>
        <v>12</v>
      </c>
      <c r="G775" s="1160">
        <f>ROUND(F775*437.45454,0)</f>
        <v>5249</v>
      </c>
      <c r="H775" s="1162" t="s">
        <v>561</v>
      </c>
      <c r="I775" s="1167">
        <f>ROUND(I779*95.62503%,2)-0.02</f>
        <v>5.5</v>
      </c>
      <c r="J775" s="1167" t="e">
        <f>+#REF!</f>
        <v>#REF!</v>
      </c>
      <c r="K775" s="1167" t="e">
        <f>+#REF!</f>
        <v>#REF!</v>
      </c>
      <c r="L775" s="1167" t="e">
        <f>IF((ROUND(G775*J775*1/10000000,2))&gt;(ROUND(I775*1000000*K775/10000000,2)),(ROUND(G775*J775*1/10000000,2)),0)</f>
        <v>#REF!</v>
      </c>
      <c r="M775" s="1167" t="e">
        <f>IF((ROUND(I775*1000000*K775/10000000,2))&gt;(ROUND(G775*J775*1/10000000,2)),(ROUND(I775*1000000*K775/10000000,2)),0)</f>
        <v>#REF!</v>
      </c>
      <c r="N775" s="1167" t="e">
        <f>L775+M775</f>
        <v>#REF!</v>
      </c>
      <c r="O775" s="1192" t="e">
        <f>ROUND(N775/I775*10,2)</f>
        <v>#REF!</v>
      </c>
    </row>
    <row r="776" spans="1:15" ht="16.5" x14ac:dyDescent="0.2">
      <c r="A776" s="1197" t="s">
        <v>616</v>
      </c>
      <c r="B776" s="1159"/>
      <c r="C776" s="1160" t="s">
        <v>613</v>
      </c>
      <c r="D776" s="1160" t="s">
        <v>604</v>
      </c>
      <c r="E776" s="1168">
        <f>ROUND(E779*14.28571%,0)</f>
        <v>2</v>
      </c>
      <c r="F776" s="1168">
        <f>ROUND(F779*14.28571%,0)</f>
        <v>2</v>
      </c>
      <c r="G776" s="1160">
        <f>ROUND(F776*196.66666,0)</f>
        <v>393</v>
      </c>
      <c r="H776" s="1162" t="s">
        <v>561</v>
      </c>
      <c r="I776" s="1167">
        <f>ROUND(I779*4.37497%,2)+0.01</f>
        <v>0.26</v>
      </c>
      <c r="J776" s="1167" t="e">
        <f>+#REF!</f>
        <v>#REF!</v>
      </c>
      <c r="K776" s="1167" t="e">
        <f>+#REF!</f>
        <v>#REF!</v>
      </c>
      <c r="L776" s="1167" t="e">
        <f>ROUND(G776*J776*12/10000000,2)</f>
        <v>#REF!</v>
      </c>
      <c r="M776" s="1167" t="e">
        <f>ROUND(I776*1000000*K776/10000000,2)</f>
        <v>#REF!</v>
      </c>
      <c r="N776" s="1167" t="e">
        <f>L776+M776</f>
        <v>#REF!</v>
      </c>
      <c r="O776" s="1192"/>
    </row>
    <row r="777" spans="1:15" ht="16.5" x14ac:dyDescent="0.2">
      <c r="A777" s="1197" t="s">
        <v>616</v>
      </c>
      <c r="B777" s="1159"/>
      <c r="C777" s="1160" t="s">
        <v>614</v>
      </c>
      <c r="D777" s="1160" t="s">
        <v>604</v>
      </c>
      <c r="E777" s="1168">
        <f>ROUND(E779*3.25581%,0)</f>
        <v>0</v>
      </c>
      <c r="F777" s="1168">
        <f>ROUND(F779*3.25581%,0)</f>
        <v>0</v>
      </c>
      <c r="G777" s="1160">
        <f>ROUND(F777*168.5,0)</f>
        <v>0</v>
      </c>
      <c r="H777" s="1162" t="s">
        <v>561</v>
      </c>
      <c r="I777" s="1167">
        <f>ROUND(I779*0%,2)</f>
        <v>0</v>
      </c>
      <c r="J777" s="1167" t="e">
        <f>+#REF!</f>
        <v>#REF!</v>
      </c>
      <c r="K777" s="1167" t="e">
        <f>+#REF!</f>
        <v>#REF!</v>
      </c>
      <c r="L777" s="1167" t="e">
        <f>ROUND(G777*J777*12/10000000,2)</f>
        <v>#REF!</v>
      </c>
      <c r="M777" s="1167" t="e">
        <f>ROUND(I777*1000000*K777/10000000,2)</f>
        <v>#REF!</v>
      </c>
      <c r="N777" s="1167" t="e">
        <f>L777+M777</f>
        <v>#REF!</v>
      </c>
      <c r="O777" s="1192"/>
    </row>
    <row r="778" spans="1:15" ht="16.5" x14ac:dyDescent="0.2">
      <c r="A778" s="1197" t="s">
        <v>616</v>
      </c>
      <c r="B778" s="1159"/>
      <c r="C778" s="1160" t="s">
        <v>615</v>
      </c>
      <c r="D778" s="1160" t="s">
        <v>604</v>
      </c>
      <c r="E778" s="1168">
        <f>ROUND(E779*0.93023%,0)</f>
        <v>0</v>
      </c>
      <c r="F778" s="1168">
        <f>ROUND(F779*0.93023%,0)</f>
        <v>0</v>
      </c>
      <c r="G778" s="1160">
        <f>ROUND(F778*31.5,0)</f>
        <v>0</v>
      </c>
      <c r="H778" s="1162" t="s">
        <v>561</v>
      </c>
      <c r="I778" s="1167">
        <f>+I779-I775-I776-I777</f>
        <v>9.9999999999995648E-3</v>
      </c>
      <c r="J778" s="1167" t="e">
        <f>+#REF!</f>
        <v>#REF!</v>
      </c>
      <c r="K778" s="1167" t="e">
        <f>+#REF!</f>
        <v>#REF!</v>
      </c>
      <c r="L778" s="1167" t="e">
        <f>IF((ROUND(G778*J778*1/10000000,2))&gt;(ROUND(I778*1000000*K778/10000000,2)),(ROUND(G778*J778*1/10000000,2)),0)</f>
        <v>#REF!</v>
      </c>
      <c r="M778" s="1167" t="e">
        <f>IF((ROUND(I778*1000000*K778/10000000,2))&gt;(ROUND(G778*J778*1/10000000,2)),(ROUND(I778*1000000*K778/10000000,2)),0)</f>
        <v>#REF!</v>
      </c>
      <c r="N778" s="1167" t="e">
        <f>L778+M778</f>
        <v>#REF!</v>
      </c>
      <c r="O778" s="1192" t="e">
        <f>ROUND(N778/I778*10,2)</f>
        <v>#REF!</v>
      </c>
    </row>
    <row r="779" spans="1:15" ht="16.5" x14ac:dyDescent="0.2">
      <c r="A779" s="1197" t="s">
        <v>616</v>
      </c>
      <c r="B779" s="1164">
        <v>13</v>
      </c>
      <c r="C779" s="1165" t="s">
        <v>603</v>
      </c>
      <c r="D779" s="1165"/>
      <c r="E779" s="1169">
        <f>Sales_FY24!$P$271</f>
        <v>14</v>
      </c>
      <c r="F779" s="1169">
        <f>Sales_FY24!$V$271</f>
        <v>14</v>
      </c>
      <c r="G779" s="1169">
        <f>SUM(G775:G778)</f>
        <v>5642</v>
      </c>
      <c r="H779" s="1165"/>
      <c r="I779" s="1170">
        <f>Sales_FY24!$Q$271</f>
        <v>5.77</v>
      </c>
      <c r="J779" s="1170"/>
      <c r="K779" s="1170"/>
      <c r="L779" s="1170" t="e">
        <f>SUM(L775:L778)</f>
        <v>#REF!</v>
      </c>
      <c r="M779" s="1170" t="e">
        <f>SUM(M775:M778)</f>
        <v>#REF!</v>
      </c>
      <c r="N779" s="1170" t="e">
        <f>L779+M779</f>
        <v>#REF!</v>
      </c>
      <c r="O779" s="1177" t="e">
        <f>ROUND(N779/I779*10,2)</f>
        <v>#REF!</v>
      </c>
    </row>
    <row r="780" spans="1:15" ht="16.5" x14ac:dyDescent="0.2">
      <c r="A780" s="1197" t="s">
        <v>616</v>
      </c>
      <c r="B780" s="1163"/>
      <c r="C780" s="1163"/>
      <c r="D780" s="1163"/>
      <c r="E780" s="1163"/>
      <c r="F780" s="1163"/>
      <c r="G780" s="1163"/>
      <c r="H780" s="1163"/>
      <c r="I780" s="1176"/>
      <c r="J780" s="1176"/>
      <c r="K780" s="1176"/>
      <c r="L780" s="1176"/>
      <c r="M780" s="1176"/>
      <c r="N780" s="1176"/>
      <c r="O780" s="1176"/>
    </row>
    <row r="781" spans="1:15" ht="16.5" x14ac:dyDescent="0.2">
      <c r="A781" s="1197" t="s">
        <v>616</v>
      </c>
      <c r="B781" s="1159">
        <v>14</v>
      </c>
      <c r="C781" s="1160" t="s">
        <v>312</v>
      </c>
      <c r="D781" s="1160" t="s">
        <v>589</v>
      </c>
      <c r="E781" s="1168">
        <f>Sales_FY24!$P$272</f>
        <v>0</v>
      </c>
      <c r="F781" s="1168">
        <f>Sales_FY24!$V$272</f>
        <v>0</v>
      </c>
      <c r="G781" s="1160">
        <f>ROUND(F781*341.30303,0)</f>
        <v>0</v>
      </c>
      <c r="H781" s="1162" t="s">
        <v>561</v>
      </c>
      <c r="I781" s="1167">
        <f>Sales_FY24!$Q$272</f>
        <v>0</v>
      </c>
      <c r="J781" s="1167" t="e">
        <f>+#REF!</f>
        <v>#REF!</v>
      </c>
      <c r="K781" s="1167" t="e">
        <f>+#REF!</f>
        <v>#REF!</v>
      </c>
      <c r="L781" s="1167" t="e">
        <f>ROUND((G781*85%)*J781*12/10000000,2)</f>
        <v>#REF!</v>
      </c>
      <c r="M781" s="1167" t="e">
        <f>ROUND(I781*1000000*K781/10000000,2)</f>
        <v>#REF!</v>
      </c>
      <c r="N781" s="1167" t="e">
        <f>L781+M781</f>
        <v>#REF!</v>
      </c>
      <c r="O781" s="1192"/>
    </row>
    <row r="782" spans="1:15" ht="16.5" x14ac:dyDescent="0.2">
      <c r="A782" s="1197" t="s">
        <v>616</v>
      </c>
      <c r="B782" s="1163"/>
      <c r="C782" s="1163"/>
      <c r="D782" s="1163"/>
      <c r="E782" s="1163"/>
      <c r="F782" s="1163"/>
      <c r="G782" s="1163"/>
      <c r="H782" s="1163"/>
      <c r="I782" s="1176"/>
      <c r="J782" s="1176"/>
      <c r="K782" s="1176"/>
      <c r="L782" s="1176"/>
      <c r="M782" s="1176"/>
      <c r="N782" s="1176"/>
      <c r="O782" s="1176"/>
    </row>
    <row r="783" spans="1:15" ht="16.5" x14ac:dyDescent="0.2">
      <c r="A783" s="1197" t="s">
        <v>616</v>
      </c>
      <c r="B783" s="1159">
        <v>15</v>
      </c>
      <c r="C783" s="1160" t="s">
        <v>313</v>
      </c>
      <c r="D783" s="1160" t="s">
        <v>589</v>
      </c>
      <c r="E783" s="1168">
        <f>Sales_FY24!$P$273</f>
        <v>2</v>
      </c>
      <c r="F783" s="1168">
        <f>Sales_FY24!$V$273</f>
        <v>2</v>
      </c>
      <c r="G783" s="1160">
        <f>ROUND(F783*351.5,0)</f>
        <v>703</v>
      </c>
      <c r="H783" s="1162" t="s">
        <v>561</v>
      </c>
      <c r="I783" s="1167">
        <f>Sales_FY24!$Q$273</f>
        <v>0.94</v>
      </c>
      <c r="J783" s="1167" t="e">
        <f>+#REF!</f>
        <v>#REF!</v>
      </c>
      <c r="K783" s="1167" t="e">
        <f>+#REF!</f>
        <v>#REF!</v>
      </c>
      <c r="L783" s="1167" t="e">
        <f>ROUND((G783*100%)*J783*12/10000000,2)</f>
        <v>#REF!</v>
      </c>
      <c r="M783" s="1167" t="e">
        <f>ROUND(I783*1000000*K783/10000000,2)</f>
        <v>#REF!</v>
      </c>
      <c r="N783" s="1167" t="e">
        <f>L783+M783</f>
        <v>#REF!</v>
      </c>
      <c r="O783" s="1192" t="e">
        <f>ROUND(N783/I783*10,2)</f>
        <v>#REF!</v>
      </c>
    </row>
    <row r="784" spans="1:15" ht="16.5" x14ac:dyDescent="0.2">
      <c r="A784" s="1197" t="s">
        <v>616</v>
      </c>
      <c r="B784" s="1163"/>
      <c r="C784" s="1163"/>
      <c r="D784" s="1163"/>
      <c r="E784" s="1163"/>
      <c r="F784" s="1163"/>
      <c r="G784" s="1163"/>
      <c r="H784" s="1163"/>
      <c r="I784" s="1176"/>
      <c r="J784" s="1176"/>
      <c r="K784" s="1176"/>
      <c r="L784" s="1176"/>
      <c r="M784" s="1176"/>
      <c r="N784" s="1176"/>
      <c r="O784" s="1176"/>
    </row>
    <row r="785" spans="1:15" ht="16.5" x14ac:dyDescent="0.2">
      <c r="A785" s="1197" t="s">
        <v>616</v>
      </c>
      <c r="B785" s="1194"/>
      <c r="C785" s="1195" t="s">
        <v>605</v>
      </c>
      <c r="D785" s="1195"/>
      <c r="E785" s="1196">
        <f>E746+E755+E764+E773+E779+E781+E783</f>
        <v>67</v>
      </c>
      <c r="F785" s="1196">
        <f>F746+F755+F764+F773+F779+F781+F783</f>
        <v>65</v>
      </c>
      <c r="G785" s="1196">
        <f>G746+G755+G764+G773+G779+G781+G783</f>
        <v>44625</v>
      </c>
      <c r="H785" s="1195"/>
      <c r="I785" s="1193">
        <f>I746+I755+I764+I773+I779+I781+I783</f>
        <v>113.07</v>
      </c>
      <c r="J785" s="1193"/>
      <c r="K785" s="1193"/>
      <c r="L785" s="1193" t="e">
        <f>L746+L755+L764+L773+L779+L781+L783</f>
        <v>#REF!</v>
      </c>
      <c r="M785" s="1193" t="e">
        <f>M746+M755+M764+M773+M779+M781+M783</f>
        <v>#REF!</v>
      </c>
      <c r="N785" s="1193" t="e">
        <f>L785+M785</f>
        <v>#REF!</v>
      </c>
      <c r="O785" s="1193" t="e">
        <f>ROUND(N785/I785*10,2)</f>
        <v>#REF!</v>
      </c>
    </row>
    <row r="786" spans="1:15" ht="16.5" x14ac:dyDescent="0.2">
      <c r="A786" s="1197" t="s">
        <v>616</v>
      </c>
      <c r="B786" s="1163"/>
      <c r="C786" s="1163"/>
      <c r="D786" s="1163"/>
      <c r="E786" s="1163"/>
      <c r="F786" s="1163"/>
      <c r="G786" s="1163"/>
      <c r="H786" s="1163"/>
      <c r="I786" s="1176"/>
      <c r="J786" s="1176"/>
      <c r="K786" s="1176"/>
      <c r="L786" s="1176"/>
      <c r="M786" s="1176"/>
      <c r="N786" s="1176"/>
      <c r="O786" s="1176"/>
    </row>
    <row r="787" spans="1:15" ht="16.5" x14ac:dyDescent="0.2">
      <c r="A787" s="1197" t="s">
        <v>616</v>
      </c>
      <c r="B787" s="1194"/>
      <c r="C787" s="1195" t="s">
        <v>606</v>
      </c>
      <c r="D787" s="1195"/>
      <c r="E787" s="1196">
        <f>E744+E785</f>
        <v>147988</v>
      </c>
      <c r="F787" s="1196">
        <f>F744+F785</f>
        <v>145662</v>
      </c>
      <c r="G787" s="1196">
        <f>G744+G785</f>
        <v>332190</v>
      </c>
      <c r="H787" s="1195"/>
      <c r="I787" s="1193">
        <f>I744+I785</f>
        <v>367.40100000000001</v>
      </c>
      <c r="J787" s="1193"/>
      <c r="K787" s="1193"/>
      <c r="L787" s="1193" t="e">
        <f>L744+L785</f>
        <v>#REF!</v>
      </c>
      <c r="M787" s="1193" t="e">
        <f>M744+M785</f>
        <v>#REF!</v>
      </c>
      <c r="N787" s="1193" t="e">
        <f>L787+M787</f>
        <v>#REF!</v>
      </c>
      <c r="O787" s="1193" t="e">
        <f>ROUND(N787/I787*10,2)</f>
        <v>#REF!</v>
      </c>
    </row>
    <row r="788" spans="1:15" ht="16.5" x14ac:dyDescent="0.2">
      <c r="A788" s="1197" t="s">
        <v>616</v>
      </c>
      <c r="B788" s="1163"/>
      <c r="C788" s="1163"/>
      <c r="D788" s="1163"/>
      <c r="E788" s="1163"/>
      <c r="F788" s="1163"/>
      <c r="G788" s="1163"/>
      <c r="H788" s="1163"/>
      <c r="I788" s="1176"/>
      <c r="J788" s="1176"/>
      <c r="K788" s="1176"/>
      <c r="L788" s="1176"/>
      <c r="M788" s="1176"/>
      <c r="N788" s="1176"/>
      <c r="O788" s="1176"/>
    </row>
    <row r="789" spans="1:15" ht="16.5" x14ac:dyDescent="0.2">
      <c r="A789" s="1197" t="s">
        <v>616</v>
      </c>
      <c r="B789" s="1159">
        <v>16</v>
      </c>
      <c r="C789" s="1160"/>
      <c r="D789" s="1160"/>
      <c r="E789" s="1168"/>
      <c r="F789" s="1168"/>
      <c r="G789" s="1160"/>
      <c r="H789" s="1162"/>
      <c r="I789" s="1167"/>
      <c r="J789" s="1167"/>
      <c r="K789" s="1167"/>
      <c r="L789" s="1167"/>
      <c r="M789" s="1167"/>
      <c r="N789" s="1167"/>
      <c r="O789" s="1192"/>
    </row>
    <row r="790" spans="1:15" ht="16.5" x14ac:dyDescent="0.2">
      <c r="A790" s="1197" t="s">
        <v>616</v>
      </c>
      <c r="B790" s="1163"/>
      <c r="C790" s="1163"/>
      <c r="D790" s="1163"/>
      <c r="E790" s="1163"/>
      <c r="F790" s="1163"/>
      <c r="G790" s="1163"/>
      <c r="H790" s="1163"/>
      <c r="I790" s="1176"/>
      <c r="J790" s="1176"/>
      <c r="K790" s="1176"/>
      <c r="L790" s="1176"/>
      <c r="M790" s="1176"/>
      <c r="N790" s="1176"/>
      <c r="O790" s="1176"/>
    </row>
    <row r="791" spans="1:15" ht="16.5" x14ac:dyDescent="0.2">
      <c r="A791" s="1197" t="s">
        <v>616</v>
      </c>
      <c r="B791" s="1159">
        <v>17</v>
      </c>
      <c r="C791" s="1160"/>
      <c r="D791" s="1160"/>
      <c r="E791" s="1168"/>
      <c r="F791" s="1168"/>
      <c r="G791" s="1160"/>
      <c r="H791" s="1162"/>
      <c r="I791" s="1167"/>
      <c r="J791" s="1167"/>
      <c r="K791" s="1167"/>
      <c r="L791" s="1167"/>
      <c r="M791" s="1167"/>
      <c r="N791" s="1167"/>
      <c r="O791" s="1192"/>
    </row>
    <row r="792" spans="1:15" ht="16.5" x14ac:dyDescent="0.2">
      <c r="A792" s="1197" t="s">
        <v>616</v>
      </c>
      <c r="B792" s="1163"/>
      <c r="C792" s="1163"/>
      <c r="D792" s="1163"/>
      <c r="E792" s="1163"/>
      <c r="F792" s="1163"/>
      <c r="G792" s="1163"/>
      <c r="H792" s="1163"/>
      <c r="I792" s="1176"/>
      <c r="J792" s="1176"/>
      <c r="K792" s="1176"/>
      <c r="L792" s="1176"/>
      <c r="M792" s="1176"/>
      <c r="N792" s="1176"/>
      <c r="O792" s="1176"/>
    </row>
    <row r="793" spans="1:15" ht="16.5" x14ac:dyDescent="0.2">
      <c r="A793" s="1197" t="s">
        <v>616</v>
      </c>
      <c r="B793" s="1159">
        <v>18</v>
      </c>
      <c r="C793" s="1160"/>
      <c r="D793" s="1160" t="s">
        <v>305</v>
      </c>
      <c r="E793" s="1168"/>
      <c r="F793" s="1168"/>
      <c r="G793" s="1160"/>
      <c r="H793" s="1162"/>
      <c r="I793" s="1167"/>
      <c r="J793" s="1167"/>
      <c r="K793" s="1167"/>
      <c r="L793" s="1167">
        <v>0</v>
      </c>
      <c r="M793" s="1167">
        <f>ROUND((4.67+(4.67*28.65013%))+1.15,2)</f>
        <v>7.16</v>
      </c>
      <c r="N793" s="1167">
        <f>L793+M793</f>
        <v>7.16</v>
      </c>
      <c r="O793" s="1192"/>
    </row>
    <row r="794" spans="1:15" ht="16.5" x14ac:dyDescent="0.2">
      <c r="A794" s="1197" t="s">
        <v>616</v>
      </c>
      <c r="B794" s="1163"/>
      <c r="C794" s="1163"/>
      <c r="D794" s="1163"/>
      <c r="E794" s="1163"/>
      <c r="F794" s="1163"/>
      <c r="G794" s="1163"/>
      <c r="H794" s="1163"/>
      <c r="I794" s="1176"/>
      <c r="J794" s="1176"/>
      <c r="K794" s="1176"/>
      <c r="L794" s="1176"/>
      <c r="M794" s="1176"/>
      <c r="N794" s="1176"/>
      <c r="O794" s="1176"/>
    </row>
    <row r="795" spans="1:15" ht="16.5" x14ac:dyDescent="0.2">
      <c r="A795" s="1197" t="s">
        <v>616</v>
      </c>
      <c r="B795" s="1194"/>
      <c r="C795" s="1195" t="s">
        <v>607</v>
      </c>
      <c r="D795" s="1195"/>
      <c r="E795" s="1196">
        <f>E787+E793+E789+E791</f>
        <v>147988</v>
      </c>
      <c r="F795" s="1196">
        <f>F787+F793+F789+F791</f>
        <v>145662</v>
      </c>
      <c r="G795" s="1196">
        <f>G787+G793+G789+G791</f>
        <v>332190</v>
      </c>
      <c r="H795" s="1195"/>
      <c r="I795" s="1193">
        <f>I787+I793+I789+I791</f>
        <v>367.40100000000001</v>
      </c>
      <c r="J795" s="1193"/>
      <c r="K795" s="1193"/>
      <c r="L795" s="1193" t="e">
        <f>L787+L793+L789+L791</f>
        <v>#REF!</v>
      </c>
      <c r="M795" s="1193" t="e">
        <f>M787+M793+M789+M791</f>
        <v>#REF!</v>
      </c>
      <c r="N795" s="1193" t="e">
        <f>L795+M795</f>
        <v>#REF!</v>
      </c>
      <c r="O795" s="1193" t="e">
        <f>ROUND(N795/I795*10,2)</f>
        <v>#REF!</v>
      </c>
    </row>
    <row r="799" spans="1:15" x14ac:dyDescent="0.15">
      <c r="B799" s="1172" t="s">
        <v>609</v>
      </c>
      <c r="D799" s="1173" t="s">
        <v>608</v>
      </c>
    </row>
    <row r="800" spans="1:15" x14ac:dyDescent="0.15">
      <c r="B800" s="1187" t="s">
        <v>472</v>
      </c>
      <c r="C800" s="1187" t="s">
        <v>474</v>
      </c>
      <c r="D800" s="1188" t="s">
        <v>3</v>
      </c>
      <c r="E800" s="1187" t="s">
        <v>49</v>
      </c>
      <c r="F800" s="1187" t="s">
        <v>469</v>
      </c>
      <c r="G800" s="1187" t="s">
        <v>467</v>
      </c>
      <c r="H800" s="1188" t="s">
        <v>475</v>
      </c>
      <c r="I800" s="1188" t="s">
        <v>475</v>
      </c>
      <c r="J800" s="1200" t="s">
        <v>477</v>
      </c>
      <c r="K800" s="1200" t="s">
        <v>480</v>
      </c>
      <c r="L800" s="1206" t="s">
        <v>610</v>
      </c>
      <c r="M800" s="1189" t="s">
        <v>611</v>
      </c>
      <c r="N800" s="1189" t="s">
        <v>488</v>
      </c>
      <c r="O800" s="1189" t="s">
        <v>489</v>
      </c>
    </row>
    <row r="801" spans="1:15" x14ac:dyDescent="0.15">
      <c r="B801" s="1190" t="s">
        <v>473</v>
      </c>
      <c r="C801" s="1190" t="s">
        <v>31</v>
      </c>
      <c r="D801" s="1191"/>
      <c r="E801" s="1190" t="s">
        <v>33</v>
      </c>
      <c r="F801" s="1190" t="s">
        <v>33</v>
      </c>
      <c r="G801" s="1190" t="s">
        <v>468</v>
      </c>
      <c r="H801" s="1191" t="s">
        <v>487</v>
      </c>
      <c r="I801" s="1191" t="s">
        <v>476</v>
      </c>
      <c r="J801" s="1201" t="s">
        <v>479</v>
      </c>
      <c r="K801" s="1201" t="s">
        <v>478</v>
      </c>
      <c r="L801" s="1207" t="s">
        <v>481</v>
      </c>
      <c r="M801" s="1190" t="s">
        <v>481</v>
      </c>
      <c r="N801" s="1190" t="s">
        <v>481</v>
      </c>
      <c r="O801" s="1190" t="s">
        <v>478</v>
      </c>
    </row>
    <row r="802" spans="1:15" ht="18" x14ac:dyDescent="0.2">
      <c r="A802" s="1199" t="s">
        <v>151</v>
      </c>
      <c r="B802" s="1159"/>
      <c r="C802" s="1160" t="s">
        <v>38</v>
      </c>
      <c r="D802" s="1160" t="s">
        <v>482</v>
      </c>
      <c r="E802" s="1168">
        <f t="shared" ref="E802:G803" si="3">+E4+E137+E270+E403+E536+E669</f>
        <v>2663553</v>
      </c>
      <c r="F802" s="1168">
        <f t="shared" si="3"/>
        <v>2663553</v>
      </c>
      <c r="G802" s="1168">
        <f t="shared" si="3"/>
        <v>228495</v>
      </c>
      <c r="H802" s="1167"/>
      <c r="I802" s="1167">
        <f>+I4+I137+I270+I403+I536+I669</f>
        <v>733.55000000000007</v>
      </c>
      <c r="J802" s="1212"/>
      <c r="K802" s="1213"/>
      <c r="L802" s="1167">
        <f t="shared" ref="L802:M804" si="4">+L4+L137+L270+L403+L536+L669</f>
        <v>0</v>
      </c>
      <c r="M802" s="1167" t="e">
        <f t="shared" si="4"/>
        <v>#REF!</v>
      </c>
      <c r="N802" s="1175" t="e">
        <f>+L802+M802</f>
        <v>#REF!</v>
      </c>
      <c r="O802" s="1171" t="e">
        <f>ROUND(N802/I802*10,2)</f>
        <v>#REF!</v>
      </c>
    </row>
    <row r="803" spans="1:15" ht="18" x14ac:dyDescent="0.2">
      <c r="A803" s="1199" t="s">
        <v>151</v>
      </c>
      <c r="B803" s="1159"/>
      <c r="C803" s="1160" t="s">
        <v>38</v>
      </c>
      <c r="D803" s="1161" t="s">
        <v>483</v>
      </c>
      <c r="E803" s="1168">
        <f t="shared" si="3"/>
        <v>208909</v>
      </c>
      <c r="F803" s="1168">
        <f t="shared" si="3"/>
        <v>208909</v>
      </c>
      <c r="G803" s="1168">
        <f t="shared" si="3"/>
        <v>20196</v>
      </c>
      <c r="H803" s="1162" t="s">
        <v>426</v>
      </c>
      <c r="I803" s="1167">
        <f>+I5+I138+I271+I404+I537+I670</f>
        <v>125.34</v>
      </c>
      <c r="J803" s="1212"/>
      <c r="K803" s="1213"/>
      <c r="L803" s="1167" t="e">
        <f t="shared" si="4"/>
        <v>#REF!</v>
      </c>
      <c r="M803" s="1167" t="e">
        <f t="shared" si="4"/>
        <v>#REF!</v>
      </c>
      <c r="N803" s="1167"/>
      <c r="O803" s="1167"/>
    </row>
    <row r="804" spans="1:15" ht="18" x14ac:dyDescent="0.2">
      <c r="A804" s="1199" t="s">
        <v>151</v>
      </c>
      <c r="B804" s="1159"/>
      <c r="C804" s="1160"/>
      <c r="D804" s="1161"/>
      <c r="E804" s="1160"/>
      <c r="F804" s="1160"/>
      <c r="G804" s="1160"/>
      <c r="H804" s="1162" t="s">
        <v>432</v>
      </c>
      <c r="I804" s="1167">
        <f>+I6+I139+I272+I405+I538+I671</f>
        <v>66.730000000000018</v>
      </c>
      <c r="J804" s="1212"/>
      <c r="K804" s="1213"/>
      <c r="L804" s="1208"/>
      <c r="M804" s="1167" t="e">
        <f t="shared" si="4"/>
        <v>#REF!</v>
      </c>
      <c r="N804" s="1167"/>
      <c r="O804" s="1167"/>
    </row>
    <row r="805" spans="1:15" ht="18" x14ac:dyDescent="0.2">
      <c r="A805" s="1199" t="s">
        <v>151</v>
      </c>
      <c r="B805" s="1172"/>
      <c r="C805" s="1173"/>
      <c r="D805" s="1174" t="s">
        <v>486</v>
      </c>
      <c r="E805" s="1173">
        <f>SUM(E803:E804)</f>
        <v>208909</v>
      </c>
      <c r="F805" s="1173">
        <f>SUM(F803:F804)</f>
        <v>208909</v>
      </c>
      <c r="G805" s="1173">
        <f>SUM(G803:G804)</f>
        <v>20196</v>
      </c>
      <c r="H805" s="1173"/>
      <c r="I805" s="1203">
        <f>SUM(I803:I804)</f>
        <v>192.07000000000002</v>
      </c>
      <c r="J805" s="1214"/>
      <c r="K805" s="1215"/>
      <c r="L805" s="1209" t="e">
        <f>SUM(L803:L804)</f>
        <v>#REF!</v>
      </c>
      <c r="M805" s="1175" t="e">
        <f>SUM(M803:M804)</f>
        <v>#REF!</v>
      </c>
      <c r="N805" s="1175" t="e">
        <f>+L805+M805</f>
        <v>#REF!</v>
      </c>
      <c r="O805" s="1171" t="e">
        <f>ROUND(N805/I805*10,2)</f>
        <v>#REF!</v>
      </c>
    </row>
    <row r="806" spans="1:15" ht="18" x14ac:dyDescent="0.2">
      <c r="A806" s="1199" t="s">
        <v>151</v>
      </c>
      <c r="B806" s="1164">
        <v>1</v>
      </c>
      <c r="C806" s="1165" t="s">
        <v>484</v>
      </c>
      <c r="D806" s="1165"/>
      <c r="E806" s="1169">
        <f>+E802+E805</f>
        <v>2872462</v>
      </c>
      <c r="F806" s="1169">
        <f>+F802+F805</f>
        <v>2872462</v>
      </c>
      <c r="G806" s="1169">
        <f>+G802+G805</f>
        <v>248691</v>
      </c>
      <c r="H806" s="1165"/>
      <c r="I806" s="1204">
        <f>+I802+I805</f>
        <v>925.62000000000012</v>
      </c>
      <c r="J806" s="1214"/>
      <c r="K806" s="1215"/>
      <c r="L806" s="1210" t="e">
        <f>+L802+L805</f>
        <v>#REF!</v>
      </c>
      <c r="M806" s="1170" t="e">
        <f>+M802+M805</f>
        <v>#REF!</v>
      </c>
      <c r="N806" s="1170" t="e">
        <f>L806+M806</f>
        <v>#REF!</v>
      </c>
      <c r="O806" s="1170"/>
    </row>
    <row r="807" spans="1:15" ht="18" x14ac:dyDescent="0.2">
      <c r="A807" s="1199" t="s">
        <v>151</v>
      </c>
      <c r="B807" s="1163"/>
      <c r="C807" s="1163"/>
      <c r="D807" s="1163"/>
      <c r="E807" s="1163"/>
      <c r="F807" s="1163"/>
      <c r="G807" s="1163"/>
      <c r="H807" s="1163"/>
      <c r="I807" s="1176"/>
      <c r="J807" s="1212"/>
      <c r="K807" s="1213"/>
      <c r="L807" s="1176"/>
      <c r="M807" s="1176"/>
      <c r="N807" s="1176"/>
      <c r="O807" s="1176"/>
    </row>
    <row r="808" spans="1:15" ht="18" x14ac:dyDescent="0.2">
      <c r="A808" s="1199" t="s">
        <v>151</v>
      </c>
      <c r="B808" s="1159"/>
      <c r="C808" s="1160" t="s">
        <v>485</v>
      </c>
      <c r="D808" s="1160" t="s">
        <v>43</v>
      </c>
      <c r="E808" s="1168">
        <f t="shared" ref="E808:G810" si="5">+E10+E143+E276+E409+E542+E675</f>
        <v>6833323</v>
      </c>
      <c r="F808" s="1168">
        <f t="shared" si="5"/>
        <v>6706578</v>
      </c>
      <c r="G808" s="1168">
        <f t="shared" si="5"/>
        <v>5317562</v>
      </c>
      <c r="H808" s="1162" t="s">
        <v>426</v>
      </c>
      <c r="I808" s="1167">
        <f>+I10+I143+I276+I409+I542+I675</f>
        <v>2739.44</v>
      </c>
      <c r="J808" s="1212"/>
      <c r="K808" s="1213"/>
      <c r="L808" s="1167" t="e">
        <f t="shared" ref="L808:M811" si="6">+L10+L143+L276+L409+L542+L675</f>
        <v>#REF!</v>
      </c>
      <c r="M808" s="1167" t="e">
        <f t="shared" si="6"/>
        <v>#REF!</v>
      </c>
      <c r="N808" s="1167"/>
      <c r="O808" s="1171"/>
    </row>
    <row r="809" spans="1:15" ht="18" x14ac:dyDescent="0.2">
      <c r="A809" s="1199" t="s">
        <v>151</v>
      </c>
      <c r="B809" s="1159"/>
      <c r="C809" s="1160"/>
      <c r="D809" s="1160" t="s">
        <v>451</v>
      </c>
      <c r="E809" s="1168">
        <f t="shared" si="5"/>
        <v>5085467</v>
      </c>
      <c r="F809" s="1168">
        <f t="shared" si="5"/>
        <v>4991235</v>
      </c>
      <c r="G809" s="1168">
        <f t="shared" si="5"/>
        <v>14373484</v>
      </c>
      <c r="H809" s="1162" t="s">
        <v>432</v>
      </c>
      <c r="I809" s="1167">
        <f>+I11+I144+I277+I410+I543+I676</f>
        <v>2889.76</v>
      </c>
      <c r="J809" s="1212"/>
      <c r="K809" s="1213"/>
      <c r="L809" s="1167" t="e">
        <f t="shared" si="6"/>
        <v>#REF!</v>
      </c>
      <c r="M809" s="1167" t="e">
        <f t="shared" si="6"/>
        <v>#REF!</v>
      </c>
      <c r="N809" s="1167"/>
      <c r="O809" s="1167"/>
    </row>
    <row r="810" spans="1:15" ht="18" x14ac:dyDescent="0.2">
      <c r="A810" s="1199" t="s">
        <v>151</v>
      </c>
      <c r="B810" s="1159"/>
      <c r="C810" s="1160"/>
      <c r="D810" s="1160" t="s">
        <v>444</v>
      </c>
      <c r="E810" s="1168">
        <f t="shared" si="5"/>
        <v>1911</v>
      </c>
      <c r="F810" s="1168">
        <f t="shared" si="5"/>
        <v>1873</v>
      </c>
      <c r="G810" s="1168">
        <f t="shared" si="5"/>
        <v>121745</v>
      </c>
      <c r="H810" s="1162" t="s">
        <v>380</v>
      </c>
      <c r="I810" s="1167">
        <f>+I12+I145+I278+I411+I544+I677</f>
        <v>2949.67</v>
      </c>
      <c r="J810" s="1212"/>
      <c r="K810" s="1213"/>
      <c r="L810" s="1167" t="e">
        <f t="shared" si="6"/>
        <v>#REF!</v>
      </c>
      <c r="M810" s="1167" t="e">
        <f t="shared" si="6"/>
        <v>#REF!</v>
      </c>
      <c r="N810" s="1167"/>
      <c r="O810" s="1167"/>
    </row>
    <row r="811" spans="1:15" ht="18" x14ac:dyDescent="0.2">
      <c r="A811" s="1199" t="s">
        <v>151</v>
      </c>
      <c r="B811" s="1159"/>
      <c r="C811" s="1160"/>
      <c r="D811" s="1160"/>
      <c r="E811" s="1160"/>
      <c r="F811" s="1160"/>
      <c r="G811" s="1160"/>
      <c r="H811" s="1162" t="s">
        <v>411</v>
      </c>
      <c r="I811" s="1167">
        <f>+I13+I146+I279+I412+I545+I678</f>
        <v>2405.7599999999993</v>
      </c>
      <c r="J811" s="1212"/>
      <c r="K811" s="1213"/>
      <c r="L811" s="1167">
        <f t="shared" si="6"/>
        <v>0</v>
      </c>
      <c r="M811" s="1167" t="e">
        <f t="shared" si="6"/>
        <v>#REF!</v>
      </c>
      <c r="N811" s="1167"/>
      <c r="O811" s="1167"/>
    </row>
    <row r="812" spans="1:15" ht="18" x14ac:dyDescent="0.2">
      <c r="A812" s="1199" t="s">
        <v>151</v>
      </c>
      <c r="B812" s="1164"/>
      <c r="C812" s="1165"/>
      <c r="D812" s="1166" t="s">
        <v>486</v>
      </c>
      <c r="E812" s="1169">
        <f>SUM(E808:E811)</f>
        <v>11920701</v>
      </c>
      <c r="F812" s="1169">
        <f>SUM(F808:F811)</f>
        <v>11699686</v>
      </c>
      <c r="G812" s="1169">
        <f>SUM(G808:G811)</f>
        <v>19812791</v>
      </c>
      <c r="H812" s="1165"/>
      <c r="I812" s="1170">
        <f>SUM(I808:I811)</f>
        <v>10984.630000000001</v>
      </c>
      <c r="J812" s="1214"/>
      <c r="K812" s="1215"/>
      <c r="L812" s="1170" t="e">
        <f>SUM(L808:L811)</f>
        <v>#REF!</v>
      </c>
      <c r="M812" s="1170" t="e">
        <f>SUM(M808:M811)</f>
        <v>#REF!</v>
      </c>
      <c r="N812" s="1170" t="e">
        <f>L812+M812</f>
        <v>#REF!</v>
      </c>
      <c r="O812" s="1177" t="e">
        <f>ROUND(N812/I812*10,2)</f>
        <v>#REF!</v>
      </c>
    </row>
    <row r="813" spans="1:15" ht="18" x14ac:dyDescent="0.2">
      <c r="A813" s="1199" t="s">
        <v>151</v>
      </c>
      <c r="B813" s="1163"/>
      <c r="C813" s="1163"/>
      <c r="D813" s="1163"/>
      <c r="E813" s="1163"/>
      <c r="F813" s="1163"/>
      <c r="G813" s="1163"/>
      <c r="H813" s="1163"/>
      <c r="I813" s="1176"/>
      <c r="J813" s="1212"/>
      <c r="K813" s="1213"/>
      <c r="L813" s="1176"/>
      <c r="M813" s="1176"/>
      <c r="N813" s="1176"/>
      <c r="O813" s="1176"/>
    </row>
    <row r="814" spans="1:15" ht="18" x14ac:dyDescent="0.2">
      <c r="A814" s="1199" t="s">
        <v>151</v>
      </c>
      <c r="B814" s="1159"/>
      <c r="C814" s="1160" t="s">
        <v>555</v>
      </c>
      <c r="D814" s="1160" t="s">
        <v>43</v>
      </c>
      <c r="E814" s="1168">
        <f t="shared" ref="E814:G816" si="7">+E16+E149+E282+E415+E548+E681</f>
        <v>5803201</v>
      </c>
      <c r="F814" s="1168">
        <f t="shared" si="7"/>
        <v>5698551</v>
      </c>
      <c r="G814" s="1168">
        <f t="shared" si="7"/>
        <v>3765111</v>
      </c>
      <c r="H814" s="1162" t="s">
        <v>426</v>
      </c>
      <c r="I814" s="1167">
        <f>+I16+I149+I282+I415+I548+I681</f>
        <v>1404.3100000000002</v>
      </c>
      <c r="J814" s="1212"/>
      <c r="K814" s="1213"/>
      <c r="L814" s="1167" t="e">
        <f t="shared" ref="L814:M817" si="8">+L16+L149+L282+L415+L548+L681</f>
        <v>#REF!</v>
      </c>
      <c r="M814" s="1167" t="e">
        <f t="shared" si="8"/>
        <v>#REF!</v>
      </c>
      <c r="N814" s="1167"/>
      <c r="O814" s="1167"/>
    </row>
    <row r="815" spans="1:15" ht="18" x14ac:dyDescent="0.2">
      <c r="A815" s="1199" t="s">
        <v>151</v>
      </c>
      <c r="B815" s="1159"/>
      <c r="C815" s="1160"/>
      <c r="D815" s="1160" t="s">
        <v>451</v>
      </c>
      <c r="E815" s="1168">
        <f t="shared" si="7"/>
        <v>1606887</v>
      </c>
      <c r="F815" s="1168">
        <f t="shared" si="7"/>
        <v>1582460</v>
      </c>
      <c r="G815" s="1168">
        <f t="shared" si="7"/>
        <v>3393536</v>
      </c>
      <c r="H815" s="1162" t="s">
        <v>432</v>
      </c>
      <c r="I815" s="1167">
        <f>+I17+I150+I283+I416+I549+I682</f>
        <v>864.8</v>
      </c>
      <c r="J815" s="1212"/>
      <c r="K815" s="1213"/>
      <c r="L815" s="1167" t="e">
        <f t="shared" si="8"/>
        <v>#REF!</v>
      </c>
      <c r="M815" s="1167" t="e">
        <f t="shared" si="8"/>
        <v>#REF!</v>
      </c>
      <c r="N815" s="1167"/>
      <c r="O815" s="1167"/>
    </row>
    <row r="816" spans="1:15" ht="18" x14ac:dyDescent="0.2">
      <c r="A816" s="1199" t="s">
        <v>151</v>
      </c>
      <c r="B816" s="1159"/>
      <c r="C816" s="1160"/>
      <c r="D816" s="1160" t="s">
        <v>444</v>
      </c>
      <c r="E816" s="1168">
        <f t="shared" si="7"/>
        <v>230</v>
      </c>
      <c r="F816" s="1168">
        <f t="shared" si="7"/>
        <v>226</v>
      </c>
      <c r="G816" s="1168">
        <f t="shared" si="7"/>
        <v>14690</v>
      </c>
      <c r="H816" s="1162" t="s">
        <v>380</v>
      </c>
      <c r="I816" s="1167">
        <f>+I18+I151+I284+I417+I550+I683</f>
        <v>541.77</v>
      </c>
      <c r="J816" s="1212"/>
      <c r="K816" s="1213"/>
      <c r="L816" s="1167" t="e">
        <f t="shared" si="8"/>
        <v>#REF!</v>
      </c>
      <c r="M816" s="1167" t="e">
        <f t="shared" si="8"/>
        <v>#REF!</v>
      </c>
      <c r="N816" s="1167"/>
      <c r="O816" s="1167"/>
    </row>
    <row r="817" spans="1:15" ht="18" x14ac:dyDescent="0.2">
      <c r="A817" s="1199" t="s">
        <v>151</v>
      </c>
      <c r="B817" s="1159"/>
      <c r="C817" s="1160"/>
      <c r="D817" s="1160"/>
      <c r="E817" s="1160"/>
      <c r="F817" s="1160"/>
      <c r="G817" s="1160"/>
      <c r="H817" s="1162" t="s">
        <v>411</v>
      </c>
      <c r="I817" s="1167">
        <f>+I19+I152+I285+I418+I551+I684</f>
        <v>327.88000000000045</v>
      </c>
      <c r="J817" s="1212"/>
      <c r="K817" s="1213"/>
      <c r="L817" s="1167">
        <f t="shared" si="8"/>
        <v>0</v>
      </c>
      <c r="M817" s="1167" t="e">
        <f t="shared" si="8"/>
        <v>#REF!</v>
      </c>
      <c r="N817" s="1167"/>
      <c r="O817" s="1167"/>
    </row>
    <row r="818" spans="1:15" ht="18" x14ac:dyDescent="0.2">
      <c r="A818" s="1199" t="s">
        <v>151</v>
      </c>
      <c r="B818" s="1164"/>
      <c r="C818" s="1165"/>
      <c r="D818" s="1166" t="s">
        <v>486</v>
      </c>
      <c r="E818" s="1169">
        <f>SUM(E814:E817)</f>
        <v>7410318</v>
      </c>
      <c r="F818" s="1169">
        <f>SUM(F814:F817)</f>
        <v>7281237</v>
      </c>
      <c r="G818" s="1169">
        <f>SUM(G814:G817)</f>
        <v>7173337</v>
      </c>
      <c r="H818" s="1165"/>
      <c r="I818" s="1170">
        <f>SUM(I814:I817)</f>
        <v>3138.7600000000007</v>
      </c>
      <c r="J818" s="1214"/>
      <c r="K818" s="1215"/>
      <c r="L818" s="1170" t="e">
        <f>SUM(L814:L817)</f>
        <v>#REF!</v>
      </c>
      <c r="M818" s="1170" t="e">
        <f>SUM(M814:M817)</f>
        <v>#REF!</v>
      </c>
      <c r="N818" s="1170" t="e">
        <f>L818+M818</f>
        <v>#REF!</v>
      </c>
      <c r="O818" s="1177" t="e">
        <f>ROUND(N818/I818*10,2)</f>
        <v>#REF!</v>
      </c>
    </row>
    <row r="819" spans="1:15" ht="18" x14ac:dyDescent="0.2">
      <c r="A819" s="1199" t="s">
        <v>151</v>
      </c>
      <c r="B819" s="1164">
        <v>2</v>
      </c>
      <c r="C819" s="1165" t="s">
        <v>490</v>
      </c>
      <c r="D819" s="1165"/>
      <c r="E819" s="1169">
        <f>+E812+E818</f>
        <v>19331019</v>
      </c>
      <c r="F819" s="1169">
        <f>+F812+F818</f>
        <v>18980923</v>
      </c>
      <c r="G819" s="1169">
        <f>+G812+G818</f>
        <v>26986128</v>
      </c>
      <c r="H819" s="1165"/>
      <c r="I819" s="1170">
        <f>+I812+I818</f>
        <v>14123.390000000001</v>
      </c>
      <c r="J819" s="1214"/>
      <c r="K819" s="1215"/>
      <c r="L819" s="1170" t="e">
        <f>+L812+L818</f>
        <v>#REF!</v>
      </c>
      <c r="M819" s="1170" t="e">
        <f>+M812+M818</f>
        <v>#REF!</v>
      </c>
      <c r="N819" s="1170" t="e">
        <f>L819+M819</f>
        <v>#REF!</v>
      </c>
      <c r="O819" s="1177" t="e">
        <f>ROUND(N819/I819*10,2)</f>
        <v>#REF!</v>
      </c>
    </row>
    <row r="820" spans="1:15" ht="18" x14ac:dyDescent="0.2">
      <c r="A820" s="1199" t="s">
        <v>151</v>
      </c>
      <c r="B820" s="1163"/>
      <c r="C820" s="1163"/>
      <c r="D820" s="1163"/>
      <c r="E820" s="1163"/>
      <c r="F820" s="1163"/>
      <c r="G820" s="1163"/>
      <c r="H820" s="1163"/>
      <c r="I820" s="1176"/>
      <c r="J820" s="1212"/>
      <c r="K820" s="1213"/>
      <c r="L820" s="1176"/>
      <c r="M820" s="1176"/>
      <c r="N820" s="1176"/>
      <c r="O820" s="1176"/>
    </row>
    <row r="821" spans="1:15" ht="18" x14ac:dyDescent="0.2">
      <c r="A821" s="1199" t="s">
        <v>151</v>
      </c>
      <c r="B821" s="1159"/>
      <c r="C821" s="1160" t="s">
        <v>491</v>
      </c>
      <c r="D821" s="1160" t="s">
        <v>492</v>
      </c>
      <c r="E821" s="1168">
        <f t="shared" ref="E821:G822" si="9">+E23+E156+E289+E422+E555+E688</f>
        <v>22682</v>
      </c>
      <c r="F821" s="1168">
        <f t="shared" si="9"/>
        <v>22367</v>
      </c>
      <c r="G821" s="1168">
        <f t="shared" si="9"/>
        <v>90257</v>
      </c>
      <c r="H821" s="1162" t="s">
        <v>493</v>
      </c>
      <c r="I821" s="1167">
        <f>+I23+I156+I289+I422+I555+I688</f>
        <v>29.919999999999998</v>
      </c>
      <c r="J821" s="1212"/>
      <c r="K821" s="1213"/>
      <c r="L821" s="1167" t="e">
        <f>+L23+L156+L289+L422+L555+L688</f>
        <v>#REF!</v>
      </c>
      <c r="M821" s="1167" t="e">
        <f>+M23+M156+M289+M422+M555+M688</f>
        <v>#REF!</v>
      </c>
      <c r="N821" s="1167"/>
      <c r="O821" s="1167"/>
    </row>
    <row r="822" spans="1:15" ht="18" x14ac:dyDescent="0.2">
      <c r="A822" s="1199" t="s">
        <v>151</v>
      </c>
      <c r="B822" s="1159"/>
      <c r="C822" s="1160"/>
      <c r="D822" s="1160" t="s">
        <v>444</v>
      </c>
      <c r="E822" s="1168">
        <f t="shared" si="9"/>
        <v>2121</v>
      </c>
      <c r="F822" s="1168">
        <f t="shared" si="9"/>
        <v>2092</v>
      </c>
      <c r="G822" s="1168">
        <f t="shared" si="9"/>
        <v>114407</v>
      </c>
      <c r="H822" s="1162" t="s">
        <v>411</v>
      </c>
      <c r="I822" s="1167">
        <f>+I24+I157+I290+I423+I556+I689</f>
        <v>64.88</v>
      </c>
      <c r="J822" s="1212"/>
      <c r="K822" s="1213"/>
      <c r="L822" s="1167" t="e">
        <f>+L24+L157+L290+L423+L556+L689</f>
        <v>#REF!</v>
      </c>
      <c r="M822" s="1167" t="e">
        <f>+M24+M157+M290+M423+M556+M689</f>
        <v>#REF!</v>
      </c>
      <c r="N822" s="1167"/>
      <c r="O822" s="1167"/>
    </row>
    <row r="823" spans="1:15" ht="18" x14ac:dyDescent="0.2">
      <c r="A823" s="1199" t="s">
        <v>151</v>
      </c>
      <c r="B823" s="1159"/>
      <c r="C823" s="1160"/>
      <c r="D823" s="1160" t="s">
        <v>556</v>
      </c>
      <c r="E823" s="1160"/>
      <c r="F823" s="1160"/>
      <c r="G823" s="1160"/>
      <c r="H823" s="1162"/>
      <c r="I823" s="1202"/>
      <c r="J823" s="1216"/>
      <c r="K823" s="1213"/>
      <c r="L823" s="1208"/>
      <c r="M823" s="1167"/>
      <c r="N823" s="1167"/>
      <c r="O823" s="1167"/>
    </row>
    <row r="824" spans="1:15" ht="18" x14ac:dyDescent="0.2">
      <c r="A824" s="1199" t="s">
        <v>151</v>
      </c>
      <c r="B824" s="1164"/>
      <c r="C824" s="1165"/>
      <c r="D824" s="1166" t="s">
        <v>486</v>
      </c>
      <c r="E824" s="1169">
        <f>SUM(E821:E823)</f>
        <v>24803</v>
      </c>
      <c r="F824" s="1169">
        <f>SUM(F821:F823)</f>
        <v>24459</v>
      </c>
      <c r="G824" s="1169">
        <f>SUM(G821:G823)</f>
        <v>204664</v>
      </c>
      <c r="H824" s="1165"/>
      <c r="I824" s="1170">
        <f>SUM(I821:I823)</f>
        <v>94.8</v>
      </c>
      <c r="J824" s="1214"/>
      <c r="K824" s="1215"/>
      <c r="L824" s="1170" t="e">
        <f>SUM(L821:L823)</f>
        <v>#REF!</v>
      </c>
      <c r="M824" s="1170" t="e">
        <f>SUM(M821:M823)</f>
        <v>#REF!</v>
      </c>
      <c r="N824" s="1170" t="e">
        <f>L824+M824</f>
        <v>#REF!</v>
      </c>
      <c r="O824" s="1177" t="e">
        <f>ROUND(N824/I824*10,2)</f>
        <v>#REF!</v>
      </c>
    </row>
    <row r="825" spans="1:15" ht="18" x14ac:dyDescent="0.2">
      <c r="A825" s="1199" t="s">
        <v>151</v>
      </c>
      <c r="B825" s="1163"/>
      <c r="C825" s="1163"/>
      <c r="D825" s="1163"/>
      <c r="E825" s="1163"/>
      <c r="F825" s="1163"/>
      <c r="G825" s="1163"/>
      <c r="H825" s="1163"/>
      <c r="I825" s="1176"/>
      <c r="J825" s="1212"/>
      <c r="K825" s="1213"/>
      <c r="L825" s="1176"/>
      <c r="M825" s="1176"/>
      <c r="N825" s="1176"/>
      <c r="O825" s="1176"/>
    </row>
    <row r="826" spans="1:15" ht="18" x14ac:dyDescent="0.2">
      <c r="A826" s="1199" t="s">
        <v>151</v>
      </c>
      <c r="B826" s="1159"/>
      <c r="C826" s="1160" t="s">
        <v>554</v>
      </c>
      <c r="D826" s="1160" t="s">
        <v>492</v>
      </c>
      <c r="E826" s="1168">
        <f t="shared" ref="E826:G827" si="10">+E28+E161+E294+E427+E560+E693</f>
        <v>10131</v>
      </c>
      <c r="F826" s="1168">
        <f t="shared" si="10"/>
        <v>9988</v>
      </c>
      <c r="G826" s="1168">
        <f t="shared" si="10"/>
        <v>31902</v>
      </c>
      <c r="H826" s="1162" t="s">
        <v>493</v>
      </c>
      <c r="I826" s="1167">
        <f>+I28+I161+I294+I427+I560+I693</f>
        <v>10.370000000000001</v>
      </c>
      <c r="J826" s="1212"/>
      <c r="K826" s="1213"/>
      <c r="L826" s="1167" t="e">
        <f>+L28+L161+L294+L427+L560+L693</f>
        <v>#REF!</v>
      </c>
      <c r="M826" s="1167" t="e">
        <f>+M28+M161+M294+M427+M560+M693</f>
        <v>#REF!</v>
      </c>
      <c r="N826" s="1167"/>
      <c r="O826" s="1167"/>
    </row>
    <row r="827" spans="1:15" ht="18" x14ac:dyDescent="0.2">
      <c r="A827" s="1199" t="s">
        <v>151</v>
      </c>
      <c r="B827" s="1159"/>
      <c r="C827" s="1160"/>
      <c r="D827" s="1160" t="s">
        <v>444</v>
      </c>
      <c r="E827" s="1168">
        <f t="shared" si="10"/>
        <v>915</v>
      </c>
      <c r="F827" s="1168">
        <f t="shared" si="10"/>
        <v>901</v>
      </c>
      <c r="G827" s="1168">
        <f t="shared" si="10"/>
        <v>46196</v>
      </c>
      <c r="H827" s="1162" t="s">
        <v>411</v>
      </c>
      <c r="I827" s="1167">
        <f>+I29+I162+I295+I428+I561+I694</f>
        <v>14.010000000000009</v>
      </c>
      <c r="J827" s="1212"/>
      <c r="K827" s="1213"/>
      <c r="L827" s="1167" t="e">
        <f>+L29+L162+L295+L428+L561+L694</f>
        <v>#REF!</v>
      </c>
      <c r="M827" s="1167" t="e">
        <f>+M29+M162+M295+M428+M561+M694</f>
        <v>#REF!</v>
      </c>
      <c r="N827" s="1167"/>
      <c r="O827" s="1167"/>
    </row>
    <row r="828" spans="1:15" ht="18" x14ac:dyDescent="0.2">
      <c r="A828" s="1199" t="s">
        <v>151</v>
      </c>
      <c r="B828" s="1159"/>
      <c r="C828" s="1160"/>
      <c r="D828" s="1160" t="s">
        <v>556</v>
      </c>
      <c r="E828" s="1160"/>
      <c r="F828" s="1160"/>
      <c r="G828" s="1160"/>
      <c r="H828" s="1162"/>
      <c r="I828" s="1202"/>
      <c r="J828" s="1216"/>
      <c r="K828" s="1213"/>
      <c r="L828" s="1208"/>
      <c r="M828" s="1167"/>
      <c r="N828" s="1167"/>
      <c r="O828" s="1167"/>
    </row>
    <row r="829" spans="1:15" ht="18" x14ac:dyDescent="0.2">
      <c r="A829" s="1199" t="s">
        <v>151</v>
      </c>
      <c r="B829" s="1164"/>
      <c r="C829" s="1165"/>
      <c r="D829" s="1166" t="s">
        <v>486</v>
      </c>
      <c r="E829" s="1169">
        <f>SUM(E826:E828)</f>
        <v>11046</v>
      </c>
      <c r="F829" s="1169">
        <f>SUM(F826:F828)</f>
        <v>10889</v>
      </c>
      <c r="G829" s="1169">
        <f>SUM(G826:G828)</f>
        <v>78098</v>
      </c>
      <c r="H829" s="1165"/>
      <c r="I829" s="1210">
        <f>SUM(I826:I827)</f>
        <v>24.38000000000001</v>
      </c>
      <c r="J829" s="1214"/>
      <c r="K829" s="1215"/>
      <c r="L829" s="1210" t="e">
        <f>SUM(L826:L827)</f>
        <v>#REF!</v>
      </c>
      <c r="M829" s="1170" t="e">
        <f>SUM(M826:M827)</f>
        <v>#REF!</v>
      </c>
      <c r="N829" s="1170" t="e">
        <f>L829+M829</f>
        <v>#REF!</v>
      </c>
      <c r="O829" s="1177" t="e">
        <f>ROUND(N829/I829*10,2)</f>
        <v>#REF!</v>
      </c>
    </row>
    <row r="830" spans="1:15" ht="18" x14ac:dyDescent="0.2">
      <c r="A830" s="1199" t="s">
        <v>151</v>
      </c>
      <c r="B830" s="1164">
        <v>3</v>
      </c>
      <c r="C830" s="1165" t="s">
        <v>553</v>
      </c>
      <c r="D830" s="1165"/>
      <c r="E830" s="1169">
        <f>+E824+E829</f>
        <v>35849</v>
      </c>
      <c r="F830" s="1169">
        <f>+F824+F829</f>
        <v>35348</v>
      </c>
      <c r="G830" s="1169">
        <f>+G824+G829</f>
        <v>282762</v>
      </c>
      <c r="H830" s="1165"/>
      <c r="I830" s="1210">
        <f>I824+I829</f>
        <v>119.18</v>
      </c>
      <c r="J830" s="1214"/>
      <c r="K830" s="1215"/>
      <c r="L830" s="1210" t="e">
        <f>L824+L829</f>
        <v>#REF!</v>
      </c>
      <c r="M830" s="1210" t="e">
        <f>M824+M829</f>
        <v>#REF!</v>
      </c>
      <c r="N830" s="1170" t="e">
        <f>L830+M830</f>
        <v>#REF!</v>
      </c>
      <c r="O830" s="1177" t="e">
        <f>ROUND(N830/I830*10,2)</f>
        <v>#REF!</v>
      </c>
    </row>
    <row r="831" spans="1:15" ht="18" x14ac:dyDescent="0.2">
      <c r="A831" s="1199" t="s">
        <v>151</v>
      </c>
      <c r="B831" s="1163"/>
      <c r="C831" s="1163"/>
      <c r="D831" s="1163"/>
      <c r="E831" s="1163"/>
      <c r="F831" s="1163"/>
      <c r="G831" s="1163"/>
      <c r="H831" s="1163"/>
      <c r="I831" s="1176"/>
      <c r="J831" s="1212"/>
      <c r="K831" s="1213"/>
      <c r="L831" s="1176"/>
      <c r="M831" s="1176"/>
      <c r="N831" s="1176"/>
      <c r="O831" s="1176"/>
    </row>
    <row r="832" spans="1:15" ht="18" x14ac:dyDescent="0.2">
      <c r="A832" s="1199" t="s">
        <v>151</v>
      </c>
      <c r="B832" s="1159"/>
      <c r="C832" s="1160" t="s">
        <v>69</v>
      </c>
      <c r="D832" s="1160" t="s">
        <v>492</v>
      </c>
      <c r="E832" s="1168">
        <f t="shared" ref="E832:G833" si="11">+E34+E167+E300+E433+E566+E699</f>
        <v>2079939</v>
      </c>
      <c r="F832" s="1168">
        <f t="shared" si="11"/>
        <v>2063119</v>
      </c>
      <c r="G832" s="1168">
        <f t="shared" si="11"/>
        <v>4760273</v>
      </c>
      <c r="H832" s="1162" t="s">
        <v>426</v>
      </c>
      <c r="I832" s="1167">
        <f>+I34+I167+I300+I433+I566+I699</f>
        <v>694.62</v>
      </c>
      <c r="J832" s="1212"/>
      <c r="K832" s="1213"/>
      <c r="L832" s="1167" t="e">
        <f>+L34+L167+L300+L433+L566+L699</f>
        <v>#REF!</v>
      </c>
      <c r="M832" s="1167" t="e">
        <f>+M34+M167+M300+M433+M566+M699</f>
        <v>#REF!</v>
      </c>
      <c r="N832" s="1167"/>
      <c r="O832" s="1167"/>
    </row>
    <row r="833" spans="1:15" ht="18" x14ac:dyDescent="0.2">
      <c r="A833" s="1199" t="s">
        <v>151</v>
      </c>
      <c r="B833" s="1159"/>
      <c r="C833" s="1160"/>
      <c r="D833" s="1160" t="s">
        <v>444</v>
      </c>
      <c r="E833" s="1168">
        <f t="shared" si="11"/>
        <v>2132</v>
      </c>
      <c r="F833" s="1168">
        <f t="shared" si="11"/>
        <v>2100</v>
      </c>
      <c r="G833" s="1168">
        <f t="shared" si="11"/>
        <v>218925</v>
      </c>
      <c r="H833" s="1162" t="s">
        <v>558</v>
      </c>
      <c r="I833" s="1167">
        <f>+I35+I168+I301+I434+I567+I700</f>
        <v>2560.0400000000004</v>
      </c>
      <c r="J833" s="1212"/>
      <c r="K833" s="1213"/>
      <c r="L833" s="1167" t="e">
        <f>+L35+L168+L301+L434+L567+L700</f>
        <v>#REF!</v>
      </c>
      <c r="M833" s="1167" t="e">
        <f>+M35+M168+M301+M434+M567+M700</f>
        <v>#REF!</v>
      </c>
      <c r="N833" s="1167"/>
      <c r="O833" s="1167"/>
    </row>
    <row r="834" spans="1:15" ht="18" x14ac:dyDescent="0.2">
      <c r="A834" s="1199" t="s">
        <v>151</v>
      </c>
      <c r="B834" s="1164"/>
      <c r="C834" s="1165"/>
      <c r="D834" s="1166" t="s">
        <v>486</v>
      </c>
      <c r="E834" s="1169">
        <f>SUM(E832:E833)</f>
        <v>2082071</v>
      </c>
      <c r="F834" s="1169">
        <f>SUM(F832:F833)</f>
        <v>2065219</v>
      </c>
      <c r="G834" s="1169">
        <f>SUM(G832:G833)</f>
        <v>4979198</v>
      </c>
      <c r="H834" s="1165"/>
      <c r="I834" s="1210">
        <f>SUM(I832:I833)</f>
        <v>3254.6600000000003</v>
      </c>
      <c r="J834" s="1214"/>
      <c r="K834" s="1215"/>
      <c r="L834" s="1210" t="e">
        <f>SUM(L832:L833)</f>
        <v>#REF!</v>
      </c>
      <c r="M834" s="1210" t="e">
        <f>SUM(M832:M833)</f>
        <v>#REF!</v>
      </c>
      <c r="N834" s="1170" t="e">
        <f>L834+M834</f>
        <v>#REF!</v>
      </c>
      <c r="O834" s="1177" t="e">
        <f>ROUND(N834/I834*10,2)</f>
        <v>#REF!</v>
      </c>
    </row>
    <row r="835" spans="1:15" ht="18" x14ac:dyDescent="0.2">
      <c r="A835" s="1199" t="s">
        <v>151</v>
      </c>
      <c r="B835" s="1163"/>
      <c r="C835" s="1163"/>
      <c r="D835" s="1163"/>
      <c r="E835" s="1163"/>
      <c r="F835" s="1163"/>
      <c r="G835" s="1163"/>
      <c r="H835" s="1163"/>
      <c r="I835" s="1176"/>
      <c r="J835" s="1212"/>
      <c r="K835" s="1213"/>
      <c r="L835" s="1176"/>
      <c r="M835" s="1176"/>
      <c r="N835" s="1176"/>
      <c r="O835" s="1176"/>
    </row>
    <row r="836" spans="1:15" ht="18" x14ac:dyDescent="0.2">
      <c r="A836" s="1199" t="s">
        <v>151</v>
      </c>
      <c r="B836" s="1159"/>
      <c r="C836" s="1160" t="s">
        <v>76</v>
      </c>
      <c r="D836" s="1160" t="s">
        <v>492</v>
      </c>
      <c r="E836" s="1168">
        <f t="shared" ref="E836:G837" si="12">+E38+E171+E304+E437+E570+E703</f>
        <v>642007</v>
      </c>
      <c r="F836" s="1168">
        <f t="shared" si="12"/>
        <v>606793</v>
      </c>
      <c r="G836" s="1168">
        <f t="shared" si="12"/>
        <v>997605</v>
      </c>
      <c r="H836" s="1162" t="s">
        <v>426</v>
      </c>
      <c r="I836" s="1167">
        <f>+I38+I171+I304+I437+I570+I703</f>
        <v>166.81</v>
      </c>
      <c r="J836" s="1212"/>
      <c r="K836" s="1213"/>
      <c r="L836" s="1167" t="e">
        <f>+L38+L171+L304+L437+L570+L703</f>
        <v>#REF!</v>
      </c>
      <c r="M836" s="1167" t="e">
        <f>+M38+M171+M304+M437+M570+M703</f>
        <v>#REF!</v>
      </c>
      <c r="N836" s="1167"/>
      <c r="O836" s="1167"/>
    </row>
    <row r="837" spans="1:15" ht="18" x14ac:dyDescent="0.2">
      <c r="A837" s="1199" t="s">
        <v>151</v>
      </c>
      <c r="B837" s="1159"/>
      <c r="C837" s="1160"/>
      <c r="D837" s="1160" t="s">
        <v>444</v>
      </c>
      <c r="E837" s="1168">
        <f t="shared" si="12"/>
        <v>167</v>
      </c>
      <c r="F837" s="1168">
        <f t="shared" si="12"/>
        <v>175</v>
      </c>
      <c r="G837" s="1168">
        <f t="shared" si="12"/>
        <v>8993</v>
      </c>
      <c r="H837" s="1162" t="s">
        <v>558</v>
      </c>
      <c r="I837" s="1167">
        <f>+I39+I172+I305+I438+I571+I704</f>
        <v>682.36999999999989</v>
      </c>
      <c r="J837" s="1212"/>
      <c r="K837" s="1213"/>
      <c r="L837" s="1167" t="e">
        <f>+L39+L172+L305+L438+L571+L704</f>
        <v>#REF!</v>
      </c>
      <c r="M837" s="1167" t="e">
        <f>+M39+M172+M305+M438+M571+M704</f>
        <v>#REF!</v>
      </c>
      <c r="N837" s="1167"/>
      <c r="O837" s="1167"/>
    </row>
    <row r="838" spans="1:15" ht="18" x14ac:dyDescent="0.2">
      <c r="A838" s="1199" t="s">
        <v>151</v>
      </c>
      <c r="B838" s="1164"/>
      <c r="C838" s="1165"/>
      <c r="D838" s="1166" t="s">
        <v>486</v>
      </c>
      <c r="E838" s="1169">
        <f>SUM(E836:E837)</f>
        <v>642174</v>
      </c>
      <c r="F838" s="1169">
        <f>SUM(F836:F837)</f>
        <v>606968</v>
      </c>
      <c r="G838" s="1169">
        <f>SUM(G836:G837)</f>
        <v>1006598</v>
      </c>
      <c r="H838" s="1165"/>
      <c r="I838" s="1210">
        <f>SUM(I836:I837)</f>
        <v>849.17999999999984</v>
      </c>
      <c r="J838" s="1214"/>
      <c r="K838" s="1215"/>
      <c r="L838" s="1210" t="e">
        <f>SUM(L836:L837)</f>
        <v>#REF!</v>
      </c>
      <c r="M838" s="1210" t="e">
        <f>SUM(M836:M837)</f>
        <v>#REF!</v>
      </c>
      <c r="N838" s="1170" t="e">
        <f>L838+M838</f>
        <v>#REF!</v>
      </c>
      <c r="O838" s="1177" t="e">
        <f>ROUND(N838/I838*10,2)</f>
        <v>#REF!</v>
      </c>
    </row>
    <row r="839" spans="1:15" ht="18" x14ac:dyDescent="0.2">
      <c r="A839" s="1199" t="s">
        <v>151</v>
      </c>
      <c r="B839" s="1164">
        <v>4</v>
      </c>
      <c r="C839" s="1165" t="s">
        <v>557</v>
      </c>
      <c r="D839" s="1165"/>
      <c r="E839" s="1169">
        <f>+E834+E838</f>
        <v>2724245</v>
      </c>
      <c r="F839" s="1169">
        <f>+F834+F838</f>
        <v>2672187</v>
      </c>
      <c r="G839" s="1169">
        <f>+G834+G838</f>
        <v>5985796</v>
      </c>
      <c r="H839" s="1165"/>
      <c r="I839" s="1170">
        <f>+I834+I838</f>
        <v>4103.84</v>
      </c>
      <c r="J839" s="1214"/>
      <c r="K839" s="1215"/>
      <c r="L839" s="1170" t="e">
        <f>+L834+L838</f>
        <v>#REF!</v>
      </c>
      <c r="M839" s="1170" t="e">
        <f>+M834+M838</f>
        <v>#REF!</v>
      </c>
      <c r="N839" s="1170" t="e">
        <f>L839+M839</f>
        <v>#REF!</v>
      </c>
      <c r="O839" s="1177" t="e">
        <f>ROUND(N839/I839*10,2)</f>
        <v>#REF!</v>
      </c>
    </row>
    <row r="840" spans="1:15" ht="18" x14ac:dyDescent="0.2">
      <c r="A840" s="1199" t="s">
        <v>151</v>
      </c>
      <c r="B840" s="1163"/>
      <c r="C840" s="1163"/>
      <c r="D840" s="1163"/>
      <c r="E840" s="1163"/>
      <c r="F840" s="1163"/>
      <c r="G840" s="1163"/>
      <c r="H840" s="1163"/>
      <c r="I840" s="1176"/>
      <c r="J840" s="1212"/>
      <c r="K840" s="1213"/>
      <c r="L840" s="1176"/>
      <c r="M840" s="1176"/>
      <c r="N840" s="1176"/>
      <c r="O840" s="1176"/>
    </row>
    <row r="841" spans="1:15" ht="18" x14ac:dyDescent="0.2">
      <c r="A841" s="1199" t="s">
        <v>151</v>
      </c>
      <c r="B841" s="1159"/>
      <c r="C841" s="1160" t="s">
        <v>559</v>
      </c>
      <c r="D841" s="1160" t="s">
        <v>560</v>
      </c>
      <c r="E841" s="1168">
        <f t="shared" ref="E841:G843" si="13">+E43+E176+E309+E442+E575+E708</f>
        <v>3451304</v>
      </c>
      <c r="F841" s="1168">
        <f t="shared" si="13"/>
        <v>3410924</v>
      </c>
      <c r="G841" s="1168">
        <f t="shared" si="13"/>
        <v>20044155</v>
      </c>
      <c r="H841" s="1162" t="s">
        <v>561</v>
      </c>
      <c r="I841" s="1167">
        <f>+I43+I176+I309+I442+I575+I708</f>
        <v>21615.02</v>
      </c>
      <c r="J841" s="1212"/>
      <c r="K841" s="1213"/>
      <c r="L841" s="1167">
        <f t="shared" ref="L841:M843" si="14">+L43+L176+L309+L442+L575+L708</f>
        <v>0</v>
      </c>
      <c r="M841" s="1167" t="e">
        <f t="shared" si="14"/>
        <v>#REF!</v>
      </c>
      <c r="N841" s="1167" t="e">
        <f>L841+M841</f>
        <v>#REF!</v>
      </c>
      <c r="O841" s="1192" t="e">
        <f>ROUND(N841/I841*10,2)</f>
        <v>#REF!</v>
      </c>
    </row>
    <row r="842" spans="1:15" ht="18" x14ac:dyDescent="0.2">
      <c r="A842" s="1199" t="s">
        <v>151</v>
      </c>
      <c r="B842" s="1159"/>
      <c r="C842" s="1160" t="s">
        <v>562</v>
      </c>
      <c r="D842" s="1160" t="s">
        <v>563</v>
      </c>
      <c r="E842" s="1168">
        <f t="shared" si="13"/>
        <v>4382</v>
      </c>
      <c r="F842" s="1168">
        <f t="shared" si="13"/>
        <v>4322</v>
      </c>
      <c r="G842" s="1168">
        <f t="shared" si="13"/>
        <v>79394</v>
      </c>
      <c r="H842" s="1162" t="s">
        <v>561</v>
      </c>
      <c r="I842" s="1167">
        <f>+I44+I177+I310+I443+I576+I709</f>
        <v>26.34</v>
      </c>
      <c r="J842" s="1212"/>
      <c r="K842" s="1213"/>
      <c r="L842" s="1167" t="e">
        <f t="shared" si="14"/>
        <v>#REF!</v>
      </c>
      <c r="M842" s="1167" t="e">
        <f t="shared" si="14"/>
        <v>#REF!</v>
      </c>
      <c r="N842" s="1167" t="e">
        <f>L842+M842</f>
        <v>#REF!</v>
      </c>
      <c r="O842" s="1192" t="e">
        <f>ROUND(N842/I842*10,2)</f>
        <v>#REF!</v>
      </c>
    </row>
    <row r="843" spans="1:15" ht="18" x14ac:dyDescent="0.2">
      <c r="A843" s="1199" t="s">
        <v>151</v>
      </c>
      <c r="B843" s="1159"/>
      <c r="C843" s="1160" t="s">
        <v>564</v>
      </c>
      <c r="D843" s="1160" t="s">
        <v>565</v>
      </c>
      <c r="E843" s="1168">
        <f t="shared" si="13"/>
        <v>22193</v>
      </c>
      <c r="F843" s="1168">
        <f t="shared" si="13"/>
        <v>21329</v>
      </c>
      <c r="G843" s="1168">
        <f t="shared" si="13"/>
        <v>164185</v>
      </c>
      <c r="H843" s="1162" t="s">
        <v>561</v>
      </c>
      <c r="I843" s="1167">
        <f>+I45+I178+I311+I444+I577+I710</f>
        <v>42.310999999999993</v>
      </c>
      <c r="J843" s="1212"/>
      <c r="K843" s="1213"/>
      <c r="L843" s="1167" t="e">
        <f t="shared" si="14"/>
        <v>#REF!</v>
      </c>
      <c r="M843" s="1167" t="e">
        <f t="shared" si="14"/>
        <v>#REF!</v>
      </c>
      <c r="N843" s="1167" t="e">
        <f>L843+M843</f>
        <v>#REF!</v>
      </c>
      <c r="O843" s="1192" t="e">
        <f>ROUND(N843/I843*10,2)</f>
        <v>#REF!</v>
      </c>
    </row>
    <row r="844" spans="1:15" ht="18" x14ac:dyDescent="0.2">
      <c r="A844" s="1199" t="s">
        <v>151</v>
      </c>
      <c r="B844" s="1164">
        <v>5</v>
      </c>
      <c r="C844" s="1165" t="s">
        <v>566</v>
      </c>
      <c r="D844" s="1165"/>
      <c r="E844" s="1169">
        <f>SUM(E841:E843)</f>
        <v>3477879</v>
      </c>
      <c r="F844" s="1169">
        <f>SUM(F841:F843)</f>
        <v>3436575</v>
      </c>
      <c r="G844" s="1169">
        <f>SUM(G841:G843)</f>
        <v>20287734</v>
      </c>
      <c r="H844" s="1165"/>
      <c r="I844" s="1204">
        <f>SUM(I841:I843)</f>
        <v>21683.671000000002</v>
      </c>
      <c r="J844" s="1214"/>
      <c r="K844" s="1215"/>
      <c r="L844" s="1210" t="e">
        <f>SUM(L841:L843)</f>
        <v>#REF!</v>
      </c>
      <c r="M844" s="1170" t="e">
        <f>SUM(M841:M843)</f>
        <v>#REF!</v>
      </c>
      <c r="N844" s="1170" t="e">
        <f>SUM(N841:N843)</f>
        <v>#REF!</v>
      </c>
      <c r="O844" s="1177" t="e">
        <f>ROUND(N844/I844*10,2)</f>
        <v>#REF!</v>
      </c>
    </row>
    <row r="845" spans="1:15" ht="18" x14ac:dyDescent="0.2">
      <c r="A845" s="1199" t="s">
        <v>151</v>
      </c>
      <c r="B845" s="1163"/>
      <c r="C845" s="1163"/>
      <c r="D845" s="1163"/>
      <c r="E845" s="1163"/>
      <c r="F845" s="1163"/>
      <c r="G845" s="1163"/>
      <c r="H845" s="1163"/>
      <c r="I845" s="1176"/>
      <c r="J845" s="1212"/>
      <c r="K845" s="1213"/>
      <c r="L845" s="1176"/>
      <c r="M845" s="1176"/>
      <c r="N845" s="1176"/>
      <c r="O845" s="1176"/>
    </row>
    <row r="846" spans="1:15" ht="18" x14ac:dyDescent="0.2">
      <c r="A846" s="1199" t="s">
        <v>151</v>
      </c>
      <c r="B846" s="1159"/>
      <c r="C846" s="1160" t="s">
        <v>9</v>
      </c>
      <c r="D846" s="1160" t="s">
        <v>568</v>
      </c>
      <c r="E846" s="1168">
        <f t="shared" ref="E846:G850" si="15">+E48+E181+E314+E447+E580+E713</f>
        <v>86327</v>
      </c>
      <c r="F846" s="1168">
        <f t="shared" si="15"/>
        <v>84758</v>
      </c>
      <c r="G846" s="1168">
        <f t="shared" si="15"/>
        <v>260095</v>
      </c>
      <c r="H846" s="1162" t="s">
        <v>573</v>
      </c>
      <c r="I846" s="1167">
        <f>+I48+I181+I314+I447+I580+I713</f>
        <v>323.86999999999995</v>
      </c>
      <c r="J846" s="1212"/>
      <c r="K846" s="1213"/>
      <c r="L846" s="1167" t="e">
        <f t="shared" ref="L846:M848" si="16">+L48+L181+L314+L447+L580+L713</f>
        <v>#REF!</v>
      </c>
      <c r="M846" s="1167" t="e">
        <f t="shared" si="16"/>
        <v>#REF!</v>
      </c>
      <c r="N846" s="1167"/>
      <c r="O846" s="1167"/>
    </row>
    <row r="847" spans="1:15" ht="18" x14ac:dyDescent="0.2">
      <c r="A847" s="1199" t="s">
        <v>151</v>
      </c>
      <c r="B847" s="1159"/>
      <c r="C847" s="1160"/>
      <c r="D847" s="1160" t="s">
        <v>569</v>
      </c>
      <c r="E847" s="1168">
        <f t="shared" si="15"/>
        <v>114550</v>
      </c>
      <c r="F847" s="1168">
        <f t="shared" si="15"/>
        <v>112520</v>
      </c>
      <c r="G847" s="1168">
        <f t="shared" si="15"/>
        <v>1385061</v>
      </c>
      <c r="H847" s="1162" t="s">
        <v>574</v>
      </c>
      <c r="I847" s="1167">
        <f>+I49+I182+I315+I448+I581+I714</f>
        <v>856.58</v>
      </c>
      <c r="J847" s="1212"/>
      <c r="K847" s="1213"/>
      <c r="L847" s="1167" t="e">
        <f>+L49+L182+L315+L448+L581+L714</f>
        <v>#REF!</v>
      </c>
      <c r="M847" s="1167" t="e">
        <f t="shared" si="16"/>
        <v>#REF!</v>
      </c>
      <c r="N847" s="1167"/>
      <c r="O847" s="1167"/>
    </row>
    <row r="848" spans="1:15" ht="18" x14ac:dyDescent="0.2">
      <c r="A848" s="1199" t="s">
        <v>151</v>
      </c>
      <c r="B848" s="1159"/>
      <c r="C848" s="1160"/>
      <c r="D848" s="1160" t="s">
        <v>570</v>
      </c>
      <c r="E848" s="1168">
        <f t="shared" si="15"/>
        <v>20905</v>
      </c>
      <c r="F848" s="1168">
        <f t="shared" si="15"/>
        <v>20536</v>
      </c>
      <c r="G848" s="1168">
        <f t="shared" si="15"/>
        <v>1002474</v>
      </c>
      <c r="H848" s="1162" t="s">
        <v>575</v>
      </c>
      <c r="I848" s="1167">
        <f>+I50+I183+I316+I449+I582+I715</f>
        <v>93.570000000000007</v>
      </c>
      <c r="J848" s="1212"/>
      <c r="K848" s="1213"/>
      <c r="L848" s="1167" t="e">
        <f>+L50+L183+L316+L449+L582+L715</f>
        <v>#REF!</v>
      </c>
      <c r="M848" s="1167" t="e">
        <f t="shared" si="16"/>
        <v>#REF!</v>
      </c>
      <c r="N848" s="1167"/>
      <c r="O848" s="1167"/>
    </row>
    <row r="849" spans="1:15" ht="18" x14ac:dyDescent="0.2">
      <c r="A849" s="1199" t="s">
        <v>151</v>
      </c>
      <c r="B849" s="1159"/>
      <c r="C849" s="1160"/>
      <c r="D849" s="1160" t="s">
        <v>571</v>
      </c>
      <c r="E849" s="1168">
        <f t="shared" si="15"/>
        <v>3630</v>
      </c>
      <c r="F849" s="1168">
        <f t="shared" si="15"/>
        <v>3564</v>
      </c>
      <c r="G849" s="1168">
        <f t="shared" si="15"/>
        <v>289263</v>
      </c>
      <c r="H849" s="1162"/>
      <c r="I849" s="1202"/>
      <c r="J849" s="1212"/>
      <c r="K849" s="1213"/>
      <c r="L849" s="1167" t="e">
        <f>+L51+L184+L317+L450+L583+L716</f>
        <v>#REF!</v>
      </c>
      <c r="M849" s="1167"/>
      <c r="N849" s="1167"/>
      <c r="O849" s="1167"/>
    </row>
    <row r="850" spans="1:15" ht="18" x14ac:dyDescent="0.2">
      <c r="A850" s="1199" t="s">
        <v>151</v>
      </c>
      <c r="B850" s="1159"/>
      <c r="C850" s="1160"/>
      <c r="D850" s="1160" t="s">
        <v>572</v>
      </c>
      <c r="E850" s="1168">
        <f t="shared" si="15"/>
        <v>18</v>
      </c>
      <c r="F850" s="1168">
        <f t="shared" si="15"/>
        <v>19</v>
      </c>
      <c r="G850" s="1168">
        <f t="shared" si="15"/>
        <v>2892</v>
      </c>
      <c r="H850" s="1162"/>
      <c r="I850" s="1202"/>
      <c r="J850" s="1212"/>
      <c r="K850" s="1213"/>
      <c r="L850" s="1167" t="e">
        <f>+L52+L185+L318+L451+L584+L717</f>
        <v>#REF!</v>
      </c>
      <c r="M850" s="1167"/>
      <c r="N850" s="1167"/>
      <c r="O850" s="1167"/>
    </row>
    <row r="851" spans="1:15" ht="18" x14ac:dyDescent="0.2">
      <c r="A851" s="1199" t="s">
        <v>151</v>
      </c>
      <c r="B851" s="1164"/>
      <c r="C851" s="1165"/>
      <c r="D851" s="1166" t="s">
        <v>486</v>
      </c>
      <c r="E851" s="1169">
        <f>SUM(E846:E850)</f>
        <v>225430</v>
      </c>
      <c r="F851" s="1169">
        <f>SUM(F846:F850)</f>
        <v>221397</v>
      </c>
      <c r="G851" s="1169">
        <f>SUM(G846:G850)</f>
        <v>2939785</v>
      </c>
      <c r="H851" s="1165"/>
      <c r="I851" s="1170">
        <f>SUM(I846:I850)</f>
        <v>1274.02</v>
      </c>
      <c r="J851" s="1214"/>
      <c r="K851" s="1215"/>
      <c r="L851" s="1170" t="e">
        <f>SUM(L846:L850)</f>
        <v>#REF!</v>
      </c>
      <c r="M851" s="1170" t="e">
        <f>SUM(M846:M850)</f>
        <v>#REF!</v>
      </c>
      <c r="N851" s="1170" t="e">
        <f>L851+M851</f>
        <v>#REF!</v>
      </c>
      <c r="O851" s="1177" t="e">
        <f>ROUND(N851/I851*10,2)</f>
        <v>#REF!</v>
      </c>
    </row>
    <row r="852" spans="1:15" ht="18" x14ac:dyDescent="0.2">
      <c r="A852" s="1199" t="s">
        <v>151</v>
      </c>
      <c r="B852" s="1163"/>
      <c r="C852" s="1163"/>
      <c r="D852" s="1163"/>
      <c r="E852" s="1163"/>
      <c r="F852" s="1163"/>
      <c r="G852" s="1163"/>
      <c r="H852" s="1163"/>
      <c r="I852" s="1176"/>
      <c r="J852" s="1212"/>
      <c r="K852" s="1213"/>
      <c r="L852" s="1176"/>
      <c r="M852" s="1176"/>
      <c r="N852" s="1176"/>
      <c r="O852" s="1176"/>
    </row>
    <row r="853" spans="1:15" ht="18" x14ac:dyDescent="0.2">
      <c r="A853" s="1199" t="s">
        <v>151</v>
      </c>
      <c r="B853" s="1159"/>
      <c r="C853" s="1160" t="s">
        <v>11</v>
      </c>
      <c r="D853" s="1160" t="s">
        <v>568</v>
      </c>
      <c r="E853" s="1168">
        <f t="shared" ref="E853:G857" si="17">+E55+E188+E321+E454+E587+E720</f>
        <v>184356</v>
      </c>
      <c r="F853" s="1168">
        <f t="shared" si="17"/>
        <v>180910</v>
      </c>
      <c r="G853" s="1168">
        <f t="shared" si="17"/>
        <v>401318</v>
      </c>
      <c r="H853" s="1162" t="s">
        <v>573</v>
      </c>
      <c r="I853" s="1167">
        <f>+I55+I188+I321+I454+I587+I720</f>
        <v>332.00000000000006</v>
      </c>
      <c r="J853" s="1212"/>
      <c r="K853" s="1213"/>
      <c r="L853" s="1167" t="e">
        <f t="shared" ref="L853:M857" si="18">+L55+L188+L321+L454+L587+L720</f>
        <v>#REF!</v>
      </c>
      <c r="M853" s="1167" t="e">
        <f t="shared" si="18"/>
        <v>#REF!</v>
      </c>
      <c r="N853" s="1167"/>
      <c r="O853" s="1167"/>
    </row>
    <row r="854" spans="1:15" ht="18" x14ac:dyDescent="0.2">
      <c r="A854" s="1199" t="s">
        <v>151</v>
      </c>
      <c r="B854" s="1159"/>
      <c r="C854" s="1160"/>
      <c r="D854" s="1160" t="s">
        <v>569</v>
      </c>
      <c r="E854" s="1168">
        <f t="shared" si="17"/>
        <v>133057</v>
      </c>
      <c r="F854" s="1168">
        <f t="shared" si="17"/>
        <v>130554</v>
      </c>
      <c r="G854" s="1168">
        <f t="shared" si="17"/>
        <v>1585611</v>
      </c>
      <c r="H854" s="1162" t="s">
        <v>574</v>
      </c>
      <c r="I854" s="1167">
        <f>+I56+I189+I322+I455+I588+I721</f>
        <v>242.92000000000002</v>
      </c>
      <c r="J854" s="1212"/>
      <c r="K854" s="1213"/>
      <c r="L854" s="1167" t="e">
        <f t="shared" si="18"/>
        <v>#REF!</v>
      </c>
      <c r="M854" s="1167" t="e">
        <f t="shared" si="18"/>
        <v>#REF!</v>
      </c>
      <c r="N854" s="1167"/>
      <c r="O854" s="1167"/>
    </row>
    <row r="855" spans="1:15" ht="18" x14ac:dyDescent="0.2">
      <c r="A855" s="1199" t="s">
        <v>151</v>
      </c>
      <c r="B855" s="1159"/>
      <c r="C855" s="1160"/>
      <c r="D855" s="1160" t="s">
        <v>570</v>
      </c>
      <c r="E855" s="1168">
        <f t="shared" si="17"/>
        <v>20742</v>
      </c>
      <c r="F855" s="1168">
        <f t="shared" si="17"/>
        <v>20352</v>
      </c>
      <c r="G855" s="1168">
        <f t="shared" si="17"/>
        <v>1030043</v>
      </c>
      <c r="H855" s="1162" t="s">
        <v>575</v>
      </c>
      <c r="I855" s="1167">
        <f>+I57+I190+I323+I456+I589+I722</f>
        <v>398.38999999999987</v>
      </c>
      <c r="J855" s="1212"/>
      <c r="K855" s="1213"/>
      <c r="L855" s="1167" t="e">
        <f t="shared" si="18"/>
        <v>#REF!</v>
      </c>
      <c r="M855" s="1167" t="e">
        <f t="shared" si="18"/>
        <v>#REF!</v>
      </c>
      <c r="N855" s="1167"/>
      <c r="O855" s="1167"/>
    </row>
    <row r="856" spans="1:15" ht="18" x14ac:dyDescent="0.2">
      <c r="A856" s="1199" t="s">
        <v>151</v>
      </c>
      <c r="B856" s="1159"/>
      <c r="C856" s="1160"/>
      <c r="D856" s="1160" t="s">
        <v>571</v>
      </c>
      <c r="E856" s="1168">
        <f t="shared" si="17"/>
        <v>4312</v>
      </c>
      <c r="F856" s="1168">
        <f t="shared" si="17"/>
        <v>4229</v>
      </c>
      <c r="G856" s="1168">
        <f t="shared" si="17"/>
        <v>301802</v>
      </c>
      <c r="H856" s="1162"/>
      <c r="I856" s="1202"/>
      <c r="J856" s="1212"/>
      <c r="K856" s="1213"/>
      <c r="L856" s="1167" t="e">
        <f t="shared" si="18"/>
        <v>#REF!</v>
      </c>
      <c r="M856" s="1167"/>
      <c r="N856" s="1167"/>
      <c r="O856" s="1167"/>
    </row>
    <row r="857" spans="1:15" ht="18" x14ac:dyDescent="0.2">
      <c r="A857" s="1199" t="s">
        <v>151</v>
      </c>
      <c r="B857" s="1159"/>
      <c r="C857" s="1160"/>
      <c r="D857" s="1160" t="s">
        <v>572</v>
      </c>
      <c r="E857" s="1168">
        <f t="shared" si="17"/>
        <v>114</v>
      </c>
      <c r="F857" s="1168">
        <f t="shared" si="17"/>
        <v>113</v>
      </c>
      <c r="G857" s="1168">
        <f t="shared" si="17"/>
        <v>14215</v>
      </c>
      <c r="H857" s="1162"/>
      <c r="I857" s="1202"/>
      <c r="J857" s="1212"/>
      <c r="K857" s="1213"/>
      <c r="L857" s="1167" t="e">
        <f t="shared" si="18"/>
        <v>#REF!</v>
      </c>
      <c r="M857" s="1167"/>
      <c r="N857" s="1167"/>
      <c r="O857" s="1167"/>
    </row>
    <row r="858" spans="1:15" ht="18" x14ac:dyDescent="0.2">
      <c r="A858" s="1199" t="s">
        <v>151</v>
      </c>
      <c r="B858" s="1164"/>
      <c r="C858" s="1165"/>
      <c r="D858" s="1166" t="s">
        <v>486</v>
      </c>
      <c r="E858" s="1169">
        <f>SUM(E853:E857)</f>
        <v>342581</v>
      </c>
      <c r="F858" s="1169">
        <f>SUM(F853:F857)</f>
        <v>336158</v>
      </c>
      <c r="G858" s="1169">
        <f>SUM(G853:G857)</f>
        <v>3332989</v>
      </c>
      <c r="H858" s="1165"/>
      <c r="I858" s="1170">
        <f>SUM(I853:I857)</f>
        <v>973.31</v>
      </c>
      <c r="J858" s="1214"/>
      <c r="K858" s="1215"/>
      <c r="L858" s="1170" t="e">
        <f>SUM(L853:L857)</f>
        <v>#REF!</v>
      </c>
      <c r="M858" s="1170" t="e">
        <f>SUM(M853:M857)</f>
        <v>#REF!</v>
      </c>
      <c r="N858" s="1170" t="e">
        <f>L858+M858</f>
        <v>#REF!</v>
      </c>
      <c r="O858" s="1177" t="e">
        <f>ROUND(N858/I858*10,2)</f>
        <v>#REF!</v>
      </c>
    </row>
    <row r="859" spans="1:15" ht="18" x14ac:dyDescent="0.2">
      <c r="A859" s="1199" t="s">
        <v>151</v>
      </c>
      <c r="B859" s="1164">
        <v>6</v>
      </c>
      <c r="C859" s="1165" t="s">
        <v>567</v>
      </c>
      <c r="D859" s="1165"/>
      <c r="E859" s="1169">
        <f>+E851+E858</f>
        <v>568011</v>
      </c>
      <c r="F859" s="1169">
        <f>+F851+F858</f>
        <v>557555</v>
      </c>
      <c r="G859" s="1169">
        <f>+G851+G858</f>
        <v>6272774</v>
      </c>
      <c r="H859" s="1165"/>
      <c r="I859" s="1170">
        <f>+I851+I858</f>
        <v>2247.33</v>
      </c>
      <c r="J859" s="1214"/>
      <c r="K859" s="1215"/>
      <c r="L859" s="1170" t="e">
        <f>+L851+L858</f>
        <v>#REF!</v>
      </c>
      <c r="M859" s="1170" t="e">
        <f>+M851+M858</f>
        <v>#REF!</v>
      </c>
      <c r="N859" s="1170" t="e">
        <f>L859+M859</f>
        <v>#REF!</v>
      </c>
      <c r="O859" s="1177" t="e">
        <f>ROUND(N859/I859*10,2)</f>
        <v>#REF!</v>
      </c>
    </row>
    <row r="860" spans="1:15" ht="18" x14ac:dyDescent="0.2">
      <c r="A860" s="1199" t="s">
        <v>151</v>
      </c>
      <c r="B860" s="1163"/>
      <c r="C860" s="1163"/>
      <c r="D860" s="1163"/>
      <c r="E860" s="1163"/>
      <c r="F860" s="1163"/>
      <c r="G860" s="1163"/>
      <c r="H860" s="1163"/>
      <c r="I860" s="1176"/>
      <c r="J860" s="1212"/>
      <c r="K860" s="1213"/>
      <c r="L860" s="1176"/>
      <c r="M860" s="1176"/>
      <c r="N860" s="1176"/>
      <c r="O860" s="1176"/>
    </row>
    <row r="861" spans="1:15" ht="18" x14ac:dyDescent="0.2">
      <c r="A861" s="1199" t="s">
        <v>151</v>
      </c>
      <c r="B861" s="1159"/>
      <c r="C861" s="1160" t="s">
        <v>512</v>
      </c>
      <c r="D861" s="1160" t="s">
        <v>578</v>
      </c>
      <c r="E861" s="1168">
        <f>+E63+E196+E329+E462+E595+E728</f>
        <v>241615</v>
      </c>
      <c r="F861" s="1168">
        <f>+F63+F196+F329+F462+F595+F728</f>
        <v>235872</v>
      </c>
      <c r="G861" s="1168">
        <f>+G63+G196+G329+G462+G595+G728</f>
        <v>2756989</v>
      </c>
      <c r="H861" s="1162" t="s">
        <v>561</v>
      </c>
      <c r="I861" s="1167">
        <f>+I63+I196+I329+I462+I595+I728</f>
        <v>2918.45</v>
      </c>
      <c r="J861" s="1212"/>
      <c r="K861" s="1213"/>
      <c r="L861" s="1167" t="e">
        <f>+L63+L196+L329+L462+L595+L728</f>
        <v>#REF!</v>
      </c>
      <c r="M861" s="1167" t="e">
        <f>+M63+M196+M329+M462+M595+M728</f>
        <v>#REF!</v>
      </c>
      <c r="N861" s="1167" t="e">
        <f>L861+M861</f>
        <v>#REF!</v>
      </c>
      <c r="O861" s="1192"/>
    </row>
    <row r="862" spans="1:15" ht="18" x14ac:dyDescent="0.2">
      <c r="A862" s="1199" t="s">
        <v>151</v>
      </c>
      <c r="B862" s="1159"/>
      <c r="C862" s="1160"/>
      <c r="D862" s="1160" t="s">
        <v>579</v>
      </c>
      <c r="E862" s="1168"/>
      <c r="F862" s="1168"/>
      <c r="G862" s="1160"/>
      <c r="H862" s="1162"/>
      <c r="I862" s="1202"/>
      <c r="J862" s="1212"/>
      <c r="K862" s="1213"/>
      <c r="L862" s="1208"/>
      <c r="M862" s="1167"/>
      <c r="N862" s="1167"/>
      <c r="O862" s="1192"/>
    </row>
    <row r="863" spans="1:15" ht="18" x14ac:dyDescent="0.2">
      <c r="A863" s="1199" t="s">
        <v>151</v>
      </c>
      <c r="B863" s="1164"/>
      <c r="C863" s="1165"/>
      <c r="D863" s="1166" t="s">
        <v>486</v>
      </c>
      <c r="E863" s="1169">
        <f>SUM(E861:E862)</f>
        <v>241615</v>
      </c>
      <c r="F863" s="1169">
        <f>SUM(F861:F862)</f>
        <v>235872</v>
      </c>
      <c r="G863" s="1169">
        <f>SUM(G861:G862)</f>
        <v>2756989</v>
      </c>
      <c r="H863" s="1165"/>
      <c r="I863" s="1204">
        <f>SUM(I861:I862)</f>
        <v>2918.45</v>
      </c>
      <c r="J863" s="1214"/>
      <c r="K863" s="1215"/>
      <c r="L863" s="1210" t="e">
        <f>SUM(L861:L862)</f>
        <v>#REF!</v>
      </c>
      <c r="M863" s="1170" t="e">
        <f>SUM(M861:M862)</f>
        <v>#REF!</v>
      </c>
      <c r="N863" s="1170" t="e">
        <f>L863+M863</f>
        <v>#REF!</v>
      </c>
      <c r="O863" s="1177" t="e">
        <f>ROUND(N863/I863*10,2)</f>
        <v>#REF!</v>
      </c>
    </row>
    <row r="864" spans="1:15" ht="18" x14ac:dyDescent="0.2">
      <c r="A864" s="1199" t="s">
        <v>151</v>
      </c>
      <c r="B864" s="1163"/>
      <c r="C864" s="1163"/>
      <c r="D864" s="1163"/>
      <c r="E864" s="1163"/>
      <c r="F864" s="1163"/>
      <c r="G864" s="1163"/>
      <c r="H864" s="1163"/>
      <c r="I864" s="1176"/>
      <c r="J864" s="1212"/>
      <c r="K864" s="1213"/>
      <c r="L864" s="1176"/>
      <c r="M864" s="1176"/>
      <c r="N864" s="1176"/>
      <c r="O864" s="1176"/>
    </row>
    <row r="865" spans="1:15" ht="18" x14ac:dyDescent="0.2">
      <c r="A865" s="1199" t="s">
        <v>151</v>
      </c>
      <c r="B865" s="1159"/>
      <c r="C865" s="1160" t="s">
        <v>513</v>
      </c>
      <c r="D865" s="1160" t="s">
        <v>580</v>
      </c>
      <c r="E865" s="1168">
        <f>+E67+E200+E333+E466+E599+E732</f>
        <v>201640</v>
      </c>
      <c r="F865" s="1168">
        <f>+F67+F200+F333+F466+F599+F732</f>
        <v>195929</v>
      </c>
      <c r="G865" s="1168">
        <f>+G67+G200+G333+G466+G599+G732</f>
        <v>859389</v>
      </c>
      <c r="H865" s="1162" t="s">
        <v>561</v>
      </c>
      <c r="I865" s="1167">
        <f>+I67+I200+I333+I466+I599+I732</f>
        <v>1290.8400000000001</v>
      </c>
      <c r="J865" s="1212"/>
      <c r="K865" s="1213"/>
      <c r="L865" s="1167" t="e">
        <f>+L67+L200+L333+L466+L599+L732</f>
        <v>#REF!</v>
      </c>
      <c r="M865" s="1167" t="e">
        <f>+M67+M200+M333+M466+M599+M732</f>
        <v>#REF!</v>
      </c>
      <c r="N865" s="1167" t="e">
        <f>L865+M865</f>
        <v>#REF!</v>
      </c>
      <c r="O865" s="1192" t="e">
        <f>ROUND(N865/I865*10,2)</f>
        <v>#REF!</v>
      </c>
    </row>
    <row r="866" spans="1:15" ht="18" x14ac:dyDescent="0.2">
      <c r="A866" s="1199" t="s">
        <v>151</v>
      </c>
      <c r="B866" s="1163"/>
      <c r="C866" s="1163"/>
      <c r="D866" s="1163"/>
      <c r="E866" s="1163"/>
      <c r="F866" s="1163"/>
      <c r="G866" s="1163"/>
      <c r="H866" s="1163"/>
      <c r="I866" s="1176"/>
      <c r="J866" s="1212"/>
      <c r="K866" s="1213"/>
      <c r="L866" s="1176"/>
      <c r="M866" s="1176"/>
      <c r="N866" s="1176"/>
      <c r="O866" s="1176"/>
    </row>
    <row r="867" spans="1:15" ht="18" x14ac:dyDescent="0.2">
      <c r="A867" s="1199" t="s">
        <v>151</v>
      </c>
      <c r="B867" s="1159"/>
      <c r="C867" s="1160" t="s">
        <v>526</v>
      </c>
      <c r="D867" s="1160" t="s">
        <v>581</v>
      </c>
      <c r="E867" s="1168">
        <f t="shared" ref="E867:G869" si="19">+E69+E202+E335+E468+E601+E734</f>
        <v>685</v>
      </c>
      <c r="F867" s="1168">
        <f t="shared" si="19"/>
        <v>481</v>
      </c>
      <c r="G867" s="1168">
        <f t="shared" si="19"/>
        <v>2623</v>
      </c>
      <c r="H867" s="1162" t="s">
        <v>561</v>
      </c>
      <c r="I867" s="1167">
        <f>+I69+I202+I335+I468+I601+I734</f>
        <v>25.72</v>
      </c>
      <c r="J867" s="1212"/>
      <c r="K867" s="1213"/>
      <c r="L867" s="1167" t="e">
        <f t="shared" ref="L867:M869" si="20">+L69+L202+L335+L468+L601+L734</f>
        <v>#REF!</v>
      </c>
      <c r="M867" s="1167" t="e">
        <f t="shared" si="20"/>
        <v>#REF!</v>
      </c>
      <c r="N867" s="1167" t="e">
        <f>L867+M867</f>
        <v>#REF!</v>
      </c>
      <c r="O867" s="1192"/>
    </row>
    <row r="868" spans="1:15" ht="18" x14ac:dyDescent="0.2">
      <c r="A868" s="1199" t="s">
        <v>151</v>
      </c>
      <c r="B868" s="1159"/>
      <c r="C868" s="1160"/>
      <c r="D868" s="1160" t="s">
        <v>582</v>
      </c>
      <c r="E868" s="1168">
        <f t="shared" si="19"/>
        <v>0</v>
      </c>
      <c r="F868" s="1168">
        <f t="shared" si="19"/>
        <v>0</v>
      </c>
      <c r="G868" s="1168">
        <f t="shared" si="19"/>
        <v>0</v>
      </c>
      <c r="H868" s="1162"/>
      <c r="I868" s="1167">
        <f>+I70+I203+I336+I469+I602+I735</f>
        <v>0</v>
      </c>
      <c r="J868" s="1212"/>
      <c r="K868" s="1213"/>
      <c r="L868" s="1167">
        <f t="shared" si="20"/>
        <v>0</v>
      </c>
      <c r="M868" s="1167">
        <f t="shared" si="20"/>
        <v>0</v>
      </c>
      <c r="N868" s="1167"/>
      <c r="O868" s="1192"/>
    </row>
    <row r="869" spans="1:15" ht="18" x14ac:dyDescent="0.2">
      <c r="A869" s="1199" t="s">
        <v>151</v>
      </c>
      <c r="B869" s="1159"/>
      <c r="C869" s="1160"/>
      <c r="D869" s="1160" t="s">
        <v>583</v>
      </c>
      <c r="E869" s="1168">
        <f t="shared" si="19"/>
        <v>0</v>
      </c>
      <c r="F869" s="1168">
        <f t="shared" si="19"/>
        <v>0</v>
      </c>
      <c r="G869" s="1168">
        <f t="shared" si="19"/>
        <v>0</v>
      </c>
      <c r="H869" s="1162"/>
      <c r="I869" s="1167">
        <f>+I71+I204+I337+I470+I603+I736</f>
        <v>0</v>
      </c>
      <c r="J869" s="1212"/>
      <c r="K869" s="1213"/>
      <c r="L869" s="1167">
        <f t="shared" si="20"/>
        <v>0</v>
      </c>
      <c r="M869" s="1167">
        <f t="shared" si="20"/>
        <v>0</v>
      </c>
      <c r="N869" s="1167"/>
      <c r="O869" s="1192"/>
    </row>
    <row r="870" spans="1:15" ht="18" x14ac:dyDescent="0.2">
      <c r="A870" s="1199" t="s">
        <v>151</v>
      </c>
      <c r="B870" s="1164"/>
      <c r="C870" s="1165"/>
      <c r="D870" s="1166" t="s">
        <v>486</v>
      </c>
      <c r="E870" s="1169">
        <f>SUM(E867:E869)</f>
        <v>685</v>
      </c>
      <c r="F870" s="1169">
        <f>SUM(F867:F869)</f>
        <v>481</v>
      </c>
      <c r="G870" s="1169">
        <f>SUM(G867:G869)</f>
        <v>2623</v>
      </c>
      <c r="H870" s="1165"/>
      <c r="I870" s="1204">
        <f>SUM(I867:I869)</f>
        <v>25.72</v>
      </c>
      <c r="J870" s="1214"/>
      <c r="K870" s="1215"/>
      <c r="L870" s="1210" t="e">
        <f>SUM(L867:L869)</f>
        <v>#REF!</v>
      </c>
      <c r="M870" s="1170" t="e">
        <f>SUM(M867:M869)</f>
        <v>#REF!</v>
      </c>
      <c r="N870" s="1170" t="e">
        <f>L870+M870</f>
        <v>#REF!</v>
      </c>
      <c r="O870" s="1177"/>
    </row>
    <row r="871" spans="1:15" ht="18" x14ac:dyDescent="0.2">
      <c r="A871" s="1199" t="s">
        <v>151</v>
      </c>
      <c r="B871" s="1164">
        <v>7</v>
      </c>
      <c r="C871" s="1165" t="s">
        <v>577</v>
      </c>
      <c r="D871" s="1165"/>
      <c r="E871" s="1169">
        <f>E863+E865+E870</f>
        <v>443940</v>
      </c>
      <c r="F871" s="1169">
        <f>F863+F865+F870</f>
        <v>432282</v>
      </c>
      <c r="G871" s="1169">
        <f>G863+G865+G870</f>
        <v>3619001</v>
      </c>
      <c r="H871" s="1165"/>
      <c r="I871" s="1204">
        <f>I863+I865+I870</f>
        <v>4235.01</v>
      </c>
      <c r="J871" s="1214"/>
      <c r="K871" s="1215"/>
      <c r="L871" s="1210" t="e">
        <f>L863+L865+L870</f>
        <v>#REF!</v>
      </c>
      <c r="M871" s="1170" t="e">
        <f>M863+M865+M870</f>
        <v>#REF!</v>
      </c>
      <c r="N871" s="1170" t="e">
        <f>L871+M871</f>
        <v>#REF!</v>
      </c>
      <c r="O871" s="1177" t="e">
        <f>ROUND(N871/I871*10,2)</f>
        <v>#REF!</v>
      </c>
    </row>
    <row r="872" spans="1:15" ht="18" x14ac:dyDescent="0.2">
      <c r="A872" s="1199" t="s">
        <v>151</v>
      </c>
      <c r="B872" s="1163"/>
      <c r="C872" s="1163"/>
      <c r="D872" s="1163"/>
      <c r="E872" s="1163"/>
      <c r="F872" s="1163"/>
      <c r="G872" s="1163"/>
      <c r="H872" s="1163"/>
      <c r="I872" s="1176"/>
      <c r="J872" s="1212"/>
      <c r="K872" s="1213"/>
      <c r="L872" s="1176"/>
      <c r="M872" s="1176"/>
      <c r="N872" s="1176"/>
      <c r="O872" s="1176"/>
    </row>
    <row r="873" spans="1:15" ht="18" x14ac:dyDescent="0.2">
      <c r="A873" s="1199" t="s">
        <v>151</v>
      </c>
      <c r="B873" s="1159"/>
      <c r="C873" s="1160" t="s">
        <v>584</v>
      </c>
      <c r="D873" s="1160" t="s">
        <v>586</v>
      </c>
      <c r="E873" s="1168">
        <f t="shared" ref="E873:G874" si="21">+E75+E208+E341+E474+E607+E740</f>
        <v>1608878</v>
      </c>
      <c r="F873" s="1168">
        <f t="shared" si="21"/>
        <v>1526004</v>
      </c>
      <c r="G873" s="1168">
        <f t="shared" si="21"/>
        <v>7692605</v>
      </c>
      <c r="H873" s="1162" t="s">
        <v>561</v>
      </c>
      <c r="I873" s="1167">
        <f>+I75+I208+I341+I474+I607+I740</f>
        <v>454.71000000000004</v>
      </c>
      <c r="J873" s="1212"/>
      <c r="K873" s="1213"/>
      <c r="L873" s="1167" t="e">
        <f>+L75+L208+L341+L474+L607+L740</f>
        <v>#REF!</v>
      </c>
      <c r="M873" s="1167" t="e">
        <f>+M75+M208+M341+M474+M607+M740</f>
        <v>#REF!</v>
      </c>
      <c r="N873" s="1167" t="e">
        <f>L873+M873</f>
        <v>#REF!</v>
      </c>
      <c r="O873" s="1192"/>
    </row>
    <row r="874" spans="1:15" ht="18" x14ac:dyDescent="0.2">
      <c r="A874" s="1199" t="s">
        <v>151</v>
      </c>
      <c r="B874" s="1159"/>
      <c r="C874" s="1160" t="s">
        <v>585</v>
      </c>
      <c r="D874" s="1160" t="s">
        <v>586</v>
      </c>
      <c r="E874" s="1168">
        <f t="shared" si="21"/>
        <v>6332</v>
      </c>
      <c r="F874" s="1168">
        <f t="shared" si="21"/>
        <v>6089</v>
      </c>
      <c r="G874" s="1168">
        <f t="shared" si="21"/>
        <v>32552</v>
      </c>
      <c r="H874" s="1162" t="s">
        <v>561</v>
      </c>
      <c r="I874" s="1167">
        <f>+I76+I209+I342+I475+I608+I741</f>
        <v>2.25</v>
      </c>
      <c r="J874" s="1212"/>
      <c r="K874" s="1213"/>
      <c r="L874" s="1167" t="e">
        <f>+L76+L209+L342+L475+L608+L741</f>
        <v>#REF!</v>
      </c>
      <c r="M874" s="1167" t="e">
        <f>+M76+M209+M342+M475+M608+M741</f>
        <v>#REF!</v>
      </c>
      <c r="N874" s="1167" t="e">
        <f>L874+M874</f>
        <v>#REF!</v>
      </c>
      <c r="O874" s="1192"/>
    </row>
    <row r="875" spans="1:15" ht="18" x14ac:dyDescent="0.2">
      <c r="A875" s="1199" t="s">
        <v>151</v>
      </c>
      <c r="B875" s="1164">
        <v>8</v>
      </c>
      <c r="C875" s="1165" t="s">
        <v>587</v>
      </c>
      <c r="D875" s="1165"/>
      <c r="E875" s="1169">
        <f>SUM(E873:E874)</f>
        <v>1615210</v>
      </c>
      <c r="F875" s="1169">
        <f>SUM(F873:F874)</f>
        <v>1532093</v>
      </c>
      <c r="G875" s="1169">
        <f>SUM(G873:G874)</f>
        <v>7725157</v>
      </c>
      <c r="H875" s="1165"/>
      <c r="I875" s="1170">
        <f>SUM(I873:I874)</f>
        <v>456.96000000000004</v>
      </c>
      <c r="J875" s="1214"/>
      <c r="K875" s="1215"/>
      <c r="L875" s="1210" t="e">
        <f>SUM(L873:L874)</f>
        <v>#REF!</v>
      </c>
      <c r="M875" s="1170" t="e">
        <f>SUM(M873:M874)</f>
        <v>#REF!</v>
      </c>
      <c r="N875" s="1170" t="e">
        <f>L875+M875</f>
        <v>#REF!</v>
      </c>
      <c r="O875" s="1177" t="e">
        <f>ROUND(N875/I875*10,2)</f>
        <v>#REF!</v>
      </c>
    </row>
    <row r="876" spans="1:15" ht="18" x14ac:dyDescent="0.2">
      <c r="A876" s="1199" t="s">
        <v>151</v>
      </c>
      <c r="B876" s="1163"/>
      <c r="C876" s="1163"/>
      <c r="D876" s="1163"/>
      <c r="E876" s="1163"/>
      <c r="F876" s="1163"/>
      <c r="G876" s="1163"/>
      <c r="H876" s="1163"/>
      <c r="I876" s="1176"/>
      <c r="J876" s="1212"/>
      <c r="K876" s="1213"/>
      <c r="L876" s="1176"/>
      <c r="M876" s="1176"/>
      <c r="N876" s="1176"/>
      <c r="O876" s="1176"/>
    </row>
    <row r="877" spans="1:15" ht="18" x14ac:dyDescent="0.2">
      <c r="A877" s="1199" t="s">
        <v>151</v>
      </c>
      <c r="B877" s="1194"/>
      <c r="C877" s="1195" t="s">
        <v>588</v>
      </c>
      <c r="D877" s="1195"/>
      <c r="E877" s="1196">
        <f>E806+E819+E830+E839+E844+E859+E871+E875</f>
        <v>31068615</v>
      </c>
      <c r="F877" s="1196">
        <f>F806+F819+F830+F839+F844+F859+F871+F875</f>
        <v>30519425</v>
      </c>
      <c r="G877" s="1196">
        <f>G806+G819+G830+G839+G844+G859+G871+G875</f>
        <v>71408043</v>
      </c>
      <c r="H877" s="1195"/>
      <c r="I877" s="1205">
        <f>I806+I819+I830+I839+I844+I859+I871+I875</f>
        <v>47895.001000000004</v>
      </c>
      <c r="J877" s="1217"/>
      <c r="K877" s="1218"/>
      <c r="L877" s="1211" t="e">
        <f>L806+L819+L830+L839+L844+L859+L871+L875</f>
        <v>#REF!</v>
      </c>
      <c r="M877" s="1193" t="e">
        <f>M806+M819+M830+M839+M844+M859+M871+M875</f>
        <v>#REF!</v>
      </c>
      <c r="N877" s="1193" t="e">
        <f>L877+M877</f>
        <v>#REF!</v>
      </c>
      <c r="O877" s="1193" t="e">
        <f>ROUND(N877/I877*10,2)</f>
        <v>#REF!</v>
      </c>
    </row>
    <row r="878" spans="1:15" ht="18" x14ac:dyDescent="0.2">
      <c r="A878" s="1199" t="s">
        <v>151</v>
      </c>
      <c r="B878" s="1163"/>
      <c r="C878" s="1163"/>
      <c r="D878" s="1163"/>
      <c r="E878" s="1163"/>
      <c r="F878" s="1176"/>
      <c r="G878" s="1163"/>
      <c r="H878" s="1163"/>
      <c r="I878" s="1176"/>
      <c r="J878" s="1212"/>
      <c r="K878" s="1213"/>
      <c r="L878" s="1176"/>
      <c r="M878" s="1176"/>
      <c r="N878" s="1176"/>
      <c r="O878" s="1176"/>
    </row>
    <row r="879" spans="1:15" ht="18" x14ac:dyDescent="0.2">
      <c r="A879" s="1199" t="s">
        <v>151</v>
      </c>
      <c r="B879" s="1159">
        <v>9</v>
      </c>
      <c r="C879" s="1160" t="s">
        <v>16</v>
      </c>
      <c r="D879" s="1160" t="s">
        <v>589</v>
      </c>
      <c r="E879" s="1168">
        <f t="shared" ref="E879:I881" si="22">+E81+E214+E347+E480+E613+E746</f>
        <v>1377</v>
      </c>
      <c r="F879" s="1168">
        <f t="shared" si="22"/>
        <v>1333</v>
      </c>
      <c r="G879" s="1168">
        <f t="shared" si="22"/>
        <v>586591</v>
      </c>
      <c r="H879" s="1162" t="s">
        <v>561</v>
      </c>
      <c r="I879" s="1167">
        <f t="shared" si="22"/>
        <v>2114.4900000000002</v>
      </c>
      <c r="J879" s="1212"/>
      <c r="K879" s="1213"/>
      <c r="L879" s="1167" t="e">
        <f>+L81+L214+L347+L480+L613+L746</f>
        <v>#REF!</v>
      </c>
      <c r="M879" s="1167" t="e">
        <f>+M81+M214+M347+M480+M613+M746</f>
        <v>#REF!</v>
      </c>
      <c r="N879" s="1167" t="e">
        <f>L879+M879</f>
        <v>#REF!</v>
      </c>
      <c r="O879" s="1192" t="e">
        <f>ROUND(N879/I879*10,2)</f>
        <v>#REF!</v>
      </c>
    </row>
    <row r="880" spans="1:15" ht="18" x14ac:dyDescent="0.2">
      <c r="A880" s="1199" t="s">
        <v>151</v>
      </c>
      <c r="B880" s="1163"/>
      <c r="C880" s="1163"/>
      <c r="D880" s="1163"/>
      <c r="E880" s="1163"/>
      <c r="F880" s="1163"/>
      <c r="G880" s="1163"/>
      <c r="H880" s="1163"/>
      <c r="I880" s="1176"/>
      <c r="J880" s="1212"/>
      <c r="K880" s="1213"/>
      <c r="L880" s="1176"/>
      <c r="M880" s="1176"/>
      <c r="N880" s="1176"/>
      <c r="O880" s="1176"/>
    </row>
    <row r="881" spans="1:15" ht="18" x14ac:dyDescent="0.2">
      <c r="A881" s="1199" t="s">
        <v>151</v>
      </c>
      <c r="B881" s="1159"/>
      <c r="C881" s="1160" t="s">
        <v>593</v>
      </c>
      <c r="D881" s="1160" t="s">
        <v>589</v>
      </c>
      <c r="E881" s="1168">
        <f t="shared" si="22"/>
        <v>4500</v>
      </c>
      <c r="F881" s="1168">
        <f t="shared" si="22"/>
        <v>4410</v>
      </c>
      <c r="G881" s="1168">
        <f t="shared" si="22"/>
        <v>1984500</v>
      </c>
      <c r="H881" s="1162" t="s">
        <v>591</v>
      </c>
      <c r="I881" s="1167">
        <f t="shared" si="22"/>
        <v>1023.81</v>
      </c>
      <c r="J881" s="1212"/>
      <c r="K881" s="1213"/>
      <c r="L881" s="1167" t="e">
        <f>+L83+L216+L349+L482+L615+L748</f>
        <v>#REF!</v>
      </c>
      <c r="M881" s="1167" t="e">
        <f>+M83+M216+M349+M482+M615+M748</f>
        <v>#REF!</v>
      </c>
      <c r="N881" s="1167"/>
      <c r="O881" s="1192"/>
    </row>
    <row r="882" spans="1:15" ht="18" x14ac:dyDescent="0.2">
      <c r="A882" s="1199" t="s">
        <v>151</v>
      </c>
      <c r="B882" s="1159"/>
      <c r="C882" s="1160"/>
      <c r="D882" s="1160"/>
      <c r="E882" s="1168"/>
      <c r="F882" s="1168"/>
      <c r="G882" s="1160"/>
      <c r="H882" s="1162" t="s">
        <v>590</v>
      </c>
      <c r="I882" s="1167">
        <f>+I84+I217+I350+I483+I616+I749</f>
        <v>1765.8600000000001</v>
      </c>
      <c r="J882" s="1212"/>
      <c r="K882" s="1213"/>
      <c r="L882" s="1167">
        <f>+L84+L217+L350+L483+L616+L749</f>
        <v>0</v>
      </c>
      <c r="M882" s="1167" t="e">
        <f>+M84+M217+M350+M483+M616+M749</f>
        <v>#REF!</v>
      </c>
      <c r="N882" s="1167"/>
      <c r="O882" s="1192"/>
    </row>
    <row r="883" spans="1:15" ht="18" x14ac:dyDescent="0.2">
      <c r="A883" s="1199" t="s">
        <v>151</v>
      </c>
      <c r="B883" s="1164"/>
      <c r="C883" s="1165"/>
      <c r="D883" s="1166" t="s">
        <v>486</v>
      </c>
      <c r="E883" s="1169">
        <f>SUM(E881:E882)</f>
        <v>4500</v>
      </c>
      <c r="F883" s="1169">
        <f>SUM(F881:F882)</f>
        <v>4410</v>
      </c>
      <c r="G883" s="1169">
        <f>SUM(G881:G882)</f>
        <v>1984500</v>
      </c>
      <c r="H883" s="1165"/>
      <c r="I883" s="1210">
        <f>SUM(I881:I882)</f>
        <v>2789.67</v>
      </c>
      <c r="J883" s="1214"/>
      <c r="K883" s="1215"/>
      <c r="L883" s="1210" t="e">
        <f>SUM(L881:L882)</f>
        <v>#REF!</v>
      </c>
      <c r="M883" s="1170" t="e">
        <f>SUM(M881:M882)</f>
        <v>#REF!</v>
      </c>
      <c r="N883" s="1170" t="e">
        <f>L883+M883</f>
        <v>#REF!</v>
      </c>
      <c r="O883" s="1177" t="e">
        <f>ROUND(N883/I883*10,2)</f>
        <v>#REF!</v>
      </c>
    </row>
    <row r="884" spans="1:15" ht="18" x14ac:dyDescent="0.2">
      <c r="A884" s="1199" t="s">
        <v>151</v>
      </c>
      <c r="B884" s="1163"/>
      <c r="C884" s="1163"/>
      <c r="D884" s="1163"/>
      <c r="E884" s="1163"/>
      <c r="F884" s="1163"/>
      <c r="G884" s="1163"/>
      <c r="H884" s="1163"/>
      <c r="I884" s="1176"/>
      <c r="J884" s="1212"/>
      <c r="K884" s="1213"/>
      <c r="L884" s="1176"/>
      <c r="M884" s="1176"/>
      <c r="N884" s="1176"/>
      <c r="O884" s="1176"/>
    </row>
    <row r="885" spans="1:15" ht="18" x14ac:dyDescent="0.2">
      <c r="A885" s="1199" t="s">
        <v>151</v>
      </c>
      <c r="B885" s="1159"/>
      <c r="C885" s="1160" t="s">
        <v>594</v>
      </c>
      <c r="D885" s="1160" t="s">
        <v>589</v>
      </c>
      <c r="E885" s="1168">
        <f>+E87+E220+E353+E486+E619+E752</f>
        <v>11141</v>
      </c>
      <c r="F885" s="1168">
        <f>+F87+F220+F353+F486+F619+F752</f>
        <v>10838</v>
      </c>
      <c r="G885" s="1168">
        <f>+G87+G220+G353+G486+G619+G752</f>
        <v>5247818</v>
      </c>
      <c r="H885" s="1162" t="s">
        <v>591</v>
      </c>
      <c r="I885" s="1167">
        <f>+I87+I220+I353+I486+I619+I752</f>
        <v>2937.1699999999996</v>
      </c>
      <c r="J885" s="1212"/>
      <c r="K885" s="1213"/>
      <c r="L885" s="1167" t="e">
        <f>+L87+L220+L353+L486+L619+L752</f>
        <v>#REF!</v>
      </c>
      <c r="M885" s="1167" t="e">
        <f>+M87+M220+M353+M486+M619+M752</f>
        <v>#REF!</v>
      </c>
      <c r="N885" s="1167"/>
      <c r="O885" s="1192"/>
    </row>
    <row r="886" spans="1:15" ht="18" x14ac:dyDescent="0.2">
      <c r="A886" s="1199" t="s">
        <v>151</v>
      </c>
      <c r="B886" s="1159"/>
      <c r="C886" s="1160"/>
      <c r="D886" s="1160"/>
      <c r="E886" s="1168"/>
      <c r="F886" s="1168"/>
      <c r="G886" s="1160"/>
      <c r="H886" s="1162" t="s">
        <v>590</v>
      </c>
      <c r="I886" s="1167">
        <f>+I88+I221+I354+I487+I620+I753</f>
        <v>3398.5799999999995</v>
      </c>
      <c r="J886" s="1212"/>
      <c r="K886" s="1213"/>
      <c r="L886" s="1167">
        <f>+L88+L221+L354+L487+L620+L753</f>
        <v>0</v>
      </c>
      <c r="M886" s="1167" t="e">
        <f>+M88+M221+M354+M487+M620+M753</f>
        <v>#REF!</v>
      </c>
      <c r="N886" s="1167"/>
      <c r="O886" s="1192"/>
    </row>
    <row r="887" spans="1:15" ht="18" x14ac:dyDescent="0.2">
      <c r="A887" s="1199" t="s">
        <v>151</v>
      </c>
      <c r="B887" s="1164"/>
      <c r="C887" s="1165"/>
      <c r="D887" s="1166" t="s">
        <v>486</v>
      </c>
      <c r="E887" s="1169">
        <f>SUM(E885:E886)</f>
        <v>11141</v>
      </c>
      <c r="F887" s="1169">
        <f>SUM(F885:F886)</f>
        <v>10838</v>
      </c>
      <c r="G887" s="1169">
        <f>SUM(G885:G886)</f>
        <v>5247818</v>
      </c>
      <c r="H887" s="1165"/>
      <c r="I887" s="1210">
        <f>SUM(I885:I886)</f>
        <v>6335.7499999999991</v>
      </c>
      <c r="J887" s="1214"/>
      <c r="K887" s="1215"/>
      <c r="L887" s="1210" t="e">
        <f>SUM(L885:L886)</f>
        <v>#REF!</v>
      </c>
      <c r="M887" s="1170" t="e">
        <f>SUM(M885:M886)</f>
        <v>#REF!</v>
      </c>
      <c r="N887" s="1170" t="e">
        <f>L887+M887</f>
        <v>#REF!</v>
      </c>
      <c r="O887" s="1177" t="e">
        <f>ROUND(N887/I887*10,2)</f>
        <v>#REF!</v>
      </c>
    </row>
    <row r="888" spans="1:15" ht="18" x14ac:dyDescent="0.2">
      <c r="A888" s="1199" t="s">
        <v>151</v>
      </c>
      <c r="B888" s="1164">
        <v>10</v>
      </c>
      <c r="C888" s="1165" t="s">
        <v>592</v>
      </c>
      <c r="D888" s="1165"/>
      <c r="E888" s="1169">
        <f>+E883+E887</f>
        <v>15641</v>
      </c>
      <c r="F888" s="1169">
        <f>+F883+F887</f>
        <v>15248</v>
      </c>
      <c r="G888" s="1169">
        <f>+G883+G887</f>
        <v>7232318</v>
      </c>
      <c r="H888" s="1165"/>
      <c r="I888" s="1170">
        <f>+I883+I887</f>
        <v>9125.4199999999983</v>
      </c>
      <c r="J888" s="1214"/>
      <c r="K888" s="1215"/>
      <c r="L888" s="1170" t="e">
        <f>+L883+L887</f>
        <v>#REF!</v>
      </c>
      <c r="M888" s="1170" t="e">
        <f>+M883+M887</f>
        <v>#REF!</v>
      </c>
      <c r="N888" s="1170" t="e">
        <f>L888+M888</f>
        <v>#REF!</v>
      </c>
      <c r="O888" s="1177" t="e">
        <f>ROUND(N888/I888*10,2)</f>
        <v>#REF!</v>
      </c>
    </row>
    <row r="889" spans="1:15" ht="18" x14ac:dyDescent="0.2">
      <c r="A889" s="1199" t="s">
        <v>151</v>
      </c>
      <c r="B889" s="1163"/>
      <c r="C889" s="1163"/>
      <c r="D889" s="1163"/>
      <c r="E889" s="1163"/>
      <c r="F889" s="1163"/>
      <c r="G889" s="1163"/>
      <c r="H889" s="1163"/>
      <c r="I889" s="1176"/>
      <c r="J889" s="1212"/>
      <c r="K889" s="1213"/>
      <c r="L889" s="1176"/>
      <c r="M889" s="1176"/>
      <c r="N889" s="1176"/>
      <c r="O889" s="1176"/>
    </row>
    <row r="890" spans="1:15" ht="18" x14ac:dyDescent="0.2">
      <c r="A890" s="1199" t="s">
        <v>151</v>
      </c>
      <c r="B890" s="1159"/>
      <c r="C890" s="1160" t="s">
        <v>596</v>
      </c>
      <c r="D890" s="1160" t="s">
        <v>589</v>
      </c>
      <c r="E890" s="1168">
        <f>+E92+E225+E358+E491+E624+E757</f>
        <v>8183</v>
      </c>
      <c r="F890" s="1168">
        <f>+F92+F225+F358+F491+F624+F757</f>
        <v>7994</v>
      </c>
      <c r="G890" s="1168">
        <f>+G92+G225+G358+G491+G624+G757</f>
        <v>2677990</v>
      </c>
      <c r="H890" s="1162" t="s">
        <v>598</v>
      </c>
      <c r="I890" s="1167">
        <f>+I92+I225+I358+I491+I624+I757</f>
        <v>1327.28</v>
      </c>
      <c r="J890" s="1212"/>
      <c r="K890" s="1213"/>
      <c r="L890" s="1167" t="e">
        <f>+L92+L225+L358+L491+L624+L757</f>
        <v>#REF!</v>
      </c>
      <c r="M890" s="1167" t="e">
        <f>+M92+M225+M358+M491+M624+M757</f>
        <v>#REF!</v>
      </c>
      <c r="N890" s="1167"/>
      <c r="O890" s="1192"/>
    </row>
    <row r="891" spans="1:15" ht="18" x14ac:dyDescent="0.2">
      <c r="A891" s="1199" t="s">
        <v>151</v>
      </c>
      <c r="B891" s="1159"/>
      <c r="C891" s="1160"/>
      <c r="D891" s="1160"/>
      <c r="E891" s="1168"/>
      <c r="F891" s="1168"/>
      <c r="G891" s="1160"/>
      <c r="H891" s="1162" t="s">
        <v>599</v>
      </c>
      <c r="I891" s="1167">
        <f>+I93+I226+I359+I492+I625+I758</f>
        <v>699.10000000000014</v>
      </c>
      <c r="J891" s="1212"/>
      <c r="K891" s="1213"/>
      <c r="L891" s="1167">
        <f>+L93+L226+L359+L492+L625+L758</f>
        <v>0</v>
      </c>
      <c r="M891" s="1167" t="e">
        <f>+M93+M226+M359+M492+M625+M758</f>
        <v>#REF!</v>
      </c>
      <c r="N891" s="1167"/>
      <c r="O891" s="1192"/>
    </row>
    <row r="892" spans="1:15" ht="18" x14ac:dyDescent="0.2">
      <c r="A892" s="1199" t="s">
        <v>151</v>
      </c>
      <c r="B892" s="1164"/>
      <c r="C892" s="1165"/>
      <c r="D892" s="1166" t="s">
        <v>486</v>
      </c>
      <c r="E892" s="1169">
        <f>SUM(E890:E891)</f>
        <v>8183</v>
      </c>
      <c r="F892" s="1169">
        <f>SUM(F890:F891)</f>
        <v>7994</v>
      </c>
      <c r="G892" s="1169">
        <f>SUM(G890:G891)</f>
        <v>2677990</v>
      </c>
      <c r="H892" s="1165"/>
      <c r="I892" s="1210">
        <f>SUM(I890:I891)</f>
        <v>2026.38</v>
      </c>
      <c r="J892" s="1214"/>
      <c r="K892" s="1215"/>
      <c r="L892" s="1210" t="e">
        <f>SUM(L890:L891)</f>
        <v>#REF!</v>
      </c>
      <c r="M892" s="1170" t="e">
        <f>SUM(M890:M891)</f>
        <v>#REF!</v>
      </c>
      <c r="N892" s="1170" t="e">
        <f>L892+M892</f>
        <v>#REF!</v>
      </c>
      <c r="O892" s="1177" t="e">
        <f>ROUND(N892/I892*10,2)</f>
        <v>#REF!</v>
      </c>
    </row>
    <row r="893" spans="1:15" ht="18" x14ac:dyDescent="0.2">
      <c r="A893" s="1199" t="s">
        <v>151</v>
      </c>
      <c r="B893" s="1163"/>
      <c r="C893" s="1163"/>
      <c r="D893" s="1163"/>
      <c r="E893" s="1163"/>
      <c r="F893" s="1163"/>
      <c r="G893" s="1163"/>
      <c r="H893" s="1163"/>
      <c r="I893" s="1176"/>
      <c r="J893" s="1212"/>
      <c r="K893" s="1213"/>
      <c r="L893" s="1176"/>
      <c r="M893" s="1176"/>
      <c r="N893" s="1176"/>
      <c r="O893" s="1176"/>
    </row>
    <row r="894" spans="1:15" ht="18" x14ac:dyDescent="0.2">
      <c r="A894" s="1199" t="s">
        <v>151</v>
      </c>
      <c r="B894" s="1159"/>
      <c r="C894" s="1160" t="s">
        <v>597</v>
      </c>
      <c r="D894" s="1160" t="s">
        <v>589</v>
      </c>
      <c r="E894" s="1168">
        <f>+E96+E229+E362+E495+E628+E761</f>
        <v>4101</v>
      </c>
      <c r="F894" s="1168">
        <f>+F96+F229+F362+F495+F628+F761</f>
        <v>3982</v>
      </c>
      <c r="G894" s="1168">
        <f>+G96+G229+G362+G495+G628+G761</f>
        <v>665192</v>
      </c>
      <c r="H894" s="1162" t="s">
        <v>598</v>
      </c>
      <c r="I894" s="1167">
        <f>+I96+I229+I362+I495+I628+I761</f>
        <v>494</v>
      </c>
      <c r="J894" s="1212"/>
      <c r="K894" s="1213"/>
      <c r="L894" s="1167" t="e">
        <f>+L96+L229+L362+L495+L628+L761</f>
        <v>#REF!</v>
      </c>
      <c r="M894" s="1167" t="e">
        <f>+M96+M229+M362+M495+M628+M761</f>
        <v>#REF!</v>
      </c>
      <c r="N894" s="1167"/>
      <c r="O894" s="1192"/>
    </row>
    <row r="895" spans="1:15" ht="18" x14ac:dyDescent="0.2">
      <c r="A895" s="1199" t="s">
        <v>151</v>
      </c>
      <c r="B895" s="1159"/>
      <c r="C895" s="1160"/>
      <c r="D895" s="1160"/>
      <c r="E895" s="1168"/>
      <c r="F895" s="1168"/>
      <c r="G895" s="1160"/>
      <c r="H895" s="1162" t="s">
        <v>599</v>
      </c>
      <c r="I895" s="1167">
        <f>+I97+I230+I363+I496+I629+I762</f>
        <v>179.23000000000005</v>
      </c>
      <c r="J895" s="1212"/>
      <c r="K895" s="1213"/>
      <c r="L895" s="1167">
        <f>+L97+L230+L363+L496+L629+L762</f>
        <v>0</v>
      </c>
      <c r="M895" s="1167" t="e">
        <f>+M97+M230+M363+M496+M629+M762</f>
        <v>#REF!</v>
      </c>
      <c r="N895" s="1167"/>
      <c r="O895" s="1192"/>
    </row>
    <row r="896" spans="1:15" ht="18" x14ac:dyDescent="0.2">
      <c r="A896" s="1199" t="s">
        <v>151</v>
      </c>
      <c r="B896" s="1164"/>
      <c r="C896" s="1165"/>
      <c r="D896" s="1166" t="s">
        <v>486</v>
      </c>
      <c r="E896" s="1169">
        <f>SUM(E894:E895)</f>
        <v>4101</v>
      </c>
      <c r="F896" s="1169">
        <f>SUM(F894:F895)</f>
        <v>3982</v>
      </c>
      <c r="G896" s="1169">
        <f>SUM(G894:G895)</f>
        <v>665192</v>
      </c>
      <c r="H896" s="1165"/>
      <c r="I896" s="1210">
        <f>SUM(I894:I895)</f>
        <v>673.23</v>
      </c>
      <c r="J896" s="1214"/>
      <c r="K896" s="1215"/>
      <c r="L896" s="1210" t="e">
        <f>SUM(L894:L895)</f>
        <v>#REF!</v>
      </c>
      <c r="M896" s="1170" t="e">
        <f>SUM(M894:M895)</f>
        <v>#REF!</v>
      </c>
      <c r="N896" s="1170" t="e">
        <f>L896+M896</f>
        <v>#REF!</v>
      </c>
      <c r="O896" s="1177"/>
    </row>
    <row r="897" spans="1:15" ht="18" x14ac:dyDescent="0.2">
      <c r="A897" s="1199" t="s">
        <v>151</v>
      </c>
      <c r="B897" s="1164">
        <v>11</v>
      </c>
      <c r="C897" s="1165" t="s">
        <v>595</v>
      </c>
      <c r="D897" s="1165"/>
      <c r="E897" s="1169">
        <f>+E892+E896</f>
        <v>12284</v>
      </c>
      <c r="F897" s="1169">
        <f>+F892+F896</f>
        <v>11976</v>
      </c>
      <c r="G897" s="1169">
        <f>+G892+G896</f>
        <v>3343182</v>
      </c>
      <c r="H897" s="1165"/>
      <c r="I897" s="1170">
        <f>+I892+I896</f>
        <v>2699.61</v>
      </c>
      <c r="J897" s="1214"/>
      <c r="K897" s="1215"/>
      <c r="L897" s="1170" t="e">
        <f>+L892+L896</f>
        <v>#REF!</v>
      </c>
      <c r="M897" s="1170" t="e">
        <f>+M892+M896</f>
        <v>#REF!</v>
      </c>
      <c r="N897" s="1170" t="e">
        <f>L897+M897</f>
        <v>#REF!</v>
      </c>
      <c r="O897" s="1177" t="e">
        <f>ROUND(N897/I897*10,2)</f>
        <v>#REF!</v>
      </c>
    </row>
    <row r="898" spans="1:15" ht="18" x14ac:dyDescent="0.2">
      <c r="A898" s="1199" t="s">
        <v>151</v>
      </c>
      <c r="B898" s="1163"/>
      <c r="C898" s="1163"/>
      <c r="D898" s="1163"/>
      <c r="E898" s="1163"/>
      <c r="F898" s="1163"/>
      <c r="G898" s="1163"/>
      <c r="H898" s="1163"/>
      <c r="I898" s="1176"/>
      <c r="J898" s="1212"/>
      <c r="K898" s="1213"/>
      <c r="L898" s="1176"/>
      <c r="M898" s="1176"/>
      <c r="N898" s="1176"/>
      <c r="O898" s="1176"/>
    </row>
    <row r="899" spans="1:15" ht="18" x14ac:dyDescent="0.2">
      <c r="A899" s="1199" t="s">
        <v>151</v>
      </c>
      <c r="B899" s="1159"/>
      <c r="C899" s="1160" t="s">
        <v>601</v>
      </c>
      <c r="D899" s="1160" t="s">
        <v>589</v>
      </c>
      <c r="E899" s="1168">
        <f>+E101+E234+E367+E500+E633+E766</f>
        <v>1553</v>
      </c>
      <c r="F899" s="1168">
        <f>+F101+F234+F367+F500+F633+F766</f>
        <v>1486</v>
      </c>
      <c r="G899" s="1168">
        <f>+G101+G234+G367+G500+G633+G766</f>
        <v>220189</v>
      </c>
      <c r="H899" s="1162" t="s">
        <v>591</v>
      </c>
      <c r="I899" s="1167">
        <f>+I101+I234+I367+I500+I633+I766</f>
        <v>181.4</v>
      </c>
      <c r="J899" s="1212"/>
      <c r="K899" s="1213"/>
      <c r="L899" s="1167" t="e">
        <f>+L101+L234+L367+L500+L633+L766</f>
        <v>#REF!</v>
      </c>
      <c r="M899" s="1167" t="e">
        <f>+M101+M234+M367+M500+M633+M766</f>
        <v>#REF!</v>
      </c>
      <c r="N899" s="1167"/>
      <c r="O899" s="1192"/>
    </row>
    <row r="900" spans="1:15" ht="18" x14ac:dyDescent="0.2">
      <c r="A900" s="1199" t="s">
        <v>151</v>
      </c>
      <c r="B900" s="1159"/>
      <c r="C900" s="1160"/>
      <c r="D900" s="1160"/>
      <c r="E900" s="1168"/>
      <c r="F900" s="1168"/>
      <c r="G900" s="1160"/>
      <c r="H900" s="1162" t="s">
        <v>590</v>
      </c>
      <c r="I900" s="1167">
        <f>+I102+I235+I368+I501+I634+I767</f>
        <v>192.69</v>
      </c>
      <c r="J900" s="1212"/>
      <c r="K900" s="1213"/>
      <c r="L900" s="1167">
        <f>+L102+L235+L368+L501+L634+L767</f>
        <v>0</v>
      </c>
      <c r="M900" s="1167" t="e">
        <f>+M102+M235+M368+M501+M634+M767</f>
        <v>#REF!</v>
      </c>
      <c r="N900" s="1167"/>
      <c r="O900" s="1192"/>
    </row>
    <row r="901" spans="1:15" ht="18" x14ac:dyDescent="0.2">
      <c r="A901" s="1199" t="s">
        <v>151</v>
      </c>
      <c r="B901" s="1164"/>
      <c r="C901" s="1165"/>
      <c r="D901" s="1166" t="s">
        <v>486</v>
      </c>
      <c r="E901" s="1169">
        <f>SUM(E899:E900)</f>
        <v>1553</v>
      </c>
      <c r="F901" s="1169">
        <f>SUM(F899:F900)</f>
        <v>1486</v>
      </c>
      <c r="G901" s="1169">
        <f>SUM(G899:G900)</f>
        <v>220189</v>
      </c>
      <c r="H901" s="1165"/>
      <c r="I901" s="1210">
        <f>SUM(I899:I900)</f>
        <v>374.09000000000003</v>
      </c>
      <c r="J901" s="1214"/>
      <c r="K901" s="1215"/>
      <c r="L901" s="1210" t="e">
        <f>SUM(L899:L900)</f>
        <v>#REF!</v>
      </c>
      <c r="M901" s="1170" t="e">
        <f>SUM(M899:M900)</f>
        <v>#REF!</v>
      </c>
      <c r="N901" s="1170" t="e">
        <f>L901+M901</f>
        <v>#REF!</v>
      </c>
      <c r="O901" s="1177" t="e">
        <f>ROUND(N901/I901*10,2)</f>
        <v>#REF!</v>
      </c>
    </row>
    <row r="902" spans="1:15" ht="18" x14ac:dyDescent="0.2">
      <c r="A902" s="1199" t="s">
        <v>151</v>
      </c>
      <c r="B902" s="1163"/>
      <c r="C902" s="1163"/>
      <c r="D902" s="1163"/>
      <c r="E902" s="1163"/>
      <c r="F902" s="1163"/>
      <c r="G902" s="1163"/>
      <c r="H902" s="1163"/>
      <c r="I902" s="1176"/>
      <c r="J902" s="1212"/>
      <c r="K902" s="1213"/>
      <c r="L902" s="1176"/>
      <c r="M902" s="1176"/>
      <c r="N902" s="1176"/>
      <c r="O902" s="1176"/>
    </row>
    <row r="903" spans="1:15" ht="18" x14ac:dyDescent="0.2">
      <c r="A903" s="1199" t="s">
        <v>151</v>
      </c>
      <c r="B903" s="1159"/>
      <c r="C903" s="1160" t="s">
        <v>602</v>
      </c>
      <c r="D903" s="1160" t="s">
        <v>589</v>
      </c>
      <c r="E903" s="1168">
        <f>+E105+E238+E371+E504+E637+E770</f>
        <v>1188</v>
      </c>
      <c r="F903" s="1168">
        <f>+F105+F238+F371+F504+F637+F770</f>
        <v>1147</v>
      </c>
      <c r="G903" s="1168">
        <f>+G105+G238+G371+G504+G637+G770</f>
        <v>253175</v>
      </c>
      <c r="H903" s="1162" t="s">
        <v>591</v>
      </c>
      <c r="I903" s="1167">
        <f>+I105+I238+I371+I504+I637+I770</f>
        <v>204.48999999999998</v>
      </c>
      <c r="J903" s="1212"/>
      <c r="K903" s="1213"/>
      <c r="L903" s="1167" t="e">
        <f>+L105+L238+L371+L504+L637+L770</f>
        <v>#REF!</v>
      </c>
      <c r="M903" s="1167" t="e">
        <f>+M105+M238+M371+M504+M637+M770</f>
        <v>#REF!</v>
      </c>
      <c r="N903" s="1167"/>
      <c r="O903" s="1192"/>
    </row>
    <row r="904" spans="1:15" ht="18" x14ac:dyDescent="0.2">
      <c r="A904" s="1199" t="s">
        <v>151</v>
      </c>
      <c r="B904" s="1159"/>
      <c r="C904" s="1160"/>
      <c r="D904" s="1160"/>
      <c r="E904" s="1168"/>
      <c r="F904" s="1168"/>
      <c r="G904" s="1160"/>
      <c r="H904" s="1162" t="s">
        <v>590</v>
      </c>
      <c r="I904" s="1167">
        <f>+I106+I239+I372+I505+I638+I771</f>
        <v>101.02000000000001</v>
      </c>
      <c r="J904" s="1212"/>
      <c r="K904" s="1213"/>
      <c r="L904" s="1167">
        <f>+L106+L239+L372+L505+L638+L771</f>
        <v>0</v>
      </c>
      <c r="M904" s="1167" t="e">
        <f>+M106+M239+M372+M505+M638+M771</f>
        <v>#REF!</v>
      </c>
      <c r="N904" s="1167"/>
      <c r="O904" s="1192"/>
    </row>
    <row r="905" spans="1:15" ht="18" x14ac:dyDescent="0.2">
      <c r="A905" s="1199" t="s">
        <v>151</v>
      </c>
      <c r="B905" s="1164"/>
      <c r="C905" s="1165"/>
      <c r="D905" s="1166" t="s">
        <v>486</v>
      </c>
      <c r="E905" s="1169">
        <f>SUM(E903:E904)</f>
        <v>1188</v>
      </c>
      <c r="F905" s="1169">
        <f>SUM(F903:F904)</f>
        <v>1147</v>
      </c>
      <c r="G905" s="1169">
        <f>SUM(G903:G904)</f>
        <v>253175</v>
      </c>
      <c r="H905" s="1165"/>
      <c r="I905" s="1210">
        <f>SUM(I903:I904)</f>
        <v>305.51</v>
      </c>
      <c r="J905" s="1214"/>
      <c r="K905" s="1215"/>
      <c r="L905" s="1210" t="e">
        <f>SUM(L903:L904)</f>
        <v>#REF!</v>
      </c>
      <c r="M905" s="1170" t="e">
        <f>SUM(M903:M904)</f>
        <v>#REF!</v>
      </c>
      <c r="N905" s="1170" t="e">
        <f>L905+M905</f>
        <v>#REF!</v>
      </c>
      <c r="O905" s="1177" t="e">
        <f>ROUND(N905/I905*10,2)</f>
        <v>#REF!</v>
      </c>
    </row>
    <row r="906" spans="1:15" ht="18" x14ac:dyDescent="0.2">
      <c r="A906" s="1199" t="s">
        <v>151</v>
      </c>
      <c r="B906" s="1164">
        <v>12</v>
      </c>
      <c r="C906" s="1165" t="s">
        <v>600</v>
      </c>
      <c r="D906" s="1165"/>
      <c r="E906" s="1169">
        <f>+E901+E905</f>
        <v>2741</v>
      </c>
      <c r="F906" s="1169">
        <f>+F901+F905</f>
        <v>2633</v>
      </c>
      <c r="G906" s="1169">
        <f>+G901+G905</f>
        <v>473364</v>
      </c>
      <c r="H906" s="1165"/>
      <c r="I906" s="1170">
        <f>+I901+I905</f>
        <v>679.6</v>
      </c>
      <c r="J906" s="1214"/>
      <c r="K906" s="1215"/>
      <c r="L906" s="1170" t="e">
        <f>+L901+L905</f>
        <v>#REF!</v>
      </c>
      <c r="M906" s="1170" t="e">
        <f>+M901+M905</f>
        <v>#REF!</v>
      </c>
      <c r="N906" s="1170" t="e">
        <f>L906+M906</f>
        <v>#REF!</v>
      </c>
      <c r="O906" s="1177" t="e">
        <f>ROUND(N906/I906*10,2)</f>
        <v>#REF!</v>
      </c>
    </row>
    <row r="907" spans="1:15" ht="18" x14ac:dyDescent="0.2">
      <c r="A907" s="1199" t="s">
        <v>151</v>
      </c>
      <c r="B907" s="1163"/>
      <c r="C907" s="1163"/>
      <c r="D907" s="1163"/>
      <c r="E907" s="1163"/>
      <c r="F907" s="1163"/>
      <c r="G907" s="1163"/>
      <c r="H907" s="1163"/>
      <c r="I907" s="1176"/>
      <c r="J907" s="1212"/>
      <c r="K907" s="1213"/>
      <c r="L907" s="1176"/>
      <c r="M907" s="1176"/>
      <c r="N907" s="1176"/>
      <c r="O907" s="1176"/>
    </row>
    <row r="908" spans="1:15" ht="18" x14ac:dyDescent="0.2">
      <c r="A908" s="1199" t="s">
        <v>151</v>
      </c>
      <c r="B908" s="1159"/>
      <c r="C908" s="1160" t="s">
        <v>612</v>
      </c>
      <c r="D908" s="1160" t="s">
        <v>604</v>
      </c>
      <c r="E908" s="1168">
        <f t="shared" ref="E908:G911" si="23">+E110+E243+E376+E509+E642+E775</f>
        <v>852</v>
      </c>
      <c r="F908" s="1168">
        <f t="shared" si="23"/>
        <v>822</v>
      </c>
      <c r="G908" s="1168">
        <f t="shared" si="23"/>
        <v>1037486</v>
      </c>
      <c r="H908" s="1162" t="s">
        <v>561</v>
      </c>
      <c r="I908" s="1167">
        <f>+I110+I243+I376+I509+I642+I775</f>
        <v>942.49</v>
      </c>
      <c r="J908" s="1212"/>
      <c r="K908" s="1213"/>
      <c r="L908" s="1167" t="e">
        <f t="shared" ref="L908:M911" si="24">+L110+L243+L376+L509+L642+L775</f>
        <v>#REF!</v>
      </c>
      <c r="M908" s="1167" t="e">
        <f t="shared" si="24"/>
        <v>#REF!</v>
      </c>
      <c r="N908" s="1167" t="e">
        <f>L908+M908</f>
        <v>#REF!</v>
      </c>
      <c r="O908" s="1192" t="e">
        <f>ROUND(N908/I908*10,2)</f>
        <v>#REF!</v>
      </c>
    </row>
    <row r="909" spans="1:15" ht="18" x14ac:dyDescent="0.2">
      <c r="A909" s="1199" t="s">
        <v>151</v>
      </c>
      <c r="B909" s="1159"/>
      <c r="C909" s="1160" t="s">
        <v>613</v>
      </c>
      <c r="D909" s="1160" t="s">
        <v>604</v>
      </c>
      <c r="E909" s="1168">
        <f t="shared" si="23"/>
        <v>332</v>
      </c>
      <c r="F909" s="1168">
        <f t="shared" si="23"/>
        <v>321</v>
      </c>
      <c r="G909" s="1168">
        <f t="shared" si="23"/>
        <v>179754</v>
      </c>
      <c r="H909" s="1162" t="s">
        <v>561</v>
      </c>
      <c r="I909" s="1167">
        <f>+I111+I244+I377+I510+I643+I776</f>
        <v>188.34</v>
      </c>
      <c r="J909" s="1212"/>
      <c r="K909" s="1213"/>
      <c r="L909" s="1167" t="e">
        <f t="shared" si="24"/>
        <v>#REF!</v>
      </c>
      <c r="M909" s="1167" t="e">
        <f t="shared" si="24"/>
        <v>#REF!</v>
      </c>
      <c r="N909" s="1167" t="e">
        <f>L909+M909</f>
        <v>#REF!</v>
      </c>
      <c r="O909" s="1192"/>
    </row>
    <row r="910" spans="1:15" ht="18" x14ac:dyDescent="0.2">
      <c r="A910" s="1199" t="s">
        <v>151</v>
      </c>
      <c r="B910" s="1159"/>
      <c r="C910" s="1160" t="s">
        <v>614</v>
      </c>
      <c r="D910" s="1160" t="s">
        <v>604</v>
      </c>
      <c r="E910" s="1168">
        <f t="shared" si="23"/>
        <v>16</v>
      </c>
      <c r="F910" s="1168">
        <f t="shared" si="23"/>
        <v>15</v>
      </c>
      <c r="G910" s="1168">
        <f t="shared" si="23"/>
        <v>1550</v>
      </c>
      <c r="H910" s="1162" t="s">
        <v>561</v>
      </c>
      <c r="I910" s="1167">
        <f>+I112+I245+I378+I511+I644+I777</f>
        <v>0.76</v>
      </c>
      <c r="J910" s="1212"/>
      <c r="K910" s="1213"/>
      <c r="L910" s="1167" t="e">
        <f t="shared" si="24"/>
        <v>#REF!</v>
      </c>
      <c r="M910" s="1167" t="e">
        <f t="shared" si="24"/>
        <v>#REF!</v>
      </c>
      <c r="N910" s="1167" t="e">
        <f>L910+M910</f>
        <v>#REF!</v>
      </c>
      <c r="O910" s="1192"/>
    </row>
    <row r="911" spans="1:15" ht="18" x14ac:dyDescent="0.2">
      <c r="A911" s="1199" t="s">
        <v>151</v>
      </c>
      <c r="B911" s="1159"/>
      <c r="C911" s="1160" t="s">
        <v>615</v>
      </c>
      <c r="D911" s="1160" t="s">
        <v>604</v>
      </c>
      <c r="E911" s="1168">
        <f t="shared" si="23"/>
        <v>30</v>
      </c>
      <c r="F911" s="1168">
        <f t="shared" si="23"/>
        <v>28</v>
      </c>
      <c r="G911" s="1168">
        <f t="shared" si="23"/>
        <v>2708</v>
      </c>
      <c r="H911" s="1162" t="s">
        <v>561</v>
      </c>
      <c r="I911" s="1167">
        <f>+I113+I246+I379+I512+I645+I778</f>
        <v>2.26999999999998</v>
      </c>
      <c r="J911" s="1212"/>
      <c r="K911" s="1213"/>
      <c r="L911" s="1167" t="e">
        <f t="shared" si="24"/>
        <v>#REF!</v>
      </c>
      <c r="M911" s="1167" t="e">
        <f t="shared" si="24"/>
        <v>#REF!</v>
      </c>
      <c r="N911" s="1167" t="e">
        <f>L911+M911</f>
        <v>#REF!</v>
      </c>
      <c r="O911" s="1192" t="e">
        <f>ROUND(N911/I911*10,2)</f>
        <v>#REF!</v>
      </c>
    </row>
    <row r="912" spans="1:15" ht="18" x14ac:dyDescent="0.2">
      <c r="A912" s="1199" t="s">
        <v>151</v>
      </c>
      <c r="B912" s="1164">
        <v>13</v>
      </c>
      <c r="C912" s="1165" t="s">
        <v>603</v>
      </c>
      <c r="D912" s="1165"/>
      <c r="E912" s="1169">
        <f>SUM(E908:E911)</f>
        <v>1230</v>
      </c>
      <c r="F912" s="1169">
        <f>SUM(F908:F911)</f>
        <v>1186</v>
      </c>
      <c r="G912" s="1169">
        <f>SUM(G908:G911)</f>
        <v>1221498</v>
      </c>
      <c r="H912" s="1165"/>
      <c r="I912" s="1170">
        <f>SUM(I908:I911)</f>
        <v>1133.8599999999999</v>
      </c>
      <c r="J912" s="1214"/>
      <c r="K912" s="1215"/>
      <c r="L912" s="1170" t="e">
        <f>SUM(L908:L911)</f>
        <v>#REF!</v>
      </c>
      <c r="M912" s="1170" t="e">
        <f>SUM(M908:M911)</f>
        <v>#REF!</v>
      </c>
      <c r="N912" s="1170" t="e">
        <f>L912+M912</f>
        <v>#REF!</v>
      </c>
      <c r="O912" s="1177" t="e">
        <f>ROUND(N912/I912*10,2)</f>
        <v>#REF!</v>
      </c>
    </row>
    <row r="913" spans="1:15" ht="18" x14ac:dyDescent="0.2">
      <c r="A913" s="1199" t="s">
        <v>151</v>
      </c>
      <c r="B913" s="1163"/>
      <c r="C913" s="1163"/>
      <c r="D913" s="1163"/>
      <c r="E913" s="1163"/>
      <c r="F913" s="1163"/>
      <c r="G913" s="1163"/>
      <c r="H913" s="1163"/>
      <c r="I913" s="1176"/>
      <c r="J913" s="1212"/>
      <c r="K913" s="1213"/>
      <c r="L913" s="1176"/>
      <c r="M913" s="1176"/>
      <c r="N913" s="1176"/>
      <c r="O913" s="1176"/>
    </row>
    <row r="914" spans="1:15" ht="18" x14ac:dyDescent="0.2">
      <c r="A914" s="1199" t="s">
        <v>151</v>
      </c>
      <c r="B914" s="1159">
        <v>14</v>
      </c>
      <c r="C914" s="1160" t="s">
        <v>312</v>
      </c>
      <c r="D914" s="1160" t="s">
        <v>589</v>
      </c>
      <c r="E914" s="1168">
        <f t="shared" ref="E914:I916" si="25">+E116+E249+E382+E515+E648+E781</f>
        <v>860</v>
      </c>
      <c r="F914" s="1168">
        <f t="shared" si="25"/>
        <v>803</v>
      </c>
      <c r="G914" s="1168">
        <f t="shared" si="25"/>
        <v>120168</v>
      </c>
      <c r="H914" s="1162" t="s">
        <v>561</v>
      </c>
      <c r="I914" s="1167">
        <f t="shared" si="25"/>
        <v>161</v>
      </c>
      <c r="J914" s="1212"/>
      <c r="K914" s="1213"/>
      <c r="L914" s="1167" t="e">
        <f t="shared" ref="L914:M916" si="26">+L116+L249+L382+L515+L648+L781</f>
        <v>#REF!</v>
      </c>
      <c r="M914" s="1167" t="e">
        <f t="shared" si="26"/>
        <v>#REF!</v>
      </c>
      <c r="N914" s="1167" t="e">
        <f>L914+M914</f>
        <v>#REF!</v>
      </c>
      <c r="O914" s="1192" t="e">
        <f>ROUND(N914/I914*10,2)</f>
        <v>#REF!</v>
      </c>
    </row>
    <row r="915" spans="1:15" ht="18" x14ac:dyDescent="0.2">
      <c r="A915" s="1199" t="s">
        <v>151</v>
      </c>
      <c r="B915" s="1163"/>
      <c r="C915" s="1163"/>
      <c r="D915" s="1163"/>
      <c r="E915" s="1163"/>
      <c r="F915" s="1163"/>
      <c r="G915" s="1163"/>
      <c r="H915" s="1163"/>
      <c r="I915" s="1176"/>
      <c r="J915" s="1212"/>
      <c r="K915" s="1213"/>
      <c r="L915" s="1176"/>
      <c r="M915" s="1176"/>
      <c r="N915" s="1176"/>
      <c r="O915" s="1176"/>
    </row>
    <row r="916" spans="1:15" ht="18" x14ac:dyDescent="0.2">
      <c r="A916" s="1199" t="s">
        <v>151</v>
      </c>
      <c r="B916" s="1159">
        <v>15</v>
      </c>
      <c r="C916" s="1160" t="s">
        <v>313</v>
      </c>
      <c r="D916" s="1160" t="s">
        <v>589</v>
      </c>
      <c r="E916" s="1168">
        <f t="shared" si="25"/>
        <v>2979</v>
      </c>
      <c r="F916" s="1168">
        <f t="shared" si="25"/>
        <v>2773</v>
      </c>
      <c r="G916" s="1168">
        <f t="shared" si="25"/>
        <v>296213</v>
      </c>
      <c r="H916" s="1162" t="s">
        <v>561</v>
      </c>
      <c r="I916" s="1167">
        <f t="shared" si="25"/>
        <v>280.82</v>
      </c>
      <c r="J916" s="1212"/>
      <c r="K916" s="1213"/>
      <c r="L916" s="1167" t="e">
        <f t="shared" si="26"/>
        <v>#REF!</v>
      </c>
      <c r="M916" s="1167" t="e">
        <f t="shared" si="26"/>
        <v>#REF!</v>
      </c>
      <c r="N916" s="1167" t="e">
        <f>L916+M916</f>
        <v>#REF!</v>
      </c>
      <c r="O916" s="1192" t="e">
        <f>ROUND(N916/I916*10,2)</f>
        <v>#REF!</v>
      </c>
    </row>
    <row r="917" spans="1:15" ht="18" x14ac:dyDescent="0.2">
      <c r="A917" s="1199" t="s">
        <v>151</v>
      </c>
      <c r="B917" s="1163"/>
      <c r="C917" s="1163"/>
      <c r="D917" s="1163"/>
      <c r="E917" s="1163"/>
      <c r="F917" s="1163"/>
      <c r="G917" s="1163"/>
      <c r="H917" s="1163"/>
      <c r="I917" s="1176"/>
      <c r="J917" s="1212"/>
      <c r="K917" s="1213"/>
      <c r="L917" s="1176"/>
      <c r="M917" s="1176"/>
      <c r="N917" s="1176"/>
      <c r="O917" s="1176"/>
    </row>
    <row r="918" spans="1:15" ht="18" x14ac:dyDescent="0.2">
      <c r="A918" s="1199" t="s">
        <v>151</v>
      </c>
      <c r="B918" s="1194"/>
      <c r="C918" s="1195" t="s">
        <v>605</v>
      </c>
      <c r="D918" s="1195"/>
      <c r="E918" s="1196">
        <f>E879+E888+E897+E906+E912+E914+E916</f>
        <v>37112</v>
      </c>
      <c r="F918" s="1196">
        <f>F879+F888+F897+F906+F912+F914+F916</f>
        <v>35952</v>
      </c>
      <c r="G918" s="1196">
        <f>G879+G888+G897+G906+G912+G914+G916</f>
        <v>13273334</v>
      </c>
      <c r="H918" s="1195"/>
      <c r="I918" s="1205">
        <f>I879+I888+I897+I906+I912+I914+I916</f>
        <v>16194.8</v>
      </c>
      <c r="J918" s="1217"/>
      <c r="K918" s="1218"/>
      <c r="L918" s="1211" t="e">
        <f>L879+L888+L897+L906+L912+L914+L916</f>
        <v>#REF!</v>
      </c>
      <c r="M918" s="1193" t="e">
        <f>M879+M888+M897+M906+M912+M914+M916</f>
        <v>#REF!</v>
      </c>
      <c r="N918" s="1193" t="e">
        <f>L918+M918</f>
        <v>#REF!</v>
      </c>
      <c r="O918" s="1193" t="e">
        <f>ROUND(N918/I918*10,2)</f>
        <v>#REF!</v>
      </c>
    </row>
    <row r="919" spans="1:15" ht="18" x14ac:dyDescent="0.2">
      <c r="A919" s="1199" t="s">
        <v>151</v>
      </c>
      <c r="B919" s="1163"/>
      <c r="C919" s="1163"/>
      <c r="D919" s="1163"/>
      <c r="E919" s="1163"/>
      <c r="F919" s="1163"/>
      <c r="G919" s="1163"/>
      <c r="H919" s="1163"/>
      <c r="I919" s="1176"/>
      <c r="J919" s="1212"/>
      <c r="K919" s="1213"/>
      <c r="L919" s="1176"/>
      <c r="M919" s="1176"/>
      <c r="N919" s="1176"/>
      <c r="O919" s="1176"/>
    </row>
    <row r="920" spans="1:15" ht="18" x14ac:dyDescent="0.2">
      <c r="A920" s="1199" t="s">
        <v>151</v>
      </c>
      <c r="B920" s="1194"/>
      <c r="C920" s="1195" t="s">
        <v>606</v>
      </c>
      <c r="D920" s="1195"/>
      <c r="E920" s="1196">
        <f>E877+E918</f>
        <v>31105727</v>
      </c>
      <c r="F920" s="1196">
        <f>F877+F918</f>
        <v>30555377</v>
      </c>
      <c r="G920" s="1196">
        <f>G877+G918</f>
        <v>84681377</v>
      </c>
      <c r="H920" s="1195"/>
      <c r="I920" s="1205">
        <f>I877+I918</f>
        <v>64089.801000000007</v>
      </c>
      <c r="J920" s="1217"/>
      <c r="K920" s="1218"/>
      <c r="L920" s="1211" t="e">
        <f>L877+L918</f>
        <v>#REF!</v>
      </c>
      <c r="M920" s="1193" t="e">
        <f>M877+M918</f>
        <v>#REF!</v>
      </c>
      <c r="N920" s="1193" t="e">
        <f>L920+M920</f>
        <v>#REF!</v>
      </c>
      <c r="O920" s="1193" t="e">
        <f>ROUND(N920/I920*10,2)</f>
        <v>#REF!</v>
      </c>
    </row>
    <row r="921" spans="1:15" ht="18" x14ac:dyDescent="0.2">
      <c r="A921" s="1199" t="s">
        <v>151</v>
      </c>
      <c r="B921" s="1163"/>
      <c r="C921" s="1163"/>
      <c r="D921" s="1163"/>
      <c r="E921" s="1163"/>
      <c r="F921" s="1163"/>
      <c r="G921" s="1163"/>
      <c r="H921" s="1163"/>
      <c r="I921" s="1176"/>
      <c r="J921" s="1212"/>
      <c r="K921" s="1213"/>
      <c r="L921" s="1176"/>
      <c r="M921" s="1176"/>
      <c r="N921" s="1176"/>
      <c r="O921" s="1176"/>
    </row>
    <row r="922" spans="1:15" ht="18" x14ac:dyDescent="0.2">
      <c r="A922" s="1199" t="s">
        <v>151</v>
      </c>
      <c r="B922" s="1159">
        <v>16</v>
      </c>
      <c r="C922" s="1160"/>
      <c r="D922" s="1160"/>
      <c r="E922" s="1168"/>
      <c r="F922" s="1168"/>
      <c r="G922" s="1160"/>
      <c r="H922" s="1162"/>
      <c r="I922" s="1202"/>
      <c r="J922" s="1212"/>
      <c r="K922" s="1213"/>
      <c r="L922" s="1208"/>
      <c r="M922" s="1167"/>
      <c r="N922" s="1167"/>
      <c r="O922" s="1192"/>
    </row>
    <row r="923" spans="1:15" ht="18" x14ac:dyDescent="0.2">
      <c r="A923" s="1199" t="s">
        <v>151</v>
      </c>
      <c r="B923" s="1163"/>
      <c r="C923" s="1163"/>
      <c r="D923" s="1163"/>
      <c r="E923" s="1163"/>
      <c r="F923" s="1163"/>
      <c r="G923" s="1163"/>
      <c r="H923" s="1163"/>
      <c r="I923" s="1176"/>
      <c r="J923" s="1212"/>
      <c r="K923" s="1213"/>
      <c r="L923" s="1176"/>
      <c r="M923" s="1176"/>
      <c r="N923" s="1176"/>
      <c r="O923" s="1176"/>
    </row>
    <row r="924" spans="1:15" ht="18" x14ac:dyDescent="0.2">
      <c r="A924" s="1199" t="s">
        <v>151</v>
      </c>
      <c r="B924" s="1159">
        <v>17</v>
      </c>
      <c r="C924" s="1160"/>
      <c r="D924" s="1160"/>
      <c r="E924" s="1168"/>
      <c r="F924" s="1168"/>
      <c r="G924" s="1160"/>
      <c r="H924" s="1162"/>
      <c r="I924" s="1202"/>
      <c r="J924" s="1212"/>
      <c r="K924" s="1213"/>
      <c r="L924" s="1208"/>
      <c r="M924" s="1167"/>
      <c r="N924" s="1167"/>
      <c r="O924" s="1192"/>
    </row>
    <row r="925" spans="1:15" ht="18" x14ac:dyDescent="0.2">
      <c r="A925" s="1199" t="s">
        <v>151</v>
      </c>
      <c r="B925" s="1163"/>
      <c r="C925" s="1163"/>
      <c r="D925" s="1163"/>
      <c r="E925" s="1163"/>
      <c r="F925" s="1163"/>
      <c r="G925" s="1163"/>
      <c r="H925" s="1163"/>
      <c r="I925" s="1176"/>
      <c r="J925" s="1212"/>
      <c r="K925" s="1213"/>
      <c r="L925" s="1176"/>
      <c r="M925" s="1176"/>
      <c r="N925" s="1176"/>
      <c r="O925" s="1176"/>
    </row>
    <row r="926" spans="1:15" ht="18" x14ac:dyDescent="0.2">
      <c r="A926" s="1199" t="s">
        <v>151</v>
      </c>
      <c r="B926" s="1159">
        <v>18</v>
      </c>
      <c r="C926" s="1160"/>
      <c r="D926" s="1160" t="s">
        <v>305</v>
      </c>
      <c r="E926" s="1168"/>
      <c r="F926" s="1168"/>
      <c r="G926" s="1160"/>
      <c r="H926" s="1162"/>
      <c r="I926" s="1202"/>
      <c r="J926" s="1212"/>
      <c r="K926" s="1213"/>
      <c r="L926" s="1167">
        <f>+L128+L261+L394+L527+L660</f>
        <v>0</v>
      </c>
      <c r="M926" s="1167">
        <f>+M128+M261+M394+M527+M660</f>
        <v>1597.9799999999998</v>
      </c>
      <c r="N926" s="1167">
        <f>L926+M926</f>
        <v>1597.9799999999998</v>
      </c>
      <c r="O926" s="1192"/>
    </row>
    <row r="927" spans="1:15" ht="18" x14ac:dyDescent="0.2">
      <c r="A927" s="1199" t="s">
        <v>151</v>
      </c>
      <c r="B927" s="1163"/>
      <c r="C927" s="1163"/>
      <c r="D927" s="1163"/>
      <c r="E927" s="1163"/>
      <c r="F927" s="1163"/>
      <c r="G927" s="1163"/>
      <c r="H927" s="1163"/>
      <c r="I927" s="1176"/>
      <c r="J927" s="1212"/>
      <c r="K927" s="1213"/>
      <c r="L927" s="1176"/>
      <c r="M927" s="1176"/>
      <c r="N927" s="1176"/>
      <c r="O927" s="1176"/>
    </row>
    <row r="928" spans="1:15" ht="18" x14ac:dyDescent="0.2">
      <c r="A928" s="1199" t="s">
        <v>151</v>
      </c>
      <c r="B928" s="1194"/>
      <c r="C928" s="1195" t="s">
        <v>607</v>
      </c>
      <c r="D928" s="1195"/>
      <c r="E928" s="1196">
        <f>E920+E926+E922+E924</f>
        <v>31105727</v>
      </c>
      <c r="F928" s="1196">
        <f>F920+F926+F922+F924</f>
        <v>30555377</v>
      </c>
      <c r="G928" s="1196">
        <f>G920+G926+G922+G924</f>
        <v>84681377</v>
      </c>
      <c r="H928" s="1195"/>
      <c r="I928" s="1205">
        <f>I920+I926+I922+I924</f>
        <v>64089.801000000007</v>
      </c>
      <c r="J928" s="1219"/>
      <c r="K928" s="1220"/>
      <c r="L928" s="1211" t="e">
        <f>L920+L926+L922+L924</f>
        <v>#REF!</v>
      </c>
      <c r="M928" s="1193" t="e">
        <f>M920+M926+M922+M924</f>
        <v>#REF!</v>
      </c>
      <c r="N928" s="1193" t="e">
        <f>L928+M928</f>
        <v>#REF!</v>
      </c>
      <c r="O928" s="1193" t="e">
        <f>ROUND(N928/I928*10,2)</f>
        <v>#REF!</v>
      </c>
    </row>
    <row r="930" spans="5:15" x14ac:dyDescent="0.15">
      <c r="L930" s="1223"/>
      <c r="M930" s="1223"/>
      <c r="N930" s="1223"/>
    </row>
    <row r="931" spans="5:15" x14ac:dyDescent="0.15">
      <c r="E931" s="1221"/>
      <c r="F931" s="1221"/>
      <c r="G931" s="1221"/>
      <c r="I931" s="1224"/>
      <c r="L931" s="1224"/>
      <c r="M931" s="1224"/>
      <c r="N931" s="1224"/>
      <c r="O931" s="1224"/>
    </row>
    <row r="932" spans="5:15" x14ac:dyDescent="0.15">
      <c r="I932" s="1224">
        <f>+I920-I787</f>
        <v>63722.400000000009</v>
      </c>
      <c r="J932" s="1224" t="e">
        <f>+L920-L787</f>
        <v>#REF!</v>
      </c>
      <c r="K932" s="1224" t="e">
        <f>+M920-M787</f>
        <v>#REF!</v>
      </c>
      <c r="L932" s="1224" t="e">
        <f>+N920-N787</f>
        <v>#REF!</v>
      </c>
      <c r="O932" s="1224"/>
    </row>
    <row r="934" spans="5:15" x14ac:dyDescent="0.15">
      <c r="E934" s="1221"/>
      <c r="F934" s="1221"/>
      <c r="G934" s="1221"/>
      <c r="H934" s="1221"/>
      <c r="I934" s="1221"/>
      <c r="J934" s="1221"/>
      <c r="K934" s="1221"/>
      <c r="L934" s="1221"/>
      <c r="M934" s="1221"/>
      <c r="N934" s="1221"/>
      <c r="O934" s="1221"/>
    </row>
    <row r="935" spans="5:15" x14ac:dyDescent="0.15">
      <c r="E935" s="1221"/>
      <c r="F935" s="1221"/>
      <c r="G935" s="1221"/>
      <c r="H935" s="1221"/>
      <c r="I935" s="1224"/>
      <c r="J935" s="1221"/>
      <c r="K935" s="1221"/>
      <c r="L935" s="1221"/>
      <c r="M935" s="1221"/>
      <c r="N935" s="1221"/>
      <c r="O935" s="1221"/>
    </row>
    <row r="940" spans="5:15" x14ac:dyDescent="0.15">
      <c r="I940" s="122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P152"/>
  <sheetViews>
    <sheetView zoomScale="75" zoomScaleNormal="75" workbookViewId="0">
      <selection activeCell="J8" sqref="J8"/>
    </sheetView>
  </sheetViews>
  <sheetFormatPr defaultColWidth="9.16796875" defaultRowHeight="14.25" x14ac:dyDescent="0.15"/>
  <cols>
    <col min="1" max="1" width="12.5390625" style="1227" customWidth="1"/>
    <col min="2" max="2" width="7.68359375" style="1244" customWidth="1"/>
    <col min="3" max="7" width="13.75390625" style="1227" customWidth="1"/>
    <col min="8" max="8" width="9.16796875" style="1227"/>
    <col min="9" max="11" width="13.75390625" style="1227" customWidth="1"/>
    <col min="12" max="12" width="9.16796875" style="1227"/>
    <col min="13" max="16" width="13.75390625" style="1227" customWidth="1"/>
    <col min="17" max="16384" width="9.16796875" style="1227"/>
  </cols>
  <sheetData>
    <row r="2" spans="1:16" ht="22.5" x14ac:dyDescent="0.5">
      <c r="D2" s="1245" t="s">
        <v>627</v>
      </c>
    </row>
    <row r="5" spans="1:16" x14ac:dyDescent="0.15">
      <c r="B5" s="1228" t="s">
        <v>609</v>
      </c>
      <c r="E5" s="1229" t="s">
        <v>624</v>
      </c>
      <c r="F5" s="1230"/>
      <c r="G5" s="1231"/>
      <c r="I5" s="1229" t="s">
        <v>625</v>
      </c>
      <c r="J5" s="1230"/>
      <c r="K5" s="1231"/>
      <c r="M5" s="1229" t="s">
        <v>626</v>
      </c>
      <c r="N5" s="1230"/>
      <c r="O5" s="1230"/>
      <c r="P5" s="1253" t="s">
        <v>628</v>
      </c>
    </row>
    <row r="6" spans="1:16" x14ac:dyDescent="0.15">
      <c r="B6" s="1232" t="s">
        <v>472</v>
      </c>
      <c r="C6" s="1232" t="s">
        <v>474</v>
      </c>
      <c r="D6" s="1233" t="s">
        <v>475</v>
      </c>
      <c r="E6" s="1234" t="s">
        <v>610</v>
      </c>
      <c r="F6" s="1234" t="s">
        <v>611</v>
      </c>
      <c r="G6" s="1234" t="s">
        <v>488</v>
      </c>
      <c r="I6" s="1234" t="s">
        <v>610</v>
      </c>
      <c r="J6" s="1234" t="s">
        <v>611</v>
      </c>
      <c r="K6" s="1234" t="s">
        <v>488</v>
      </c>
      <c r="M6" s="1234" t="s">
        <v>610</v>
      </c>
      <c r="N6" s="1234" t="s">
        <v>611</v>
      </c>
      <c r="O6" s="1251" t="s">
        <v>488</v>
      </c>
      <c r="P6" s="1254" t="s">
        <v>629</v>
      </c>
    </row>
    <row r="7" spans="1:16" x14ac:dyDescent="0.15">
      <c r="B7" s="1235" t="s">
        <v>473</v>
      </c>
      <c r="C7" s="1235" t="s">
        <v>31</v>
      </c>
      <c r="D7" s="1236" t="s">
        <v>476</v>
      </c>
      <c r="E7" s="1235" t="s">
        <v>481</v>
      </c>
      <c r="F7" s="1235" t="s">
        <v>481</v>
      </c>
      <c r="G7" s="1235" t="s">
        <v>481</v>
      </c>
      <c r="I7" s="1235" t="s">
        <v>481</v>
      </c>
      <c r="J7" s="1235" t="s">
        <v>481</v>
      </c>
      <c r="K7" s="1235" t="s">
        <v>481</v>
      </c>
      <c r="M7" s="1235" t="s">
        <v>481</v>
      </c>
      <c r="N7" s="1235" t="s">
        <v>481</v>
      </c>
      <c r="O7" s="1236" t="s">
        <v>481</v>
      </c>
      <c r="P7" s="1255" t="s">
        <v>630</v>
      </c>
    </row>
    <row r="8" spans="1:16" ht="16.5" x14ac:dyDescent="0.2">
      <c r="A8" s="1250" t="s">
        <v>18</v>
      </c>
      <c r="B8" s="1228">
        <v>1</v>
      </c>
      <c r="C8" s="1229" t="s">
        <v>484</v>
      </c>
      <c r="D8" s="1229" t="e">
        <f>+#REF!</f>
        <v>#REF!</v>
      </c>
      <c r="E8" s="1229" t="e">
        <f>+#REF!</f>
        <v>#REF!</v>
      </c>
      <c r="F8" s="1229" t="e">
        <f>+#REF!</f>
        <v>#REF!</v>
      </c>
      <c r="G8" s="1229" t="e">
        <f>+#REF!</f>
        <v>#REF!</v>
      </c>
      <c r="I8" s="1229">
        <f>+'Urban Rural Impact calculations'!$L$8</f>
        <v>8.1999999999999993</v>
      </c>
      <c r="J8" s="1229" t="e">
        <f>+'Urban Rural Impact calculations'!$M$8</f>
        <v>#REF!</v>
      </c>
      <c r="K8" s="1229" t="e">
        <f>+'Urban Rural Impact calculations'!$N$8</f>
        <v>#REF!</v>
      </c>
      <c r="M8" s="1229" t="e">
        <f>+I8-E8</f>
        <v>#REF!</v>
      </c>
      <c r="N8" s="1229" t="e">
        <f t="shared" ref="N8:N15" si="0">+J8-F8</f>
        <v>#REF!</v>
      </c>
      <c r="O8" s="1229" t="e">
        <f>+M8+N8</f>
        <v>#REF!</v>
      </c>
      <c r="P8" s="1252" t="e">
        <f>ROUND(O8/D8*1000,0)</f>
        <v>#REF!</v>
      </c>
    </row>
    <row r="9" spans="1:16" ht="16.5" x14ac:dyDescent="0.2">
      <c r="A9" s="1250" t="s">
        <v>18</v>
      </c>
      <c r="B9" s="1228">
        <v>2</v>
      </c>
      <c r="C9" s="1229" t="s">
        <v>490</v>
      </c>
      <c r="D9" s="1229" t="e">
        <f>+#REF!</f>
        <v>#REF!</v>
      </c>
      <c r="E9" s="1229" t="e">
        <f>+#REF!</f>
        <v>#REF!</v>
      </c>
      <c r="F9" s="1229" t="e">
        <f>+#REF!</f>
        <v>#REF!</v>
      </c>
      <c r="G9" s="1229" t="e">
        <f>+#REF!</f>
        <v>#REF!</v>
      </c>
      <c r="I9" s="1229" t="e">
        <f>+'Urban Rural Impact calculations'!$L$21</f>
        <v>#REF!</v>
      </c>
      <c r="J9" s="1229" t="e">
        <f>+'Urban Rural Impact calculations'!$M$21</f>
        <v>#REF!</v>
      </c>
      <c r="K9" s="1229" t="e">
        <f>+'Urban Rural Impact calculations'!$N$21</f>
        <v>#REF!</v>
      </c>
      <c r="M9" s="1229" t="e">
        <f t="shared" ref="M9:M15" si="1">+I9-E9</f>
        <v>#REF!</v>
      </c>
      <c r="N9" s="1229" t="e">
        <f t="shared" si="0"/>
        <v>#REF!</v>
      </c>
      <c r="O9" s="1229" t="e">
        <f t="shared" ref="O9:O15" si="2">+M9+N9</f>
        <v>#REF!</v>
      </c>
      <c r="P9" s="1246" t="e">
        <f t="shared" ref="P9:P27" si="3">ROUND(O9/D9*1000,0)</f>
        <v>#REF!</v>
      </c>
    </row>
    <row r="10" spans="1:16" ht="16.5" x14ac:dyDescent="0.2">
      <c r="A10" s="1250" t="s">
        <v>18</v>
      </c>
      <c r="B10" s="1228">
        <v>3</v>
      </c>
      <c r="C10" s="1229" t="s">
        <v>553</v>
      </c>
      <c r="D10" s="1229" t="e">
        <f>+#REF!</f>
        <v>#REF!</v>
      </c>
      <c r="E10" s="1229" t="e">
        <f>+#REF!</f>
        <v>#REF!</v>
      </c>
      <c r="F10" s="1229" t="e">
        <f>+#REF!</f>
        <v>#REF!</v>
      </c>
      <c r="G10" s="1229" t="e">
        <f>+#REF!</f>
        <v>#REF!</v>
      </c>
      <c r="I10" s="1229" t="e">
        <f>+'Urban Rural Impact calculations'!$L$32</f>
        <v>#REF!</v>
      </c>
      <c r="J10" s="1229" t="e">
        <f>+'Urban Rural Impact calculations'!$M$32</f>
        <v>#REF!</v>
      </c>
      <c r="K10" s="1229" t="e">
        <f>+'Urban Rural Impact calculations'!$N$32</f>
        <v>#REF!</v>
      </c>
      <c r="M10" s="1229" t="e">
        <f t="shared" si="1"/>
        <v>#REF!</v>
      </c>
      <c r="N10" s="1229" t="e">
        <f t="shared" si="0"/>
        <v>#REF!</v>
      </c>
      <c r="O10" s="1229" t="e">
        <f t="shared" si="2"/>
        <v>#REF!</v>
      </c>
      <c r="P10" s="1246" t="e">
        <f t="shared" si="3"/>
        <v>#REF!</v>
      </c>
    </row>
    <row r="11" spans="1:16" ht="16.5" x14ac:dyDescent="0.2">
      <c r="A11" s="1250" t="s">
        <v>18</v>
      </c>
      <c r="B11" s="1228">
        <v>4</v>
      </c>
      <c r="C11" s="1229" t="s">
        <v>557</v>
      </c>
      <c r="D11" s="1229" t="e">
        <f>+#REF!</f>
        <v>#REF!</v>
      </c>
      <c r="E11" s="1229" t="e">
        <f>+#REF!</f>
        <v>#REF!</v>
      </c>
      <c r="F11" s="1229" t="e">
        <f>+#REF!</f>
        <v>#REF!</v>
      </c>
      <c r="G11" s="1229" t="e">
        <f>+#REF!</f>
        <v>#REF!</v>
      </c>
      <c r="I11" s="1229" t="e">
        <f>+'Urban Rural Impact calculations'!$L$41</f>
        <v>#REF!</v>
      </c>
      <c r="J11" s="1229" t="e">
        <f>+'Urban Rural Impact calculations'!$M$41</f>
        <v>#REF!</v>
      </c>
      <c r="K11" s="1229" t="e">
        <f>+'Urban Rural Impact calculations'!$N$41</f>
        <v>#REF!</v>
      </c>
      <c r="M11" s="1229" t="e">
        <f t="shared" si="1"/>
        <v>#REF!</v>
      </c>
      <c r="N11" s="1229" t="e">
        <f t="shared" si="0"/>
        <v>#REF!</v>
      </c>
      <c r="O11" s="1229" t="e">
        <f t="shared" si="2"/>
        <v>#REF!</v>
      </c>
      <c r="P11" s="1246" t="e">
        <f t="shared" si="3"/>
        <v>#REF!</v>
      </c>
    </row>
    <row r="12" spans="1:16" ht="16.5" x14ac:dyDescent="0.2">
      <c r="A12" s="1250" t="s">
        <v>18</v>
      </c>
      <c r="B12" s="1228">
        <v>5</v>
      </c>
      <c r="C12" s="1229" t="s">
        <v>566</v>
      </c>
      <c r="D12" s="1229" t="e">
        <f>+#REF!</f>
        <v>#REF!</v>
      </c>
      <c r="E12" s="1229" t="e">
        <f>+#REF!</f>
        <v>#REF!</v>
      </c>
      <c r="F12" s="1229" t="e">
        <f>+#REF!</f>
        <v>#REF!</v>
      </c>
      <c r="G12" s="1229" t="e">
        <f>+#REF!</f>
        <v>#REF!</v>
      </c>
      <c r="I12" s="1229" t="e">
        <f>+'Urban Rural Impact calculations'!$L$46</f>
        <v>#REF!</v>
      </c>
      <c r="J12" s="1229" t="e">
        <f>+'Urban Rural Impact calculations'!$M$46</f>
        <v>#REF!</v>
      </c>
      <c r="K12" s="1229" t="e">
        <f>+'Urban Rural Impact calculations'!$N$46</f>
        <v>#REF!</v>
      </c>
      <c r="M12" s="1229" t="e">
        <f t="shared" si="1"/>
        <v>#REF!</v>
      </c>
      <c r="N12" s="1229" t="e">
        <f t="shared" si="0"/>
        <v>#REF!</v>
      </c>
      <c r="O12" s="1229" t="e">
        <f t="shared" si="2"/>
        <v>#REF!</v>
      </c>
      <c r="P12" s="1246" t="e">
        <f t="shared" si="3"/>
        <v>#REF!</v>
      </c>
    </row>
    <row r="13" spans="1:16" ht="16.5" x14ac:dyDescent="0.2">
      <c r="A13" s="1250" t="s">
        <v>18</v>
      </c>
      <c r="B13" s="1228">
        <v>6</v>
      </c>
      <c r="C13" s="1229" t="s">
        <v>567</v>
      </c>
      <c r="D13" s="1229" t="e">
        <f>+#REF!</f>
        <v>#REF!</v>
      </c>
      <c r="E13" s="1229" t="e">
        <f>+#REF!</f>
        <v>#REF!</v>
      </c>
      <c r="F13" s="1229" t="e">
        <f>+#REF!</f>
        <v>#REF!</v>
      </c>
      <c r="G13" s="1229" t="e">
        <f>+#REF!</f>
        <v>#REF!</v>
      </c>
      <c r="I13" s="1229" t="e">
        <f>+'Urban Rural Impact calculations'!$L$61</f>
        <v>#REF!</v>
      </c>
      <c r="J13" s="1229" t="e">
        <f>+'Urban Rural Impact calculations'!$M$61</f>
        <v>#REF!</v>
      </c>
      <c r="K13" s="1229" t="e">
        <f>+'Urban Rural Impact calculations'!$N$61</f>
        <v>#REF!</v>
      </c>
      <c r="M13" s="1229" t="e">
        <f t="shared" si="1"/>
        <v>#REF!</v>
      </c>
      <c r="N13" s="1229" t="e">
        <f t="shared" si="0"/>
        <v>#REF!</v>
      </c>
      <c r="O13" s="1229" t="e">
        <f t="shared" si="2"/>
        <v>#REF!</v>
      </c>
      <c r="P13" s="1246" t="e">
        <f t="shared" si="3"/>
        <v>#REF!</v>
      </c>
    </row>
    <row r="14" spans="1:16" ht="16.5" x14ac:dyDescent="0.2">
      <c r="A14" s="1250" t="s">
        <v>18</v>
      </c>
      <c r="B14" s="1228">
        <v>7</v>
      </c>
      <c r="C14" s="1229" t="s">
        <v>577</v>
      </c>
      <c r="D14" s="1229" t="e">
        <f>+#REF!</f>
        <v>#REF!</v>
      </c>
      <c r="E14" s="1229" t="e">
        <f>+#REF!</f>
        <v>#REF!</v>
      </c>
      <c r="F14" s="1229" t="e">
        <f>+#REF!</f>
        <v>#REF!</v>
      </c>
      <c r="G14" s="1229" t="e">
        <f>+#REF!</f>
        <v>#REF!</v>
      </c>
      <c r="I14" s="1229" t="e">
        <f>+'Urban Rural Impact calculations'!$L$73</f>
        <v>#REF!</v>
      </c>
      <c r="J14" s="1229" t="e">
        <f>+'Urban Rural Impact calculations'!$M$73</f>
        <v>#REF!</v>
      </c>
      <c r="K14" s="1229" t="e">
        <f>+'Urban Rural Impact calculations'!$N$73</f>
        <v>#REF!</v>
      </c>
      <c r="M14" s="1229" t="e">
        <f t="shared" si="1"/>
        <v>#REF!</v>
      </c>
      <c r="N14" s="1229" t="e">
        <f t="shared" si="0"/>
        <v>#REF!</v>
      </c>
      <c r="O14" s="1229" t="e">
        <f t="shared" si="2"/>
        <v>#REF!</v>
      </c>
      <c r="P14" s="1246" t="e">
        <f t="shared" si="3"/>
        <v>#REF!</v>
      </c>
    </row>
    <row r="15" spans="1:16" ht="16.5" x14ac:dyDescent="0.2">
      <c r="A15" s="1250" t="s">
        <v>18</v>
      </c>
      <c r="B15" s="1228">
        <v>8</v>
      </c>
      <c r="C15" s="1229" t="s">
        <v>587</v>
      </c>
      <c r="D15" s="1229" t="e">
        <f>+#REF!</f>
        <v>#REF!</v>
      </c>
      <c r="E15" s="1229" t="e">
        <f>+#REF!</f>
        <v>#REF!</v>
      </c>
      <c r="F15" s="1229" t="e">
        <f>+#REF!</f>
        <v>#REF!</v>
      </c>
      <c r="G15" s="1229" t="e">
        <f>+#REF!</f>
        <v>#REF!</v>
      </c>
      <c r="I15" s="1229" t="e">
        <f>+'Urban Rural Impact calculations'!$L$77</f>
        <v>#REF!</v>
      </c>
      <c r="J15" s="1229" t="e">
        <f>+'Urban Rural Impact calculations'!$M$77</f>
        <v>#REF!</v>
      </c>
      <c r="K15" s="1229" t="e">
        <f>+'Urban Rural Impact calculations'!$N$77</f>
        <v>#REF!</v>
      </c>
      <c r="M15" s="1229" t="e">
        <f t="shared" si="1"/>
        <v>#REF!</v>
      </c>
      <c r="N15" s="1229" t="e">
        <f t="shared" si="0"/>
        <v>#REF!</v>
      </c>
      <c r="O15" s="1229" t="e">
        <f t="shared" si="2"/>
        <v>#REF!</v>
      </c>
      <c r="P15" s="1246" t="e">
        <f t="shared" si="3"/>
        <v>#REF!</v>
      </c>
    </row>
    <row r="16" spans="1:16" ht="16.5" x14ac:dyDescent="0.2">
      <c r="A16" s="1250" t="s">
        <v>18</v>
      </c>
      <c r="B16" s="1237"/>
      <c r="C16" s="1238" t="s">
        <v>588</v>
      </c>
      <c r="D16" s="1238" t="e">
        <f>D8+D9+D10+D11+D12+D13+D14+D15</f>
        <v>#REF!</v>
      </c>
      <c r="E16" s="1238" t="e">
        <f>E8+E9+E10+E11+E12+E13+E14+E15</f>
        <v>#REF!</v>
      </c>
      <c r="F16" s="1238" t="e">
        <f>F8+F9+F10+F11+F12+F13+F14+F15</f>
        <v>#REF!</v>
      </c>
      <c r="G16" s="1238" t="e">
        <f>G8+G9+G10+G11+G12+G13+G14+G15</f>
        <v>#REF!</v>
      </c>
      <c r="I16" s="1238" t="e">
        <f>I8+I9+I10+I11+I12+I13+I14+I15</f>
        <v>#REF!</v>
      </c>
      <c r="J16" s="1238" t="e">
        <f>J8+J9+J10+J11+J12+J13+J14+J15</f>
        <v>#REF!</v>
      </c>
      <c r="K16" s="1238" t="e">
        <f>K8+K9+K10+K11+K12+K13+K14+K15</f>
        <v>#REF!</v>
      </c>
      <c r="M16" s="1238" t="e">
        <f>M8+M9+M10+M11+M12+M13+M14+M15</f>
        <v>#REF!</v>
      </c>
      <c r="N16" s="1238" t="e">
        <f>N8+N9+N10+N11+N12+N13+N14+N15</f>
        <v>#REF!</v>
      </c>
      <c r="O16" s="1238" t="e">
        <f>O8+O9+O10+O11+O12+O13+O14+O15</f>
        <v>#REF!</v>
      </c>
      <c r="P16" s="1247" t="e">
        <f t="shared" si="3"/>
        <v>#REF!</v>
      </c>
    </row>
    <row r="17" spans="1:16" ht="16.5" x14ac:dyDescent="0.2">
      <c r="A17" s="1250" t="s">
        <v>18</v>
      </c>
      <c r="B17" s="1227"/>
    </row>
    <row r="18" spans="1:16" ht="16.5" x14ac:dyDescent="0.2">
      <c r="A18" s="1250" t="s">
        <v>18</v>
      </c>
      <c r="B18" s="1239">
        <v>9</v>
      </c>
      <c r="C18" s="1240" t="s">
        <v>16</v>
      </c>
      <c r="D18" s="1229" t="e">
        <f>+#REF!</f>
        <v>#REF!</v>
      </c>
      <c r="E18" s="1229" t="e">
        <f>+#REF!</f>
        <v>#REF!</v>
      </c>
      <c r="F18" s="1229" t="e">
        <f>+#REF!</f>
        <v>#REF!</v>
      </c>
      <c r="G18" s="1229" t="e">
        <f>+#REF!</f>
        <v>#REF!</v>
      </c>
      <c r="I18" s="1229" t="e">
        <f>+'Urban Rural Impact calculations'!$L$81</f>
        <v>#REF!</v>
      </c>
      <c r="J18" s="1229" t="e">
        <f>+'Urban Rural Impact calculations'!$M$81</f>
        <v>#REF!</v>
      </c>
      <c r="K18" s="1229" t="e">
        <f>+'Urban Rural Impact calculations'!$N$81</f>
        <v>#REF!</v>
      </c>
      <c r="M18" s="1229" t="e">
        <f t="shared" ref="M18:M24" si="4">+I18-E18</f>
        <v>#REF!</v>
      </c>
      <c r="N18" s="1229" t="e">
        <f t="shared" ref="N18:N24" si="5">+J18-F18</f>
        <v>#REF!</v>
      </c>
      <c r="O18" s="1229" t="e">
        <f t="shared" ref="O18:O24" si="6">+M18+N18</f>
        <v>#REF!</v>
      </c>
      <c r="P18" s="1246" t="e">
        <f t="shared" si="3"/>
        <v>#REF!</v>
      </c>
    </row>
    <row r="19" spans="1:16" ht="16.5" x14ac:dyDescent="0.2">
      <c r="A19" s="1250" t="s">
        <v>18</v>
      </c>
      <c r="B19" s="1228">
        <v>10</v>
      </c>
      <c r="C19" s="1229" t="s">
        <v>592</v>
      </c>
      <c r="D19" s="1229" t="e">
        <f>+#REF!</f>
        <v>#REF!</v>
      </c>
      <c r="E19" s="1229" t="e">
        <f>+#REF!</f>
        <v>#REF!</v>
      </c>
      <c r="F19" s="1229" t="e">
        <f>+#REF!</f>
        <v>#REF!</v>
      </c>
      <c r="G19" s="1229" t="e">
        <f>+#REF!</f>
        <v>#REF!</v>
      </c>
      <c r="I19" s="1229" t="e">
        <f>+'Urban Rural Impact calculations'!$L$90</f>
        <v>#REF!</v>
      </c>
      <c r="J19" s="1229" t="e">
        <f>+'Urban Rural Impact calculations'!$M$90</f>
        <v>#REF!</v>
      </c>
      <c r="K19" s="1229" t="e">
        <f>+'Urban Rural Impact calculations'!$N$90</f>
        <v>#REF!</v>
      </c>
      <c r="M19" s="1229" t="e">
        <f t="shared" si="4"/>
        <v>#REF!</v>
      </c>
      <c r="N19" s="1229" t="e">
        <f t="shared" si="5"/>
        <v>#REF!</v>
      </c>
      <c r="O19" s="1229" t="e">
        <f t="shared" si="6"/>
        <v>#REF!</v>
      </c>
      <c r="P19" s="1246" t="e">
        <f t="shared" si="3"/>
        <v>#REF!</v>
      </c>
    </row>
    <row r="20" spans="1:16" ht="16.5" x14ac:dyDescent="0.2">
      <c r="A20" s="1250" t="s">
        <v>18</v>
      </c>
      <c r="B20" s="1228">
        <v>11</v>
      </c>
      <c r="C20" s="1229" t="s">
        <v>595</v>
      </c>
      <c r="D20" s="1229" t="e">
        <f>+#REF!</f>
        <v>#REF!</v>
      </c>
      <c r="E20" s="1229" t="e">
        <f>+#REF!</f>
        <v>#REF!</v>
      </c>
      <c r="F20" s="1229" t="e">
        <f>+#REF!</f>
        <v>#REF!</v>
      </c>
      <c r="G20" s="1229" t="e">
        <f>+#REF!</f>
        <v>#REF!</v>
      </c>
      <c r="I20" s="1229" t="e">
        <f>+'Urban Rural Impact calculations'!$L$99</f>
        <v>#REF!</v>
      </c>
      <c r="J20" s="1229" t="e">
        <f>+'Urban Rural Impact calculations'!$M$99</f>
        <v>#REF!</v>
      </c>
      <c r="K20" s="1229" t="e">
        <f>+'Urban Rural Impact calculations'!$N$99</f>
        <v>#REF!</v>
      </c>
      <c r="M20" s="1229" t="e">
        <f t="shared" si="4"/>
        <v>#REF!</v>
      </c>
      <c r="N20" s="1229" t="e">
        <f t="shared" si="5"/>
        <v>#REF!</v>
      </c>
      <c r="O20" s="1229" t="e">
        <f t="shared" si="6"/>
        <v>#REF!</v>
      </c>
      <c r="P20" s="1246" t="e">
        <f t="shared" si="3"/>
        <v>#REF!</v>
      </c>
    </row>
    <row r="21" spans="1:16" ht="16.5" x14ac:dyDescent="0.2">
      <c r="A21" s="1250" t="s">
        <v>18</v>
      </c>
      <c r="B21" s="1228">
        <v>12</v>
      </c>
      <c r="C21" s="1229" t="s">
        <v>600</v>
      </c>
      <c r="D21" s="1229" t="e">
        <f>+#REF!</f>
        <v>#REF!</v>
      </c>
      <c r="E21" s="1229" t="e">
        <f>+#REF!</f>
        <v>#REF!</v>
      </c>
      <c r="F21" s="1229" t="e">
        <f>+#REF!</f>
        <v>#REF!</v>
      </c>
      <c r="G21" s="1229" t="e">
        <f>+#REF!</f>
        <v>#REF!</v>
      </c>
      <c r="I21" s="1229" t="e">
        <f>+'Urban Rural Impact calculations'!$L$108</f>
        <v>#REF!</v>
      </c>
      <c r="J21" s="1229" t="e">
        <f>+'Urban Rural Impact calculations'!$M$108</f>
        <v>#REF!</v>
      </c>
      <c r="K21" s="1229" t="e">
        <f>+'Urban Rural Impact calculations'!$N$108</f>
        <v>#REF!</v>
      </c>
      <c r="M21" s="1229" t="e">
        <f t="shared" si="4"/>
        <v>#REF!</v>
      </c>
      <c r="N21" s="1229" t="e">
        <f t="shared" si="5"/>
        <v>#REF!</v>
      </c>
      <c r="O21" s="1229" t="e">
        <f t="shared" si="6"/>
        <v>#REF!</v>
      </c>
      <c r="P21" s="1246" t="e">
        <f t="shared" si="3"/>
        <v>#REF!</v>
      </c>
    </row>
    <row r="22" spans="1:16" ht="16.5" x14ac:dyDescent="0.2">
      <c r="A22" s="1250" t="s">
        <v>18</v>
      </c>
      <c r="B22" s="1228">
        <v>13</v>
      </c>
      <c r="C22" s="1229" t="s">
        <v>603</v>
      </c>
      <c r="D22" s="1229" t="e">
        <f>+#REF!</f>
        <v>#REF!</v>
      </c>
      <c r="E22" s="1229" t="e">
        <f>+#REF!</f>
        <v>#REF!</v>
      </c>
      <c r="F22" s="1229" t="e">
        <f>+#REF!</f>
        <v>#REF!</v>
      </c>
      <c r="G22" s="1229" t="e">
        <f>+#REF!</f>
        <v>#REF!</v>
      </c>
      <c r="I22" s="1229" t="e">
        <f>+'Urban Rural Impact calculations'!$L$114</f>
        <v>#REF!</v>
      </c>
      <c r="J22" s="1229" t="e">
        <f>+'Urban Rural Impact calculations'!$M$114</f>
        <v>#REF!</v>
      </c>
      <c r="K22" s="1229" t="e">
        <f>+'Urban Rural Impact calculations'!$N$114</f>
        <v>#REF!</v>
      </c>
      <c r="M22" s="1229" t="e">
        <f t="shared" si="4"/>
        <v>#REF!</v>
      </c>
      <c r="N22" s="1229" t="e">
        <f t="shared" si="5"/>
        <v>#REF!</v>
      </c>
      <c r="O22" s="1229" t="e">
        <f t="shared" si="6"/>
        <v>#REF!</v>
      </c>
      <c r="P22" s="1246" t="e">
        <f t="shared" si="3"/>
        <v>#REF!</v>
      </c>
    </row>
    <row r="23" spans="1:16" ht="16.5" x14ac:dyDescent="0.2">
      <c r="A23" s="1250" t="s">
        <v>18</v>
      </c>
      <c r="B23" s="1239">
        <v>14</v>
      </c>
      <c r="C23" s="1240" t="s">
        <v>312</v>
      </c>
      <c r="D23" s="1229" t="e">
        <f>+#REF!</f>
        <v>#REF!</v>
      </c>
      <c r="E23" s="1229" t="e">
        <f>+#REF!</f>
        <v>#REF!</v>
      </c>
      <c r="F23" s="1229" t="e">
        <f>+#REF!</f>
        <v>#REF!</v>
      </c>
      <c r="G23" s="1229" t="e">
        <f>+#REF!</f>
        <v>#REF!</v>
      </c>
      <c r="I23" s="1229" t="e">
        <f>+'Urban Rural Impact calculations'!$L$116</f>
        <v>#REF!</v>
      </c>
      <c r="J23" s="1229" t="e">
        <f>+'Urban Rural Impact calculations'!$M$116</f>
        <v>#REF!</v>
      </c>
      <c r="K23" s="1229" t="e">
        <f>+'Urban Rural Impact calculations'!$N$116</f>
        <v>#REF!</v>
      </c>
      <c r="M23" s="1229" t="e">
        <f t="shared" si="4"/>
        <v>#REF!</v>
      </c>
      <c r="N23" s="1229" t="e">
        <f t="shared" si="5"/>
        <v>#REF!</v>
      </c>
      <c r="O23" s="1229" t="e">
        <f t="shared" si="6"/>
        <v>#REF!</v>
      </c>
      <c r="P23" s="1246" t="e">
        <f t="shared" si="3"/>
        <v>#REF!</v>
      </c>
    </row>
    <row r="24" spans="1:16" ht="16.5" x14ac:dyDescent="0.2">
      <c r="A24" s="1250" t="s">
        <v>18</v>
      </c>
      <c r="B24" s="1239">
        <v>15</v>
      </c>
      <c r="C24" s="1240" t="s">
        <v>313</v>
      </c>
      <c r="D24" s="1229" t="e">
        <f>+#REF!</f>
        <v>#REF!</v>
      </c>
      <c r="E24" s="1229" t="e">
        <f>+#REF!</f>
        <v>#REF!</v>
      </c>
      <c r="F24" s="1229" t="e">
        <f>+#REF!</f>
        <v>#REF!</v>
      </c>
      <c r="G24" s="1229" t="e">
        <f>+#REF!</f>
        <v>#REF!</v>
      </c>
      <c r="I24" s="1229" t="e">
        <f>+'Urban Rural Impact calculations'!$L$118</f>
        <v>#REF!</v>
      </c>
      <c r="J24" s="1229" t="e">
        <f>+'Urban Rural Impact calculations'!$M$118</f>
        <v>#REF!</v>
      </c>
      <c r="K24" s="1229" t="e">
        <f>+'Urban Rural Impact calculations'!$N$118</f>
        <v>#REF!</v>
      </c>
      <c r="M24" s="1229" t="e">
        <f t="shared" si="4"/>
        <v>#REF!</v>
      </c>
      <c r="N24" s="1229" t="e">
        <f t="shared" si="5"/>
        <v>#REF!</v>
      </c>
      <c r="O24" s="1229" t="e">
        <f t="shared" si="6"/>
        <v>#REF!</v>
      </c>
      <c r="P24" s="1246" t="e">
        <f t="shared" si="3"/>
        <v>#REF!</v>
      </c>
    </row>
    <row r="25" spans="1:16" ht="16.5" x14ac:dyDescent="0.2">
      <c r="A25" s="1250" t="s">
        <v>18</v>
      </c>
      <c r="B25" s="1241"/>
      <c r="C25" s="1242" t="s">
        <v>605</v>
      </c>
      <c r="D25" s="1242" t="e">
        <f>D18+D19+D20+D21+D22+D23+D24</f>
        <v>#REF!</v>
      </c>
      <c r="E25" s="1242" t="e">
        <f>E18+E19+E20+E21+E22+E23+E24</f>
        <v>#REF!</v>
      </c>
      <c r="F25" s="1242" t="e">
        <f>F18+F19+F20+F21+F22+F23+F24</f>
        <v>#REF!</v>
      </c>
      <c r="G25" s="1242" t="e">
        <f>G18+G19+G20+G21+G22+G23+G24</f>
        <v>#REF!</v>
      </c>
      <c r="I25" s="1242" t="e">
        <f>I18+I19+I20+I21+I22+I23+I24</f>
        <v>#REF!</v>
      </c>
      <c r="J25" s="1242" t="e">
        <f>J18+J19+J20+J21+J22+J23+J24</f>
        <v>#REF!</v>
      </c>
      <c r="K25" s="1242" t="e">
        <f>K18+K19+K20+K21+K22+K23+K24</f>
        <v>#REF!</v>
      </c>
      <c r="M25" s="1242" t="e">
        <f>M18+M19+M20+M21+M22+M23+M24</f>
        <v>#REF!</v>
      </c>
      <c r="N25" s="1242" t="e">
        <f>N18+N19+N20+N21+N22+N23+N24</f>
        <v>#REF!</v>
      </c>
      <c r="O25" s="1242" t="e">
        <f>O18+O19+O20+O21+O22+O23+O24</f>
        <v>#REF!</v>
      </c>
      <c r="P25" s="1248" t="e">
        <f t="shared" si="3"/>
        <v>#REF!</v>
      </c>
    </row>
    <row r="26" spans="1:16" ht="16.5" x14ac:dyDescent="0.2">
      <c r="A26" s="1250" t="s">
        <v>18</v>
      </c>
      <c r="B26" s="1243"/>
      <c r="C26" s="1243"/>
      <c r="D26" s="1243"/>
      <c r="E26" s="1243"/>
      <c r="F26" s="1243"/>
      <c r="G26" s="1243"/>
      <c r="I26" s="1243"/>
      <c r="J26" s="1243"/>
      <c r="K26" s="1243"/>
      <c r="M26" s="1243"/>
      <c r="N26" s="1243"/>
      <c r="O26" s="1243"/>
      <c r="P26" s="1243"/>
    </row>
    <row r="27" spans="1:16" ht="16.5" x14ac:dyDescent="0.2">
      <c r="A27" s="1250" t="s">
        <v>18</v>
      </c>
      <c r="B27" s="1241"/>
      <c r="C27" s="1242" t="s">
        <v>606</v>
      </c>
      <c r="D27" s="1242" t="e">
        <f>D16+D25</f>
        <v>#REF!</v>
      </c>
      <c r="E27" s="1242" t="e">
        <f>E16+E25</f>
        <v>#REF!</v>
      </c>
      <c r="F27" s="1242" t="e">
        <f>F16+F25</f>
        <v>#REF!</v>
      </c>
      <c r="G27" s="1242" t="e">
        <f>G16+G25</f>
        <v>#REF!</v>
      </c>
      <c r="I27" s="1242" t="e">
        <f>I16+I25</f>
        <v>#REF!</v>
      </c>
      <c r="J27" s="1242" t="e">
        <f>J16+J25</f>
        <v>#REF!</v>
      </c>
      <c r="K27" s="1242" t="e">
        <f>K16+K25</f>
        <v>#REF!</v>
      </c>
      <c r="M27" s="1242" t="e">
        <f>M16+M25</f>
        <v>#REF!</v>
      </c>
      <c r="N27" s="1242" t="e">
        <f>N16+N25</f>
        <v>#REF!</v>
      </c>
      <c r="O27" s="1242" t="e">
        <f>O16+O25</f>
        <v>#REF!</v>
      </c>
      <c r="P27" s="1248" t="e">
        <f t="shared" si="3"/>
        <v>#REF!</v>
      </c>
    </row>
    <row r="30" spans="1:16" x14ac:dyDescent="0.15">
      <c r="B30" s="1228" t="s">
        <v>609</v>
      </c>
      <c r="E30" s="1229" t="s">
        <v>624</v>
      </c>
      <c r="F30" s="1230"/>
      <c r="G30" s="1231"/>
      <c r="I30" s="1229" t="s">
        <v>625</v>
      </c>
      <c r="J30" s="1230"/>
      <c r="K30" s="1231"/>
      <c r="M30" s="1229" t="s">
        <v>626</v>
      </c>
      <c r="N30" s="1230"/>
      <c r="O30" s="1231"/>
      <c r="P30" s="1253" t="s">
        <v>628</v>
      </c>
    </row>
    <row r="31" spans="1:16" x14ac:dyDescent="0.15">
      <c r="B31" s="1232" t="s">
        <v>472</v>
      </c>
      <c r="C31" s="1232" t="s">
        <v>474</v>
      </c>
      <c r="D31" s="1233" t="s">
        <v>475</v>
      </c>
      <c r="E31" s="1234" t="s">
        <v>610</v>
      </c>
      <c r="F31" s="1234" t="s">
        <v>611</v>
      </c>
      <c r="G31" s="1234" t="s">
        <v>488</v>
      </c>
      <c r="I31" s="1234" t="s">
        <v>610</v>
      </c>
      <c r="J31" s="1234" t="s">
        <v>611</v>
      </c>
      <c r="K31" s="1234" t="s">
        <v>488</v>
      </c>
      <c r="M31" s="1234" t="s">
        <v>610</v>
      </c>
      <c r="N31" s="1234" t="s">
        <v>611</v>
      </c>
      <c r="O31" s="1234" t="s">
        <v>488</v>
      </c>
      <c r="P31" s="1254" t="s">
        <v>629</v>
      </c>
    </row>
    <row r="32" spans="1:16" x14ac:dyDescent="0.15">
      <c r="B32" s="1235" t="s">
        <v>473</v>
      </c>
      <c r="C32" s="1235" t="s">
        <v>31</v>
      </c>
      <c r="D32" s="1236" t="s">
        <v>476</v>
      </c>
      <c r="E32" s="1235" t="s">
        <v>481</v>
      </c>
      <c r="F32" s="1235" t="s">
        <v>481</v>
      </c>
      <c r="G32" s="1235" t="s">
        <v>481</v>
      </c>
      <c r="I32" s="1235" t="s">
        <v>481</v>
      </c>
      <c r="J32" s="1235" t="s">
        <v>481</v>
      </c>
      <c r="K32" s="1235" t="s">
        <v>481</v>
      </c>
      <c r="M32" s="1235" t="s">
        <v>481</v>
      </c>
      <c r="N32" s="1235" t="s">
        <v>481</v>
      </c>
      <c r="O32" s="1235" t="s">
        <v>481</v>
      </c>
      <c r="P32" s="1255" t="s">
        <v>630</v>
      </c>
    </row>
    <row r="33" spans="1:16" ht="16.5" x14ac:dyDescent="0.2">
      <c r="A33" s="1250" t="s">
        <v>525</v>
      </c>
      <c r="B33" s="1228">
        <v>1</v>
      </c>
      <c r="C33" s="1229" t="s">
        <v>484</v>
      </c>
      <c r="D33" s="1229" t="e">
        <f>+#REF!</f>
        <v>#REF!</v>
      </c>
      <c r="E33" s="1229" t="e">
        <f>+#REF!</f>
        <v>#REF!</v>
      </c>
      <c r="F33" s="1229" t="e">
        <f>+#REF!</f>
        <v>#REF!</v>
      </c>
      <c r="G33" s="1229" t="e">
        <f>+#REF!</f>
        <v>#REF!</v>
      </c>
      <c r="I33" s="1229">
        <f>+'Urban Rural Impact calculations'!$L$141</f>
        <v>2.63</v>
      </c>
      <c r="J33" s="1229" t="e">
        <f>+'Urban Rural Impact calculations'!$M$141</f>
        <v>#REF!</v>
      </c>
      <c r="K33" s="1229" t="e">
        <f>+'Urban Rural Impact calculations'!$N$141</f>
        <v>#REF!</v>
      </c>
      <c r="M33" s="1229" t="e">
        <f>+I33-E33</f>
        <v>#REF!</v>
      </c>
      <c r="N33" s="1229" t="e">
        <f t="shared" ref="N33:N40" si="7">+J33-F33</f>
        <v>#REF!</v>
      </c>
      <c r="O33" s="1229" t="e">
        <f>+M33+N33</f>
        <v>#REF!</v>
      </c>
      <c r="P33" s="1249" t="e">
        <f>ROUND(O33/D33*1000,0)</f>
        <v>#REF!</v>
      </c>
    </row>
    <row r="34" spans="1:16" ht="16.5" x14ac:dyDescent="0.2">
      <c r="A34" s="1250" t="s">
        <v>525</v>
      </c>
      <c r="B34" s="1228">
        <v>2</v>
      </c>
      <c r="C34" s="1229" t="s">
        <v>490</v>
      </c>
      <c r="D34" s="1229" t="e">
        <f>+#REF!</f>
        <v>#REF!</v>
      </c>
      <c r="E34" s="1229" t="e">
        <f>+#REF!</f>
        <v>#REF!</v>
      </c>
      <c r="F34" s="1229" t="e">
        <f>+#REF!</f>
        <v>#REF!</v>
      </c>
      <c r="G34" s="1229" t="e">
        <f>+#REF!</f>
        <v>#REF!</v>
      </c>
      <c r="I34" s="1229" t="e">
        <f>+'Urban Rural Impact calculations'!$L$154</f>
        <v>#REF!</v>
      </c>
      <c r="J34" s="1229" t="e">
        <f>+'Urban Rural Impact calculations'!$M$154</f>
        <v>#REF!</v>
      </c>
      <c r="K34" s="1229" t="e">
        <f>+'Urban Rural Impact calculations'!$N$154</f>
        <v>#REF!</v>
      </c>
      <c r="M34" s="1229" t="e">
        <f t="shared" ref="M34:M40" si="8">+I34-E34</f>
        <v>#REF!</v>
      </c>
      <c r="N34" s="1229" t="e">
        <f t="shared" si="7"/>
        <v>#REF!</v>
      </c>
      <c r="O34" s="1229" t="e">
        <f t="shared" ref="O34:O40" si="9">+M34+N34</f>
        <v>#REF!</v>
      </c>
      <c r="P34" s="1246" t="e">
        <f t="shared" ref="P34:P52" si="10">ROUND(O34/D34*1000,0)</f>
        <v>#REF!</v>
      </c>
    </row>
    <row r="35" spans="1:16" ht="16.5" x14ac:dyDescent="0.2">
      <c r="A35" s="1250" t="s">
        <v>525</v>
      </c>
      <c r="B35" s="1228">
        <v>3</v>
      </c>
      <c r="C35" s="1229" t="s">
        <v>553</v>
      </c>
      <c r="D35" s="1229" t="e">
        <f>+#REF!</f>
        <v>#REF!</v>
      </c>
      <c r="E35" s="1229" t="e">
        <f>+#REF!</f>
        <v>#REF!</v>
      </c>
      <c r="F35" s="1229" t="e">
        <f>+#REF!</f>
        <v>#REF!</v>
      </c>
      <c r="G35" s="1229" t="e">
        <f>+#REF!</f>
        <v>#REF!</v>
      </c>
      <c r="I35" s="1229" t="e">
        <f>+'Urban Rural Impact calculations'!$L$165</f>
        <v>#REF!</v>
      </c>
      <c r="J35" s="1229" t="e">
        <f>+'Urban Rural Impact calculations'!$M$165</f>
        <v>#REF!</v>
      </c>
      <c r="K35" s="1229" t="e">
        <f>+'Urban Rural Impact calculations'!$N$165</f>
        <v>#REF!</v>
      </c>
      <c r="M35" s="1229" t="e">
        <f t="shared" si="8"/>
        <v>#REF!</v>
      </c>
      <c r="N35" s="1229" t="e">
        <f t="shared" si="7"/>
        <v>#REF!</v>
      </c>
      <c r="O35" s="1229" t="e">
        <f t="shared" si="9"/>
        <v>#REF!</v>
      </c>
      <c r="P35" s="1246" t="e">
        <f t="shared" si="10"/>
        <v>#REF!</v>
      </c>
    </row>
    <row r="36" spans="1:16" ht="16.5" x14ac:dyDescent="0.2">
      <c r="A36" s="1250" t="s">
        <v>525</v>
      </c>
      <c r="B36" s="1228">
        <v>4</v>
      </c>
      <c r="C36" s="1229" t="s">
        <v>557</v>
      </c>
      <c r="D36" s="1229" t="e">
        <f>+#REF!</f>
        <v>#REF!</v>
      </c>
      <c r="E36" s="1229" t="e">
        <f>+#REF!</f>
        <v>#REF!</v>
      </c>
      <c r="F36" s="1229" t="e">
        <f>+#REF!</f>
        <v>#REF!</v>
      </c>
      <c r="G36" s="1229" t="e">
        <f>+#REF!</f>
        <v>#REF!</v>
      </c>
      <c r="I36" s="1229" t="e">
        <f>+'Urban Rural Impact calculations'!$L$174</f>
        <v>#REF!</v>
      </c>
      <c r="J36" s="1229" t="e">
        <f>+'Urban Rural Impact calculations'!$M$174</f>
        <v>#REF!</v>
      </c>
      <c r="K36" s="1229" t="e">
        <f>+'Urban Rural Impact calculations'!$N$174</f>
        <v>#REF!</v>
      </c>
      <c r="M36" s="1229" t="e">
        <f t="shared" si="8"/>
        <v>#REF!</v>
      </c>
      <c r="N36" s="1229" t="e">
        <f t="shared" si="7"/>
        <v>#REF!</v>
      </c>
      <c r="O36" s="1229" t="e">
        <f t="shared" si="9"/>
        <v>#REF!</v>
      </c>
      <c r="P36" s="1246" t="e">
        <f t="shared" si="10"/>
        <v>#REF!</v>
      </c>
    </row>
    <row r="37" spans="1:16" ht="16.5" x14ac:dyDescent="0.2">
      <c r="A37" s="1250" t="s">
        <v>525</v>
      </c>
      <c r="B37" s="1228">
        <v>5</v>
      </c>
      <c r="C37" s="1229" t="s">
        <v>566</v>
      </c>
      <c r="D37" s="1229" t="e">
        <f>+#REF!</f>
        <v>#REF!</v>
      </c>
      <c r="E37" s="1229" t="e">
        <f>+#REF!</f>
        <v>#REF!</v>
      </c>
      <c r="F37" s="1229" t="e">
        <f>+#REF!</f>
        <v>#REF!</v>
      </c>
      <c r="G37" s="1229" t="e">
        <f>+#REF!</f>
        <v>#REF!</v>
      </c>
      <c r="I37" s="1229" t="e">
        <f>+'Urban Rural Impact calculations'!$L$179</f>
        <v>#REF!</v>
      </c>
      <c r="J37" s="1229" t="e">
        <f>+'Urban Rural Impact calculations'!$M$179</f>
        <v>#REF!</v>
      </c>
      <c r="K37" s="1229" t="e">
        <f>+'Urban Rural Impact calculations'!$N$179</f>
        <v>#REF!</v>
      </c>
      <c r="M37" s="1229" t="e">
        <f t="shared" si="8"/>
        <v>#REF!</v>
      </c>
      <c r="N37" s="1229" t="e">
        <f t="shared" si="7"/>
        <v>#REF!</v>
      </c>
      <c r="O37" s="1229" t="e">
        <f t="shared" si="9"/>
        <v>#REF!</v>
      </c>
      <c r="P37" s="1246" t="e">
        <f t="shared" si="10"/>
        <v>#REF!</v>
      </c>
    </row>
    <row r="38" spans="1:16" ht="16.5" x14ac:dyDescent="0.2">
      <c r="A38" s="1250" t="s">
        <v>525</v>
      </c>
      <c r="B38" s="1228">
        <v>6</v>
      </c>
      <c r="C38" s="1229" t="s">
        <v>567</v>
      </c>
      <c r="D38" s="1229" t="e">
        <f>+#REF!</f>
        <v>#REF!</v>
      </c>
      <c r="E38" s="1229" t="e">
        <f>+#REF!</f>
        <v>#REF!</v>
      </c>
      <c r="F38" s="1229" t="e">
        <f>+#REF!</f>
        <v>#REF!</v>
      </c>
      <c r="G38" s="1229" t="e">
        <f>+#REF!</f>
        <v>#REF!</v>
      </c>
      <c r="I38" s="1229" t="e">
        <f>+'Urban Rural Impact calculations'!$L$194</f>
        <v>#REF!</v>
      </c>
      <c r="J38" s="1229" t="e">
        <f>+'Urban Rural Impact calculations'!$M$194</f>
        <v>#REF!</v>
      </c>
      <c r="K38" s="1229" t="e">
        <f>+'Urban Rural Impact calculations'!$N$194</f>
        <v>#REF!</v>
      </c>
      <c r="M38" s="1229" t="e">
        <f t="shared" si="8"/>
        <v>#REF!</v>
      </c>
      <c r="N38" s="1229" t="e">
        <f t="shared" si="7"/>
        <v>#REF!</v>
      </c>
      <c r="O38" s="1229" t="e">
        <f t="shared" si="9"/>
        <v>#REF!</v>
      </c>
      <c r="P38" s="1246" t="e">
        <f t="shared" si="10"/>
        <v>#REF!</v>
      </c>
    </row>
    <row r="39" spans="1:16" ht="16.5" x14ac:dyDescent="0.2">
      <c r="A39" s="1250" t="s">
        <v>525</v>
      </c>
      <c r="B39" s="1228">
        <v>7</v>
      </c>
      <c r="C39" s="1229" t="s">
        <v>577</v>
      </c>
      <c r="D39" s="1229" t="e">
        <f>+#REF!</f>
        <v>#REF!</v>
      </c>
      <c r="E39" s="1229" t="e">
        <f>+#REF!</f>
        <v>#REF!</v>
      </c>
      <c r="F39" s="1229" t="e">
        <f>+#REF!</f>
        <v>#REF!</v>
      </c>
      <c r="G39" s="1229" t="e">
        <f>+#REF!</f>
        <v>#REF!</v>
      </c>
      <c r="I39" s="1229" t="e">
        <f>+'Urban Rural Impact calculations'!$L$206</f>
        <v>#REF!</v>
      </c>
      <c r="J39" s="1229" t="e">
        <f>+'Urban Rural Impact calculations'!$M$206</f>
        <v>#REF!</v>
      </c>
      <c r="K39" s="1229" t="e">
        <f>+'Urban Rural Impact calculations'!$N$206</f>
        <v>#REF!</v>
      </c>
      <c r="M39" s="1229" t="e">
        <f t="shared" si="8"/>
        <v>#REF!</v>
      </c>
      <c r="N39" s="1229" t="e">
        <f t="shared" si="7"/>
        <v>#REF!</v>
      </c>
      <c r="O39" s="1229" t="e">
        <f t="shared" si="9"/>
        <v>#REF!</v>
      </c>
      <c r="P39" s="1246" t="e">
        <f t="shared" si="10"/>
        <v>#REF!</v>
      </c>
    </row>
    <row r="40" spans="1:16" ht="16.5" x14ac:dyDescent="0.2">
      <c r="A40" s="1250" t="s">
        <v>525</v>
      </c>
      <c r="B40" s="1228">
        <v>8</v>
      </c>
      <c r="C40" s="1229" t="s">
        <v>587</v>
      </c>
      <c r="D40" s="1229" t="e">
        <f>+#REF!</f>
        <v>#REF!</v>
      </c>
      <c r="E40" s="1229" t="e">
        <f>+#REF!</f>
        <v>#REF!</v>
      </c>
      <c r="F40" s="1229" t="e">
        <f>+#REF!</f>
        <v>#REF!</v>
      </c>
      <c r="G40" s="1229" t="e">
        <f>+#REF!</f>
        <v>#REF!</v>
      </c>
      <c r="I40" s="1229" t="e">
        <f>+'Urban Rural Impact calculations'!$L$210</f>
        <v>#REF!</v>
      </c>
      <c r="J40" s="1229" t="e">
        <f>+'Urban Rural Impact calculations'!$M$210</f>
        <v>#REF!</v>
      </c>
      <c r="K40" s="1229" t="e">
        <f>+'Urban Rural Impact calculations'!$N$210</f>
        <v>#REF!</v>
      </c>
      <c r="M40" s="1229" t="e">
        <f t="shared" si="8"/>
        <v>#REF!</v>
      </c>
      <c r="N40" s="1229" t="e">
        <f t="shared" si="7"/>
        <v>#REF!</v>
      </c>
      <c r="O40" s="1229" t="e">
        <f t="shared" si="9"/>
        <v>#REF!</v>
      </c>
      <c r="P40" s="1246" t="e">
        <f t="shared" si="10"/>
        <v>#REF!</v>
      </c>
    </row>
    <row r="41" spans="1:16" ht="16.5" x14ac:dyDescent="0.2">
      <c r="A41" s="1250" t="s">
        <v>525</v>
      </c>
      <c r="B41" s="1237"/>
      <c r="C41" s="1238" t="s">
        <v>588</v>
      </c>
      <c r="D41" s="1238" t="e">
        <f>D33+D34+D35+D36+D37+D38+D39+D40</f>
        <v>#REF!</v>
      </c>
      <c r="E41" s="1238" t="e">
        <f>E33+E34+E35+E36+E37+E38+E39+E40</f>
        <v>#REF!</v>
      </c>
      <c r="F41" s="1238" t="e">
        <f>F33+F34+F35+F36+F37+F38+F39+F40</f>
        <v>#REF!</v>
      </c>
      <c r="G41" s="1238" t="e">
        <f>G33+G34+G35+G36+G37+G38+G39+G40</f>
        <v>#REF!</v>
      </c>
      <c r="I41" s="1238" t="e">
        <f>I33+I34+I35+I36+I37+I38+I39+I40</f>
        <v>#REF!</v>
      </c>
      <c r="J41" s="1238" t="e">
        <f>J33+J34+J35+J36+J37+J38+J39+J40</f>
        <v>#REF!</v>
      </c>
      <c r="K41" s="1238" t="e">
        <f>K33+K34+K35+K36+K37+K38+K39+K40</f>
        <v>#REF!</v>
      </c>
      <c r="M41" s="1238" t="e">
        <f>M33+M34+M35+M36+M37+M38+M39+M40</f>
        <v>#REF!</v>
      </c>
      <c r="N41" s="1238" t="e">
        <f>N33+N34+N35+N36+N37+N38+N39+N40</f>
        <v>#REF!</v>
      </c>
      <c r="O41" s="1238" t="e">
        <f>O33+O34+O35+O36+O37+O38+O39+O40</f>
        <v>#REF!</v>
      </c>
      <c r="P41" s="1247" t="e">
        <f t="shared" si="10"/>
        <v>#REF!</v>
      </c>
    </row>
    <row r="42" spans="1:16" ht="16.5" x14ac:dyDescent="0.2">
      <c r="A42" s="1250" t="s">
        <v>525</v>
      </c>
      <c r="B42" s="1227"/>
    </row>
    <row r="43" spans="1:16" ht="16.5" x14ac:dyDescent="0.2">
      <c r="A43" s="1250" t="s">
        <v>525</v>
      </c>
      <c r="B43" s="1239">
        <v>9</v>
      </c>
      <c r="C43" s="1240" t="s">
        <v>16</v>
      </c>
      <c r="D43" s="1229" t="e">
        <f>+#REF!</f>
        <v>#REF!</v>
      </c>
      <c r="E43" s="1229" t="e">
        <f>+#REF!</f>
        <v>#REF!</v>
      </c>
      <c r="F43" s="1229" t="e">
        <f>+#REF!</f>
        <v>#REF!</v>
      </c>
      <c r="G43" s="1229" t="e">
        <f>+#REF!</f>
        <v>#REF!</v>
      </c>
      <c r="I43" s="1229" t="e">
        <f>+'Urban Rural Impact calculations'!$L$214</f>
        <v>#REF!</v>
      </c>
      <c r="J43" s="1229" t="e">
        <f>+'Urban Rural Impact calculations'!$M$214</f>
        <v>#REF!</v>
      </c>
      <c r="K43" s="1229" t="e">
        <f>+'Urban Rural Impact calculations'!$N$214</f>
        <v>#REF!</v>
      </c>
      <c r="M43" s="1229" t="e">
        <f t="shared" ref="M43:M49" si="11">+I43-E43</f>
        <v>#REF!</v>
      </c>
      <c r="N43" s="1229" t="e">
        <f t="shared" ref="N43:N49" si="12">+J43-F43</f>
        <v>#REF!</v>
      </c>
      <c r="O43" s="1229" t="e">
        <f t="shared" ref="O43:O49" si="13">+M43+N43</f>
        <v>#REF!</v>
      </c>
      <c r="P43" s="1246" t="e">
        <f t="shared" si="10"/>
        <v>#REF!</v>
      </c>
    </row>
    <row r="44" spans="1:16" ht="16.5" x14ac:dyDescent="0.2">
      <c r="A44" s="1250" t="s">
        <v>525</v>
      </c>
      <c r="B44" s="1228">
        <v>10</v>
      </c>
      <c r="C44" s="1229" t="s">
        <v>592</v>
      </c>
      <c r="D44" s="1229" t="e">
        <f>+#REF!</f>
        <v>#REF!</v>
      </c>
      <c r="E44" s="1229" t="e">
        <f>+#REF!</f>
        <v>#REF!</v>
      </c>
      <c r="F44" s="1229" t="e">
        <f>+#REF!</f>
        <v>#REF!</v>
      </c>
      <c r="G44" s="1229" t="e">
        <f>+#REF!</f>
        <v>#REF!</v>
      </c>
      <c r="I44" s="1229" t="e">
        <f>+'Urban Rural Impact calculations'!$L$223</f>
        <v>#REF!</v>
      </c>
      <c r="J44" s="1229" t="e">
        <f>+'Urban Rural Impact calculations'!$M$223</f>
        <v>#REF!</v>
      </c>
      <c r="K44" s="1229" t="e">
        <f>+'Urban Rural Impact calculations'!$N$223</f>
        <v>#REF!</v>
      </c>
      <c r="M44" s="1229" t="e">
        <f t="shared" si="11"/>
        <v>#REF!</v>
      </c>
      <c r="N44" s="1229" t="e">
        <f t="shared" si="12"/>
        <v>#REF!</v>
      </c>
      <c r="O44" s="1229" t="e">
        <f t="shared" si="13"/>
        <v>#REF!</v>
      </c>
      <c r="P44" s="1246" t="e">
        <f t="shared" si="10"/>
        <v>#REF!</v>
      </c>
    </row>
    <row r="45" spans="1:16" ht="16.5" x14ac:dyDescent="0.2">
      <c r="A45" s="1250" t="s">
        <v>525</v>
      </c>
      <c r="B45" s="1228">
        <v>11</v>
      </c>
      <c r="C45" s="1229" t="s">
        <v>595</v>
      </c>
      <c r="D45" s="1229" t="e">
        <f>+#REF!</f>
        <v>#REF!</v>
      </c>
      <c r="E45" s="1229" t="e">
        <f>+#REF!</f>
        <v>#REF!</v>
      </c>
      <c r="F45" s="1229" t="e">
        <f>+#REF!</f>
        <v>#REF!</v>
      </c>
      <c r="G45" s="1229" t="e">
        <f>+#REF!</f>
        <v>#REF!</v>
      </c>
      <c r="I45" s="1229" t="e">
        <f>+'Urban Rural Impact calculations'!$L$232</f>
        <v>#REF!</v>
      </c>
      <c r="J45" s="1229" t="e">
        <f>+'Urban Rural Impact calculations'!$M$232</f>
        <v>#REF!</v>
      </c>
      <c r="K45" s="1229" t="e">
        <f>+'Urban Rural Impact calculations'!$N$232</f>
        <v>#REF!</v>
      </c>
      <c r="M45" s="1229" t="e">
        <f t="shared" si="11"/>
        <v>#REF!</v>
      </c>
      <c r="N45" s="1229" t="e">
        <f t="shared" si="12"/>
        <v>#REF!</v>
      </c>
      <c r="O45" s="1229" t="e">
        <f t="shared" si="13"/>
        <v>#REF!</v>
      </c>
      <c r="P45" s="1246" t="e">
        <f t="shared" si="10"/>
        <v>#REF!</v>
      </c>
    </row>
    <row r="46" spans="1:16" ht="16.5" x14ac:dyDescent="0.2">
      <c r="A46" s="1250" t="s">
        <v>525</v>
      </c>
      <c r="B46" s="1228">
        <v>12</v>
      </c>
      <c r="C46" s="1229" t="s">
        <v>600</v>
      </c>
      <c r="D46" s="1229" t="e">
        <f>+#REF!</f>
        <v>#REF!</v>
      </c>
      <c r="E46" s="1229" t="e">
        <f>+#REF!</f>
        <v>#REF!</v>
      </c>
      <c r="F46" s="1229" t="e">
        <f>+#REF!</f>
        <v>#REF!</v>
      </c>
      <c r="G46" s="1229" t="e">
        <f>+#REF!</f>
        <v>#REF!</v>
      </c>
      <c r="I46" s="1229" t="e">
        <f>+'Urban Rural Impact calculations'!$L$241</f>
        <v>#REF!</v>
      </c>
      <c r="J46" s="1229" t="e">
        <f>+'Urban Rural Impact calculations'!$M$241</f>
        <v>#REF!</v>
      </c>
      <c r="K46" s="1229" t="e">
        <f>+'Urban Rural Impact calculations'!$N$241</f>
        <v>#REF!</v>
      </c>
      <c r="M46" s="1229" t="e">
        <f t="shared" si="11"/>
        <v>#REF!</v>
      </c>
      <c r="N46" s="1229" t="e">
        <f t="shared" si="12"/>
        <v>#REF!</v>
      </c>
      <c r="O46" s="1229" t="e">
        <f t="shared" si="13"/>
        <v>#REF!</v>
      </c>
      <c r="P46" s="1246" t="e">
        <f t="shared" si="10"/>
        <v>#REF!</v>
      </c>
    </row>
    <row r="47" spans="1:16" ht="16.5" x14ac:dyDescent="0.2">
      <c r="A47" s="1250" t="s">
        <v>525</v>
      </c>
      <c r="B47" s="1228">
        <v>13</v>
      </c>
      <c r="C47" s="1229" t="s">
        <v>603</v>
      </c>
      <c r="D47" s="1229" t="e">
        <f>+#REF!</f>
        <v>#REF!</v>
      </c>
      <c r="E47" s="1229" t="e">
        <f>+#REF!</f>
        <v>#REF!</v>
      </c>
      <c r="F47" s="1229" t="e">
        <f>+#REF!</f>
        <v>#REF!</v>
      </c>
      <c r="G47" s="1229" t="e">
        <f>+#REF!</f>
        <v>#REF!</v>
      </c>
      <c r="I47" s="1229" t="e">
        <f>+'Urban Rural Impact calculations'!$L$247</f>
        <v>#REF!</v>
      </c>
      <c r="J47" s="1229" t="e">
        <f>+'Urban Rural Impact calculations'!$M$247</f>
        <v>#REF!</v>
      </c>
      <c r="K47" s="1229" t="e">
        <f>+'Urban Rural Impact calculations'!$N$247</f>
        <v>#REF!</v>
      </c>
      <c r="M47" s="1229" t="e">
        <f t="shared" si="11"/>
        <v>#REF!</v>
      </c>
      <c r="N47" s="1229" t="e">
        <f t="shared" si="12"/>
        <v>#REF!</v>
      </c>
      <c r="O47" s="1229" t="e">
        <f t="shared" si="13"/>
        <v>#REF!</v>
      </c>
      <c r="P47" s="1246" t="e">
        <f t="shared" si="10"/>
        <v>#REF!</v>
      </c>
    </row>
    <row r="48" spans="1:16" ht="16.5" x14ac:dyDescent="0.2">
      <c r="A48" s="1250" t="s">
        <v>525</v>
      </c>
      <c r="B48" s="1239">
        <v>14</v>
      </c>
      <c r="C48" s="1240" t="s">
        <v>312</v>
      </c>
      <c r="D48" s="1229" t="e">
        <f>+#REF!</f>
        <v>#REF!</v>
      </c>
      <c r="E48" s="1229" t="e">
        <f>+#REF!</f>
        <v>#REF!</v>
      </c>
      <c r="F48" s="1229" t="e">
        <f>+#REF!</f>
        <v>#REF!</v>
      </c>
      <c r="G48" s="1229" t="e">
        <f>+#REF!</f>
        <v>#REF!</v>
      </c>
      <c r="I48" s="1229" t="e">
        <f>+'Urban Rural Impact calculations'!$L$249</f>
        <v>#REF!</v>
      </c>
      <c r="J48" s="1229" t="e">
        <f>+'Urban Rural Impact calculations'!$M$249</f>
        <v>#REF!</v>
      </c>
      <c r="K48" s="1229" t="e">
        <f>+'Urban Rural Impact calculations'!$N$249</f>
        <v>#REF!</v>
      </c>
      <c r="M48" s="1229" t="e">
        <f t="shared" si="11"/>
        <v>#REF!</v>
      </c>
      <c r="N48" s="1229" t="e">
        <f t="shared" si="12"/>
        <v>#REF!</v>
      </c>
      <c r="O48" s="1229" t="e">
        <f t="shared" si="13"/>
        <v>#REF!</v>
      </c>
      <c r="P48" s="1246" t="e">
        <f t="shared" si="10"/>
        <v>#REF!</v>
      </c>
    </row>
    <row r="49" spans="1:16" ht="16.5" x14ac:dyDescent="0.2">
      <c r="A49" s="1250" t="s">
        <v>525</v>
      </c>
      <c r="B49" s="1239">
        <v>15</v>
      </c>
      <c r="C49" s="1240" t="s">
        <v>313</v>
      </c>
      <c r="D49" s="1229" t="e">
        <f>+#REF!</f>
        <v>#REF!</v>
      </c>
      <c r="E49" s="1229" t="e">
        <f>+#REF!</f>
        <v>#REF!</v>
      </c>
      <c r="F49" s="1229" t="e">
        <f>+#REF!</f>
        <v>#REF!</v>
      </c>
      <c r="G49" s="1229" t="e">
        <f>+#REF!</f>
        <v>#REF!</v>
      </c>
      <c r="I49" s="1229" t="e">
        <f>+'Urban Rural Impact calculations'!$L$251</f>
        <v>#REF!</v>
      </c>
      <c r="J49" s="1229" t="e">
        <f>+'Urban Rural Impact calculations'!$M$251</f>
        <v>#REF!</v>
      </c>
      <c r="K49" s="1229" t="e">
        <f>+'Urban Rural Impact calculations'!$N$251</f>
        <v>#REF!</v>
      </c>
      <c r="M49" s="1229" t="e">
        <f t="shared" si="11"/>
        <v>#REF!</v>
      </c>
      <c r="N49" s="1229" t="e">
        <f t="shared" si="12"/>
        <v>#REF!</v>
      </c>
      <c r="O49" s="1229" t="e">
        <f t="shared" si="13"/>
        <v>#REF!</v>
      </c>
      <c r="P49" s="1246" t="e">
        <f t="shared" si="10"/>
        <v>#REF!</v>
      </c>
    </row>
    <row r="50" spans="1:16" ht="16.5" x14ac:dyDescent="0.2">
      <c r="A50" s="1250" t="s">
        <v>525</v>
      </c>
      <c r="B50" s="1241"/>
      <c r="C50" s="1242" t="s">
        <v>605</v>
      </c>
      <c r="D50" s="1242" t="e">
        <f>D43+D44+D45+D46+D47+D48+D49</f>
        <v>#REF!</v>
      </c>
      <c r="E50" s="1242" t="e">
        <f>E43+E44+E45+E46+E47+E48+E49</f>
        <v>#REF!</v>
      </c>
      <c r="F50" s="1242" t="e">
        <f>F43+F44+F45+F46+F47+F48+F49</f>
        <v>#REF!</v>
      </c>
      <c r="G50" s="1242" t="e">
        <f>G43+G44+G45+G46+G47+G48+G49</f>
        <v>#REF!</v>
      </c>
      <c r="I50" s="1242" t="e">
        <f>I43+I44+I45+I46+I47+I48+I49</f>
        <v>#REF!</v>
      </c>
      <c r="J50" s="1242" t="e">
        <f>J43+J44+J45+J46+J47+J48+J49</f>
        <v>#REF!</v>
      </c>
      <c r="K50" s="1242" t="e">
        <f>K43+K44+K45+K46+K47+K48+K49</f>
        <v>#REF!</v>
      </c>
      <c r="M50" s="1242" t="e">
        <f>M43+M44+M45+M46+M47+M48+M49</f>
        <v>#REF!</v>
      </c>
      <c r="N50" s="1242" t="e">
        <f>N43+N44+N45+N46+N47+N48+N49</f>
        <v>#REF!</v>
      </c>
      <c r="O50" s="1242" t="e">
        <f>O43+O44+O45+O46+O47+O48+O49</f>
        <v>#REF!</v>
      </c>
      <c r="P50" s="1248" t="e">
        <f t="shared" si="10"/>
        <v>#REF!</v>
      </c>
    </row>
    <row r="51" spans="1:16" ht="16.5" x14ac:dyDescent="0.2">
      <c r="A51" s="1250" t="s">
        <v>525</v>
      </c>
      <c r="B51" s="1243"/>
      <c r="C51" s="1243"/>
      <c r="D51" s="1243"/>
      <c r="E51" s="1243"/>
      <c r="F51" s="1243"/>
      <c r="G51" s="1243"/>
      <c r="I51" s="1243"/>
      <c r="J51" s="1243"/>
      <c r="K51" s="1243"/>
      <c r="M51" s="1243"/>
      <c r="N51" s="1243"/>
      <c r="O51" s="1243"/>
      <c r="P51" s="1243"/>
    </row>
    <row r="52" spans="1:16" ht="16.5" x14ac:dyDescent="0.2">
      <c r="A52" s="1250" t="s">
        <v>525</v>
      </c>
      <c r="B52" s="1241"/>
      <c r="C52" s="1242" t="s">
        <v>606</v>
      </c>
      <c r="D52" s="1242" t="e">
        <f>D41+D50</f>
        <v>#REF!</v>
      </c>
      <c r="E52" s="1242" t="e">
        <f>E41+E50</f>
        <v>#REF!</v>
      </c>
      <c r="F52" s="1242" t="e">
        <f>F41+F50</f>
        <v>#REF!</v>
      </c>
      <c r="G52" s="1242" t="e">
        <f>G41+G50</f>
        <v>#REF!</v>
      </c>
      <c r="I52" s="1242" t="e">
        <f>I41+I50</f>
        <v>#REF!</v>
      </c>
      <c r="J52" s="1242" t="e">
        <f>J41+J50</f>
        <v>#REF!</v>
      </c>
      <c r="K52" s="1242" t="e">
        <f>K41+K50</f>
        <v>#REF!</v>
      </c>
      <c r="M52" s="1242" t="e">
        <f>M41+M50</f>
        <v>#REF!</v>
      </c>
      <c r="N52" s="1242" t="e">
        <f>N41+N50</f>
        <v>#REF!</v>
      </c>
      <c r="O52" s="1242" t="e">
        <f>O41+O50</f>
        <v>#REF!</v>
      </c>
      <c r="P52" s="1248" t="e">
        <f t="shared" si="10"/>
        <v>#REF!</v>
      </c>
    </row>
    <row r="55" spans="1:16" x14ac:dyDescent="0.15">
      <c r="B55" s="1228" t="s">
        <v>609</v>
      </c>
      <c r="E55" s="1229" t="s">
        <v>624</v>
      </c>
      <c r="F55" s="1230"/>
      <c r="G55" s="1231"/>
      <c r="I55" s="1229" t="s">
        <v>625</v>
      </c>
      <c r="J55" s="1230"/>
      <c r="K55" s="1231"/>
      <c r="M55" s="1229" t="s">
        <v>626</v>
      </c>
      <c r="N55" s="1230"/>
      <c r="O55" s="1231"/>
      <c r="P55" s="1253" t="s">
        <v>628</v>
      </c>
    </row>
    <row r="56" spans="1:16" x14ac:dyDescent="0.15">
      <c r="B56" s="1232" t="s">
        <v>472</v>
      </c>
      <c r="C56" s="1232" t="s">
        <v>474</v>
      </c>
      <c r="D56" s="1233" t="s">
        <v>475</v>
      </c>
      <c r="E56" s="1234" t="s">
        <v>610</v>
      </c>
      <c r="F56" s="1234" t="s">
        <v>611</v>
      </c>
      <c r="G56" s="1234" t="s">
        <v>488</v>
      </c>
      <c r="I56" s="1234" t="s">
        <v>610</v>
      </c>
      <c r="J56" s="1234" t="s">
        <v>611</v>
      </c>
      <c r="K56" s="1234" t="s">
        <v>488</v>
      </c>
      <c r="M56" s="1234" t="s">
        <v>610</v>
      </c>
      <c r="N56" s="1234" t="s">
        <v>611</v>
      </c>
      <c r="O56" s="1234" t="s">
        <v>488</v>
      </c>
      <c r="P56" s="1254" t="s">
        <v>629</v>
      </c>
    </row>
    <row r="57" spans="1:16" x14ac:dyDescent="0.15">
      <c r="B57" s="1235" t="s">
        <v>473</v>
      </c>
      <c r="C57" s="1235" t="s">
        <v>31</v>
      </c>
      <c r="D57" s="1236" t="s">
        <v>476</v>
      </c>
      <c r="E57" s="1235" t="s">
        <v>481</v>
      </c>
      <c r="F57" s="1235" t="s">
        <v>481</v>
      </c>
      <c r="G57" s="1235" t="s">
        <v>481</v>
      </c>
      <c r="I57" s="1235" t="s">
        <v>481</v>
      </c>
      <c r="J57" s="1235" t="s">
        <v>481</v>
      </c>
      <c r="K57" s="1235" t="s">
        <v>481</v>
      </c>
      <c r="M57" s="1235" t="s">
        <v>481</v>
      </c>
      <c r="N57" s="1235" t="s">
        <v>481</v>
      </c>
      <c r="O57" s="1235" t="s">
        <v>481</v>
      </c>
      <c r="P57" s="1255" t="s">
        <v>630</v>
      </c>
    </row>
    <row r="58" spans="1:16" ht="16.5" x14ac:dyDescent="0.2">
      <c r="A58" s="1250" t="s">
        <v>535</v>
      </c>
      <c r="B58" s="1228">
        <v>1</v>
      </c>
      <c r="C58" s="1229" t="s">
        <v>484</v>
      </c>
      <c r="D58" s="1229" t="e">
        <f>+#REF!</f>
        <v>#REF!</v>
      </c>
      <c r="E58" s="1229" t="e">
        <f>+#REF!</f>
        <v>#REF!</v>
      </c>
      <c r="F58" s="1229" t="e">
        <f>+#REF!</f>
        <v>#REF!</v>
      </c>
      <c r="G58" s="1229" t="e">
        <f>+#REF!</f>
        <v>#REF!</v>
      </c>
      <c r="I58" s="1229">
        <f>+'Urban Rural Impact calculations'!$L$274</f>
        <v>5.01</v>
      </c>
      <c r="J58" s="1229" t="e">
        <f>+'Urban Rural Impact calculations'!$M$274</f>
        <v>#REF!</v>
      </c>
      <c r="K58" s="1229" t="e">
        <f>+'Urban Rural Impact calculations'!$N$274</f>
        <v>#REF!</v>
      </c>
      <c r="M58" s="1229" t="e">
        <f>+I58-E58</f>
        <v>#REF!</v>
      </c>
      <c r="N58" s="1229" t="e">
        <f t="shared" ref="N58:N65" si="14">+J58-F58</f>
        <v>#REF!</v>
      </c>
      <c r="O58" s="1229" t="e">
        <f>+M58+N58</f>
        <v>#REF!</v>
      </c>
      <c r="P58" s="1249" t="e">
        <f>ROUND(O58/D58*1000,0)</f>
        <v>#REF!</v>
      </c>
    </row>
    <row r="59" spans="1:16" ht="16.5" x14ac:dyDescent="0.2">
      <c r="A59" s="1250" t="s">
        <v>535</v>
      </c>
      <c r="B59" s="1228">
        <v>2</v>
      </c>
      <c r="C59" s="1229" t="s">
        <v>490</v>
      </c>
      <c r="D59" s="1229" t="e">
        <f>+#REF!</f>
        <v>#REF!</v>
      </c>
      <c r="E59" s="1229" t="e">
        <f>+#REF!</f>
        <v>#REF!</v>
      </c>
      <c r="F59" s="1229" t="e">
        <f>+#REF!</f>
        <v>#REF!</v>
      </c>
      <c r="G59" s="1229" t="e">
        <f>+#REF!</f>
        <v>#REF!</v>
      </c>
      <c r="I59" s="1229" t="e">
        <f>+'Urban Rural Impact calculations'!$L$287</f>
        <v>#REF!</v>
      </c>
      <c r="J59" s="1229" t="e">
        <f>+'Urban Rural Impact calculations'!$M$287</f>
        <v>#REF!</v>
      </c>
      <c r="K59" s="1229" t="e">
        <f>+'Urban Rural Impact calculations'!$N$287</f>
        <v>#REF!</v>
      </c>
      <c r="M59" s="1229" t="e">
        <f t="shared" ref="M59:M65" si="15">+I59-E59</f>
        <v>#REF!</v>
      </c>
      <c r="N59" s="1229" t="e">
        <f t="shared" si="14"/>
        <v>#REF!</v>
      </c>
      <c r="O59" s="1229" t="e">
        <f t="shared" ref="O59:O65" si="16">+M59+N59</f>
        <v>#REF!</v>
      </c>
      <c r="P59" s="1246" t="e">
        <f t="shared" ref="P59:P77" si="17">ROUND(O59/D59*1000,0)</f>
        <v>#REF!</v>
      </c>
    </row>
    <row r="60" spans="1:16" ht="16.5" x14ac:dyDescent="0.2">
      <c r="A60" s="1250" t="s">
        <v>535</v>
      </c>
      <c r="B60" s="1228">
        <v>3</v>
      </c>
      <c r="C60" s="1229" t="s">
        <v>553</v>
      </c>
      <c r="D60" s="1229" t="e">
        <f>+#REF!</f>
        <v>#REF!</v>
      </c>
      <c r="E60" s="1229" t="e">
        <f>+#REF!</f>
        <v>#REF!</v>
      </c>
      <c r="F60" s="1229" t="e">
        <f>+#REF!</f>
        <v>#REF!</v>
      </c>
      <c r="G60" s="1229" t="e">
        <f>+#REF!</f>
        <v>#REF!</v>
      </c>
      <c r="I60" s="1229" t="e">
        <f>+'Urban Rural Impact calculations'!$L$298</f>
        <v>#REF!</v>
      </c>
      <c r="J60" s="1229" t="e">
        <f>+'Urban Rural Impact calculations'!$M$298</f>
        <v>#REF!</v>
      </c>
      <c r="K60" s="1229" t="e">
        <f>+'Urban Rural Impact calculations'!$N$298</f>
        <v>#REF!</v>
      </c>
      <c r="M60" s="1229" t="e">
        <f t="shared" si="15"/>
        <v>#REF!</v>
      </c>
      <c r="N60" s="1229" t="e">
        <f t="shared" si="14"/>
        <v>#REF!</v>
      </c>
      <c r="O60" s="1229" t="e">
        <f t="shared" si="16"/>
        <v>#REF!</v>
      </c>
      <c r="P60" s="1246" t="e">
        <f t="shared" si="17"/>
        <v>#REF!</v>
      </c>
    </row>
    <row r="61" spans="1:16" ht="16.5" x14ac:dyDescent="0.2">
      <c r="A61" s="1250" t="s">
        <v>535</v>
      </c>
      <c r="B61" s="1228">
        <v>4</v>
      </c>
      <c r="C61" s="1229" t="s">
        <v>557</v>
      </c>
      <c r="D61" s="1229" t="e">
        <f>+#REF!</f>
        <v>#REF!</v>
      </c>
      <c r="E61" s="1229" t="e">
        <f>+#REF!</f>
        <v>#REF!</v>
      </c>
      <c r="F61" s="1229" t="e">
        <f>+#REF!</f>
        <v>#REF!</v>
      </c>
      <c r="G61" s="1229" t="e">
        <f>+#REF!</f>
        <v>#REF!</v>
      </c>
      <c r="I61" s="1229" t="e">
        <f>+'Urban Rural Impact calculations'!$L$307</f>
        <v>#REF!</v>
      </c>
      <c r="J61" s="1229" t="e">
        <f>+'Urban Rural Impact calculations'!$M$307</f>
        <v>#REF!</v>
      </c>
      <c r="K61" s="1229" t="e">
        <f>+'Urban Rural Impact calculations'!$N$307</f>
        <v>#REF!</v>
      </c>
      <c r="M61" s="1229" t="e">
        <f t="shared" si="15"/>
        <v>#REF!</v>
      </c>
      <c r="N61" s="1229" t="e">
        <f t="shared" si="14"/>
        <v>#REF!</v>
      </c>
      <c r="O61" s="1229" t="e">
        <f t="shared" si="16"/>
        <v>#REF!</v>
      </c>
      <c r="P61" s="1246" t="e">
        <f t="shared" si="17"/>
        <v>#REF!</v>
      </c>
    </row>
    <row r="62" spans="1:16" ht="16.5" x14ac:dyDescent="0.2">
      <c r="A62" s="1250" t="s">
        <v>535</v>
      </c>
      <c r="B62" s="1228">
        <v>5</v>
      </c>
      <c r="C62" s="1229" t="s">
        <v>566</v>
      </c>
      <c r="D62" s="1229" t="e">
        <f>+#REF!</f>
        <v>#REF!</v>
      </c>
      <c r="E62" s="1229" t="e">
        <f>+#REF!</f>
        <v>#REF!</v>
      </c>
      <c r="F62" s="1229" t="e">
        <f>+#REF!</f>
        <v>#REF!</v>
      </c>
      <c r="G62" s="1229" t="e">
        <f>+#REF!</f>
        <v>#REF!</v>
      </c>
      <c r="I62" s="1229" t="e">
        <f>+'Urban Rural Impact calculations'!$L$312</f>
        <v>#REF!</v>
      </c>
      <c r="J62" s="1229" t="e">
        <f>+'Urban Rural Impact calculations'!$M$312</f>
        <v>#REF!</v>
      </c>
      <c r="K62" s="1229" t="e">
        <f>+'Urban Rural Impact calculations'!$N$312</f>
        <v>#REF!</v>
      </c>
      <c r="M62" s="1229" t="e">
        <f t="shared" si="15"/>
        <v>#REF!</v>
      </c>
      <c r="N62" s="1229" t="e">
        <f t="shared" si="14"/>
        <v>#REF!</v>
      </c>
      <c r="O62" s="1229" t="e">
        <f t="shared" si="16"/>
        <v>#REF!</v>
      </c>
      <c r="P62" s="1246" t="e">
        <f t="shared" si="17"/>
        <v>#REF!</v>
      </c>
    </row>
    <row r="63" spans="1:16" ht="16.5" x14ac:dyDescent="0.2">
      <c r="A63" s="1250" t="s">
        <v>535</v>
      </c>
      <c r="B63" s="1228">
        <v>6</v>
      </c>
      <c r="C63" s="1229" t="s">
        <v>567</v>
      </c>
      <c r="D63" s="1229" t="e">
        <f>+#REF!</f>
        <v>#REF!</v>
      </c>
      <c r="E63" s="1229" t="e">
        <f>+#REF!</f>
        <v>#REF!</v>
      </c>
      <c r="F63" s="1229" t="e">
        <f>+#REF!</f>
        <v>#REF!</v>
      </c>
      <c r="G63" s="1229" t="e">
        <f>+#REF!</f>
        <v>#REF!</v>
      </c>
      <c r="I63" s="1229" t="e">
        <f>+'Urban Rural Impact calculations'!$L$327</f>
        <v>#REF!</v>
      </c>
      <c r="J63" s="1229" t="e">
        <f>+'Urban Rural Impact calculations'!$M$327</f>
        <v>#REF!</v>
      </c>
      <c r="K63" s="1229" t="e">
        <f>+'Urban Rural Impact calculations'!$N$327</f>
        <v>#REF!</v>
      </c>
      <c r="M63" s="1229" t="e">
        <f t="shared" si="15"/>
        <v>#REF!</v>
      </c>
      <c r="N63" s="1229" t="e">
        <f t="shared" si="14"/>
        <v>#REF!</v>
      </c>
      <c r="O63" s="1229" t="e">
        <f t="shared" si="16"/>
        <v>#REF!</v>
      </c>
      <c r="P63" s="1246" t="e">
        <f t="shared" si="17"/>
        <v>#REF!</v>
      </c>
    </row>
    <row r="64" spans="1:16" ht="16.5" x14ac:dyDescent="0.2">
      <c r="A64" s="1250" t="s">
        <v>535</v>
      </c>
      <c r="B64" s="1228">
        <v>7</v>
      </c>
      <c r="C64" s="1229" t="s">
        <v>577</v>
      </c>
      <c r="D64" s="1229" t="e">
        <f>+#REF!</f>
        <v>#REF!</v>
      </c>
      <c r="E64" s="1229" t="e">
        <f>+#REF!</f>
        <v>#REF!</v>
      </c>
      <c r="F64" s="1229" t="e">
        <f>+#REF!</f>
        <v>#REF!</v>
      </c>
      <c r="G64" s="1229" t="e">
        <f>+#REF!</f>
        <v>#REF!</v>
      </c>
      <c r="I64" s="1229" t="e">
        <f>+'Urban Rural Impact calculations'!$L$339</f>
        <v>#REF!</v>
      </c>
      <c r="J64" s="1229" t="e">
        <f>+'Urban Rural Impact calculations'!$M$339</f>
        <v>#REF!</v>
      </c>
      <c r="K64" s="1229" t="e">
        <f>+'Urban Rural Impact calculations'!$N$339</f>
        <v>#REF!</v>
      </c>
      <c r="M64" s="1229" t="e">
        <f t="shared" si="15"/>
        <v>#REF!</v>
      </c>
      <c r="N64" s="1229" t="e">
        <f t="shared" si="14"/>
        <v>#REF!</v>
      </c>
      <c r="O64" s="1229" t="e">
        <f t="shared" si="16"/>
        <v>#REF!</v>
      </c>
      <c r="P64" s="1246" t="e">
        <f t="shared" si="17"/>
        <v>#REF!</v>
      </c>
    </row>
    <row r="65" spans="1:16" ht="16.5" x14ac:dyDescent="0.2">
      <c r="A65" s="1250" t="s">
        <v>535</v>
      </c>
      <c r="B65" s="1228">
        <v>8</v>
      </c>
      <c r="C65" s="1229" t="s">
        <v>587</v>
      </c>
      <c r="D65" s="1229" t="e">
        <f>+#REF!</f>
        <v>#REF!</v>
      </c>
      <c r="E65" s="1229" t="e">
        <f>+#REF!</f>
        <v>#REF!</v>
      </c>
      <c r="F65" s="1229" t="e">
        <f>+#REF!</f>
        <v>#REF!</v>
      </c>
      <c r="G65" s="1229" t="e">
        <f>+#REF!</f>
        <v>#REF!</v>
      </c>
      <c r="I65" s="1229" t="e">
        <f>+'Urban Rural Impact calculations'!$L$343</f>
        <v>#REF!</v>
      </c>
      <c r="J65" s="1229" t="e">
        <f>+'Urban Rural Impact calculations'!$M$343</f>
        <v>#REF!</v>
      </c>
      <c r="K65" s="1229" t="e">
        <f>+'Urban Rural Impact calculations'!$N$343</f>
        <v>#REF!</v>
      </c>
      <c r="M65" s="1229" t="e">
        <f t="shared" si="15"/>
        <v>#REF!</v>
      </c>
      <c r="N65" s="1229" t="e">
        <f t="shared" si="14"/>
        <v>#REF!</v>
      </c>
      <c r="O65" s="1229" t="e">
        <f t="shared" si="16"/>
        <v>#REF!</v>
      </c>
      <c r="P65" s="1246" t="e">
        <f t="shared" si="17"/>
        <v>#REF!</v>
      </c>
    </row>
    <row r="66" spans="1:16" ht="16.5" x14ac:dyDescent="0.2">
      <c r="A66" s="1250" t="s">
        <v>535</v>
      </c>
      <c r="B66" s="1237"/>
      <c r="C66" s="1238" t="s">
        <v>588</v>
      </c>
      <c r="D66" s="1238" t="e">
        <f>D58+D59+D60+D61+D62+D63+D64+D65</f>
        <v>#REF!</v>
      </c>
      <c r="E66" s="1238" t="e">
        <f>E58+E59+E60+E61+E62+E63+E64+E65</f>
        <v>#REF!</v>
      </c>
      <c r="F66" s="1238" t="e">
        <f>F58+F59+F60+F61+F62+F63+F64+F65</f>
        <v>#REF!</v>
      </c>
      <c r="G66" s="1238" t="e">
        <f>G58+G59+G60+G61+G62+G63+G64+G65</f>
        <v>#REF!</v>
      </c>
      <c r="I66" s="1238" t="e">
        <f>I58+I59+I60+I61+I62+I63+I64+I65</f>
        <v>#REF!</v>
      </c>
      <c r="J66" s="1238" t="e">
        <f>J58+J59+J60+J61+J62+J63+J64+J65</f>
        <v>#REF!</v>
      </c>
      <c r="K66" s="1238" t="e">
        <f>K58+K59+K60+K61+K62+K63+K64+K65</f>
        <v>#REF!</v>
      </c>
      <c r="M66" s="1238" t="e">
        <f>M58+M59+M60+M61+M62+M63+M64+M65</f>
        <v>#REF!</v>
      </c>
      <c r="N66" s="1238" t="e">
        <f>N58+N59+N60+N61+N62+N63+N64+N65</f>
        <v>#REF!</v>
      </c>
      <c r="O66" s="1238" t="e">
        <f>O58+O59+O60+O61+O62+O63+O64+O65</f>
        <v>#REF!</v>
      </c>
      <c r="P66" s="1247" t="e">
        <f t="shared" si="17"/>
        <v>#REF!</v>
      </c>
    </row>
    <row r="67" spans="1:16" ht="16.5" x14ac:dyDescent="0.2">
      <c r="A67" s="1250" t="s">
        <v>535</v>
      </c>
      <c r="B67" s="1227"/>
    </row>
    <row r="68" spans="1:16" ht="16.5" x14ac:dyDescent="0.2">
      <c r="A68" s="1250" t="s">
        <v>535</v>
      </c>
      <c r="B68" s="1239">
        <v>9</v>
      </c>
      <c r="C68" s="1240" t="s">
        <v>16</v>
      </c>
      <c r="D68" s="1229" t="e">
        <f>+#REF!</f>
        <v>#REF!</v>
      </c>
      <c r="E68" s="1229" t="e">
        <f>+#REF!</f>
        <v>#REF!</v>
      </c>
      <c r="F68" s="1229" t="e">
        <f>+#REF!</f>
        <v>#REF!</v>
      </c>
      <c r="G68" s="1229" t="e">
        <f>+#REF!</f>
        <v>#REF!</v>
      </c>
      <c r="I68" s="1229" t="e">
        <f>+'Urban Rural Impact calculations'!$L$347</f>
        <v>#REF!</v>
      </c>
      <c r="J68" s="1229" t="e">
        <f>+'Urban Rural Impact calculations'!$M$347</f>
        <v>#REF!</v>
      </c>
      <c r="K68" s="1229" t="e">
        <f>+'Urban Rural Impact calculations'!$N$347</f>
        <v>#REF!</v>
      </c>
      <c r="M68" s="1229" t="e">
        <f t="shared" ref="M68:M74" si="18">+I68-E68</f>
        <v>#REF!</v>
      </c>
      <c r="N68" s="1229" t="e">
        <f t="shared" ref="N68:N74" si="19">+J68-F68</f>
        <v>#REF!</v>
      </c>
      <c r="O68" s="1229" t="e">
        <f t="shared" ref="O68:O74" si="20">+M68+N68</f>
        <v>#REF!</v>
      </c>
      <c r="P68" s="1246" t="e">
        <f t="shared" si="17"/>
        <v>#REF!</v>
      </c>
    </row>
    <row r="69" spans="1:16" ht="16.5" x14ac:dyDescent="0.2">
      <c r="A69" s="1250" t="s">
        <v>535</v>
      </c>
      <c r="B69" s="1228">
        <v>10</v>
      </c>
      <c r="C69" s="1229" t="s">
        <v>592</v>
      </c>
      <c r="D69" s="1229" t="e">
        <f>+#REF!</f>
        <v>#REF!</v>
      </c>
      <c r="E69" s="1229" t="e">
        <f>+#REF!</f>
        <v>#REF!</v>
      </c>
      <c r="F69" s="1229" t="e">
        <f>+#REF!</f>
        <v>#REF!</v>
      </c>
      <c r="G69" s="1229" t="e">
        <f>+#REF!</f>
        <v>#REF!</v>
      </c>
      <c r="I69" s="1229" t="e">
        <f>+'Urban Rural Impact calculations'!$L$356</f>
        <v>#REF!</v>
      </c>
      <c r="J69" s="1229" t="e">
        <f>+'Urban Rural Impact calculations'!$M$356</f>
        <v>#REF!</v>
      </c>
      <c r="K69" s="1229" t="e">
        <f>+'Urban Rural Impact calculations'!$N$356</f>
        <v>#REF!</v>
      </c>
      <c r="M69" s="1229" t="e">
        <f t="shared" si="18"/>
        <v>#REF!</v>
      </c>
      <c r="N69" s="1229" t="e">
        <f t="shared" si="19"/>
        <v>#REF!</v>
      </c>
      <c r="O69" s="1229" t="e">
        <f t="shared" si="20"/>
        <v>#REF!</v>
      </c>
      <c r="P69" s="1246" t="e">
        <f t="shared" si="17"/>
        <v>#REF!</v>
      </c>
    </row>
    <row r="70" spans="1:16" ht="16.5" x14ac:dyDescent="0.2">
      <c r="A70" s="1250" t="s">
        <v>535</v>
      </c>
      <c r="B70" s="1228">
        <v>11</v>
      </c>
      <c r="C70" s="1229" t="s">
        <v>595</v>
      </c>
      <c r="D70" s="1229" t="e">
        <f>+#REF!</f>
        <v>#REF!</v>
      </c>
      <c r="E70" s="1229" t="e">
        <f>+#REF!</f>
        <v>#REF!</v>
      </c>
      <c r="F70" s="1229" t="e">
        <f>+#REF!</f>
        <v>#REF!</v>
      </c>
      <c r="G70" s="1229" t="e">
        <f>+#REF!</f>
        <v>#REF!</v>
      </c>
      <c r="I70" s="1229" t="e">
        <f>+'Urban Rural Impact calculations'!$L$365</f>
        <v>#REF!</v>
      </c>
      <c r="J70" s="1229" t="e">
        <f>+'Urban Rural Impact calculations'!$M$365</f>
        <v>#REF!</v>
      </c>
      <c r="K70" s="1229" t="e">
        <f>+'Urban Rural Impact calculations'!$N$365</f>
        <v>#REF!</v>
      </c>
      <c r="M70" s="1229" t="e">
        <f t="shared" si="18"/>
        <v>#REF!</v>
      </c>
      <c r="N70" s="1229" t="e">
        <f t="shared" si="19"/>
        <v>#REF!</v>
      </c>
      <c r="O70" s="1229" t="e">
        <f t="shared" si="20"/>
        <v>#REF!</v>
      </c>
      <c r="P70" s="1246" t="e">
        <f t="shared" si="17"/>
        <v>#REF!</v>
      </c>
    </row>
    <row r="71" spans="1:16" ht="16.5" x14ac:dyDescent="0.2">
      <c r="A71" s="1250" t="s">
        <v>535</v>
      </c>
      <c r="B71" s="1228">
        <v>12</v>
      </c>
      <c r="C71" s="1229" t="s">
        <v>600</v>
      </c>
      <c r="D71" s="1229" t="e">
        <f>+#REF!</f>
        <v>#REF!</v>
      </c>
      <c r="E71" s="1229" t="e">
        <f>+#REF!</f>
        <v>#REF!</v>
      </c>
      <c r="F71" s="1229" t="e">
        <f>+#REF!</f>
        <v>#REF!</v>
      </c>
      <c r="G71" s="1229" t="e">
        <f>+#REF!</f>
        <v>#REF!</v>
      </c>
      <c r="I71" s="1229" t="e">
        <f>+'Urban Rural Impact calculations'!$L$374</f>
        <v>#REF!</v>
      </c>
      <c r="J71" s="1229" t="e">
        <f>+'Urban Rural Impact calculations'!$M$374</f>
        <v>#REF!</v>
      </c>
      <c r="K71" s="1229" t="e">
        <f>+'Urban Rural Impact calculations'!$N$374</f>
        <v>#REF!</v>
      </c>
      <c r="M71" s="1229" t="e">
        <f t="shared" si="18"/>
        <v>#REF!</v>
      </c>
      <c r="N71" s="1229" t="e">
        <f t="shared" si="19"/>
        <v>#REF!</v>
      </c>
      <c r="O71" s="1229" t="e">
        <f t="shared" si="20"/>
        <v>#REF!</v>
      </c>
      <c r="P71" s="1246" t="e">
        <f t="shared" si="17"/>
        <v>#REF!</v>
      </c>
    </row>
    <row r="72" spans="1:16" ht="16.5" x14ac:dyDescent="0.2">
      <c r="A72" s="1250" t="s">
        <v>535</v>
      </c>
      <c r="B72" s="1228">
        <v>13</v>
      </c>
      <c r="C72" s="1229" t="s">
        <v>603</v>
      </c>
      <c r="D72" s="1229" t="e">
        <f>+#REF!</f>
        <v>#REF!</v>
      </c>
      <c r="E72" s="1229" t="e">
        <f>+#REF!</f>
        <v>#REF!</v>
      </c>
      <c r="F72" s="1229" t="e">
        <f>+#REF!</f>
        <v>#REF!</v>
      </c>
      <c r="G72" s="1229" t="e">
        <f>+#REF!</f>
        <v>#REF!</v>
      </c>
      <c r="I72" s="1229" t="e">
        <f>+'Urban Rural Impact calculations'!$L$380</f>
        <v>#REF!</v>
      </c>
      <c r="J72" s="1229" t="e">
        <f>+'Urban Rural Impact calculations'!$M$380</f>
        <v>#REF!</v>
      </c>
      <c r="K72" s="1229" t="e">
        <f>+'Urban Rural Impact calculations'!$N$380</f>
        <v>#REF!</v>
      </c>
      <c r="M72" s="1229" t="e">
        <f t="shared" si="18"/>
        <v>#REF!</v>
      </c>
      <c r="N72" s="1229" t="e">
        <f t="shared" si="19"/>
        <v>#REF!</v>
      </c>
      <c r="O72" s="1229" t="e">
        <f t="shared" si="20"/>
        <v>#REF!</v>
      </c>
      <c r="P72" s="1246" t="e">
        <f t="shared" si="17"/>
        <v>#REF!</v>
      </c>
    </row>
    <row r="73" spans="1:16" ht="16.5" x14ac:dyDescent="0.2">
      <c r="A73" s="1250" t="s">
        <v>535</v>
      </c>
      <c r="B73" s="1239">
        <v>14</v>
      </c>
      <c r="C73" s="1240" t="s">
        <v>312</v>
      </c>
      <c r="D73" s="1229" t="e">
        <f>+#REF!</f>
        <v>#REF!</v>
      </c>
      <c r="E73" s="1229" t="e">
        <f>+#REF!</f>
        <v>#REF!</v>
      </c>
      <c r="F73" s="1229" t="e">
        <f>+#REF!</f>
        <v>#REF!</v>
      </c>
      <c r="G73" s="1229" t="e">
        <f>+#REF!</f>
        <v>#REF!</v>
      </c>
      <c r="I73" s="1229" t="e">
        <f>+'Urban Rural Impact calculations'!$L$382</f>
        <v>#REF!</v>
      </c>
      <c r="J73" s="1229" t="e">
        <f>+'Urban Rural Impact calculations'!$M$382</f>
        <v>#REF!</v>
      </c>
      <c r="K73" s="1229" t="e">
        <f>+'Urban Rural Impact calculations'!$N$382</f>
        <v>#REF!</v>
      </c>
      <c r="M73" s="1229" t="e">
        <f t="shared" si="18"/>
        <v>#REF!</v>
      </c>
      <c r="N73" s="1229" t="e">
        <f t="shared" si="19"/>
        <v>#REF!</v>
      </c>
      <c r="O73" s="1229" t="e">
        <f t="shared" si="20"/>
        <v>#REF!</v>
      </c>
      <c r="P73" s="1246" t="e">
        <f t="shared" si="17"/>
        <v>#REF!</v>
      </c>
    </row>
    <row r="74" spans="1:16" ht="16.5" x14ac:dyDescent="0.2">
      <c r="A74" s="1250" t="s">
        <v>535</v>
      </c>
      <c r="B74" s="1239">
        <v>15</v>
      </c>
      <c r="C74" s="1240" t="s">
        <v>313</v>
      </c>
      <c r="D74" s="1229" t="e">
        <f>+#REF!</f>
        <v>#REF!</v>
      </c>
      <c r="E74" s="1229" t="e">
        <f>+#REF!</f>
        <v>#REF!</v>
      </c>
      <c r="F74" s="1229" t="e">
        <f>+#REF!</f>
        <v>#REF!</v>
      </c>
      <c r="G74" s="1229" t="e">
        <f>+#REF!</f>
        <v>#REF!</v>
      </c>
      <c r="I74" s="1229" t="e">
        <f>+'Urban Rural Impact calculations'!$L$384</f>
        <v>#REF!</v>
      </c>
      <c r="J74" s="1229" t="e">
        <f>+'Urban Rural Impact calculations'!$M$384</f>
        <v>#REF!</v>
      </c>
      <c r="K74" s="1229" t="e">
        <f>+'Urban Rural Impact calculations'!$N$384</f>
        <v>#REF!</v>
      </c>
      <c r="M74" s="1229" t="e">
        <f t="shared" si="18"/>
        <v>#REF!</v>
      </c>
      <c r="N74" s="1229" t="e">
        <f t="shared" si="19"/>
        <v>#REF!</v>
      </c>
      <c r="O74" s="1229" t="e">
        <f t="shared" si="20"/>
        <v>#REF!</v>
      </c>
      <c r="P74" s="1246" t="e">
        <f t="shared" si="17"/>
        <v>#REF!</v>
      </c>
    </row>
    <row r="75" spans="1:16" ht="16.5" x14ac:dyDescent="0.2">
      <c r="A75" s="1250" t="s">
        <v>535</v>
      </c>
      <c r="B75" s="1241"/>
      <c r="C75" s="1242" t="s">
        <v>605</v>
      </c>
      <c r="D75" s="1242" t="e">
        <f>D68+D69+D70+D71+D72+D73+D74</f>
        <v>#REF!</v>
      </c>
      <c r="E75" s="1242" t="e">
        <f>E68+E69+E70+E71+E72+E73+E74</f>
        <v>#REF!</v>
      </c>
      <c r="F75" s="1242" t="e">
        <f>F68+F69+F70+F71+F72+F73+F74</f>
        <v>#REF!</v>
      </c>
      <c r="G75" s="1242" t="e">
        <f>G68+G69+G70+G71+G72+G73+G74</f>
        <v>#REF!</v>
      </c>
      <c r="I75" s="1242" t="e">
        <f>I68+I69+I70+I71+I72+I73+I74</f>
        <v>#REF!</v>
      </c>
      <c r="J75" s="1242" t="e">
        <f>J68+J69+J70+J71+J72+J73+J74</f>
        <v>#REF!</v>
      </c>
      <c r="K75" s="1242" t="e">
        <f>K68+K69+K70+K71+K72+K73+K74</f>
        <v>#REF!</v>
      </c>
      <c r="M75" s="1242" t="e">
        <f>M68+M69+M70+M71+M72+M73+M74</f>
        <v>#REF!</v>
      </c>
      <c r="N75" s="1242" t="e">
        <f>N68+N69+N70+N71+N72+N73+N74</f>
        <v>#REF!</v>
      </c>
      <c r="O75" s="1242" t="e">
        <f>O68+O69+O70+O71+O72+O73+O74</f>
        <v>#REF!</v>
      </c>
      <c r="P75" s="1248" t="e">
        <f t="shared" si="17"/>
        <v>#REF!</v>
      </c>
    </row>
    <row r="76" spans="1:16" ht="16.5" x14ac:dyDescent="0.2">
      <c r="A76" s="1250" t="s">
        <v>535</v>
      </c>
      <c r="B76" s="1243"/>
      <c r="C76" s="1243"/>
      <c r="D76" s="1243"/>
      <c r="E76" s="1243"/>
      <c r="F76" s="1243"/>
      <c r="G76" s="1243"/>
      <c r="I76" s="1243"/>
      <c r="J76" s="1243"/>
      <c r="K76" s="1243"/>
      <c r="M76" s="1243"/>
      <c r="N76" s="1243"/>
      <c r="O76" s="1243"/>
      <c r="P76" s="1243"/>
    </row>
    <row r="77" spans="1:16" ht="16.5" x14ac:dyDescent="0.2">
      <c r="A77" s="1250" t="s">
        <v>535</v>
      </c>
      <c r="B77" s="1241"/>
      <c r="C77" s="1242" t="s">
        <v>606</v>
      </c>
      <c r="D77" s="1242" t="e">
        <f>D66+D75</f>
        <v>#REF!</v>
      </c>
      <c r="E77" s="1242" t="e">
        <f>E66+E75</f>
        <v>#REF!</v>
      </c>
      <c r="F77" s="1242" t="e">
        <f>F66+F75</f>
        <v>#REF!</v>
      </c>
      <c r="G77" s="1242" t="e">
        <f>G66+G75</f>
        <v>#REF!</v>
      </c>
      <c r="I77" s="1242" t="e">
        <f>I66+I75</f>
        <v>#REF!</v>
      </c>
      <c r="J77" s="1242" t="e">
        <f>J66+J75</f>
        <v>#REF!</v>
      </c>
      <c r="K77" s="1242" t="e">
        <f>K66+K75</f>
        <v>#REF!</v>
      </c>
      <c r="M77" s="1242" t="e">
        <f>M66+M75</f>
        <v>#REF!</v>
      </c>
      <c r="N77" s="1242" t="e">
        <f>N66+N75</f>
        <v>#REF!</v>
      </c>
      <c r="O77" s="1242" t="e">
        <f>O66+O75</f>
        <v>#REF!</v>
      </c>
      <c r="P77" s="1248" t="e">
        <f t="shared" si="17"/>
        <v>#REF!</v>
      </c>
    </row>
    <row r="80" spans="1:16" x14ac:dyDescent="0.15">
      <c r="B80" s="1228" t="s">
        <v>609</v>
      </c>
      <c r="E80" s="1229" t="s">
        <v>624</v>
      </c>
      <c r="F80" s="1230"/>
      <c r="G80" s="1231"/>
      <c r="I80" s="1229" t="s">
        <v>625</v>
      </c>
      <c r="J80" s="1230"/>
      <c r="K80" s="1231"/>
      <c r="M80" s="1229" t="s">
        <v>626</v>
      </c>
      <c r="N80" s="1230"/>
      <c r="O80" s="1231"/>
      <c r="P80" s="1253" t="s">
        <v>628</v>
      </c>
    </row>
    <row r="81" spans="1:16" x14ac:dyDescent="0.15">
      <c r="B81" s="1232" t="s">
        <v>472</v>
      </c>
      <c r="C81" s="1232" t="s">
        <v>474</v>
      </c>
      <c r="D81" s="1233" t="s">
        <v>475</v>
      </c>
      <c r="E81" s="1234" t="s">
        <v>610</v>
      </c>
      <c r="F81" s="1234" t="s">
        <v>611</v>
      </c>
      <c r="G81" s="1234" t="s">
        <v>488</v>
      </c>
      <c r="I81" s="1234" t="s">
        <v>610</v>
      </c>
      <c r="J81" s="1234" t="s">
        <v>611</v>
      </c>
      <c r="K81" s="1234" t="s">
        <v>488</v>
      </c>
      <c r="M81" s="1234" t="s">
        <v>610</v>
      </c>
      <c r="N81" s="1234" t="s">
        <v>611</v>
      </c>
      <c r="O81" s="1234" t="s">
        <v>488</v>
      </c>
      <c r="P81" s="1254" t="s">
        <v>629</v>
      </c>
    </row>
    <row r="82" spans="1:16" x14ac:dyDescent="0.15">
      <c r="B82" s="1235" t="s">
        <v>473</v>
      </c>
      <c r="C82" s="1235" t="s">
        <v>31</v>
      </c>
      <c r="D82" s="1236" t="s">
        <v>476</v>
      </c>
      <c r="E82" s="1235" t="s">
        <v>481</v>
      </c>
      <c r="F82" s="1235" t="s">
        <v>481</v>
      </c>
      <c r="G82" s="1235" t="s">
        <v>481</v>
      </c>
      <c r="I82" s="1235" t="s">
        <v>481</v>
      </c>
      <c r="J82" s="1235" t="s">
        <v>481</v>
      </c>
      <c r="K82" s="1235" t="s">
        <v>481</v>
      </c>
      <c r="M82" s="1235" t="s">
        <v>481</v>
      </c>
      <c r="N82" s="1235" t="s">
        <v>481</v>
      </c>
      <c r="O82" s="1235" t="s">
        <v>481</v>
      </c>
      <c r="P82" s="1255" t="s">
        <v>630</v>
      </c>
    </row>
    <row r="83" spans="1:16" ht="16.5" x14ac:dyDescent="0.2">
      <c r="A83" s="1250" t="s">
        <v>537</v>
      </c>
      <c r="B83" s="1228">
        <v>1</v>
      </c>
      <c r="C83" s="1229" t="s">
        <v>484</v>
      </c>
      <c r="D83" s="1229" t="e">
        <f>+#REF!</f>
        <v>#REF!</v>
      </c>
      <c r="E83" s="1229" t="e">
        <f>+#REF!</f>
        <v>#REF!</v>
      </c>
      <c r="F83" s="1229" t="e">
        <f>+#REF!</f>
        <v>#REF!</v>
      </c>
      <c r="G83" s="1229" t="e">
        <f>+#REF!</f>
        <v>#REF!</v>
      </c>
      <c r="I83" s="1229">
        <f>+'Urban Rural Impact calculations'!$L$407</f>
        <v>8.33</v>
      </c>
      <c r="J83" s="1229" t="e">
        <f>+'Urban Rural Impact calculations'!$M$407</f>
        <v>#REF!</v>
      </c>
      <c r="K83" s="1229" t="e">
        <f>+'Urban Rural Impact calculations'!$N$407</f>
        <v>#REF!</v>
      </c>
      <c r="M83" s="1229" t="e">
        <f>+I83-E83</f>
        <v>#REF!</v>
      </c>
      <c r="N83" s="1229" t="e">
        <f t="shared" ref="N83:N90" si="21">+J83-F83</f>
        <v>#REF!</v>
      </c>
      <c r="O83" s="1229" t="e">
        <f>+M83+N83</f>
        <v>#REF!</v>
      </c>
      <c r="P83" s="1249" t="e">
        <f>ROUND(O83/D83*1000,0)</f>
        <v>#REF!</v>
      </c>
    </row>
    <row r="84" spans="1:16" ht="16.5" x14ac:dyDescent="0.2">
      <c r="A84" s="1250" t="s">
        <v>537</v>
      </c>
      <c r="B84" s="1228">
        <v>2</v>
      </c>
      <c r="C84" s="1229" t="s">
        <v>490</v>
      </c>
      <c r="D84" s="1229" t="e">
        <f>+#REF!</f>
        <v>#REF!</v>
      </c>
      <c r="E84" s="1229" t="e">
        <f>+#REF!</f>
        <v>#REF!</v>
      </c>
      <c r="F84" s="1229" t="e">
        <f>+#REF!</f>
        <v>#REF!</v>
      </c>
      <c r="G84" s="1229" t="e">
        <f>+#REF!</f>
        <v>#REF!</v>
      </c>
      <c r="I84" s="1229" t="e">
        <f>+'Urban Rural Impact calculations'!$L$420</f>
        <v>#REF!</v>
      </c>
      <c r="J84" s="1229" t="e">
        <f>+'Urban Rural Impact calculations'!$M$420</f>
        <v>#REF!</v>
      </c>
      <c r="K84" s="1229" t="e">
        <f>+'Urban Rural Impact calculations'!$N$420</f>
        <v>#REF!</v>
      </c>
      <c r="M84" s="1229" t="e">
        <f t="shared" ref="M84:M90" si="22">+I84-E84</f>
        <v>#REF!</v>
      </c>
      <c r="N84" s="1229" t="e">
        <f t="shared" si="21"/>
        <v>#REF!</v>
      </c>
      <c r="O84" s="1229" t="e">
        <f t="shared" ref="O84:O90" si="23">+M84+N84</f>
        <v>#REF!</v>
      </c>
      <c r="P84" s="1246" t="e">
        <f t="shared" ref="P84:P102" si="24">ROUND(O84/D84*1000,0)</f>
        <v>#REF!</v>
      </c>
    </row>
    <row r="85" spans="1:16" ht="16.5" x14ac:dyDescent="0.2">
      <c r="A85" s="1250" t="s">
        <v>537</v>
      </c>
      <c r="B85" s="1228">
        <v>3</v>
      </c>
      <c r="C85" s="1229" t="s">
        <v>553</v>
      </c>
      <c r="D85" s="1229" t="e">
        <f>+#REF!</f>
        <v>#REF!</v>
      </c>
      <c r="E85" s="1229" t="e">
        <f>+#REF!</f>
        <v>#REF!</v>
      </c>
      <c r="F85" s="1229" t="e">
        <f>+#REF!</f>
        <v>#REF!</v>
      </c>
      <c r="G85" s="1229" t="e">
        <f>+#REF!</f>
        <v>#REF!</v>
      </c>
      <c r="I85" s="1229" t="e">
        <f>+'Urban Rural Impact calculations'!$L$431</f>
        <v>#REF!</v>
      </c>
      <c r="J85" s="1229" t="e">
        <f>+'Urban Rural Impact calculations'!$M$431</f>
        <v>#REF!</v>
      </c>
      <c r="K85" s="1229" t="e">
        <f>+'Urban Rural Impact calculations'!$N$431</f>
        <v>#REF!</v>
      </c>
      <c r="M85" s="1229" t="e">
        <f t="shared" si="22"/>
        <v>#REF!</v>
      </c>
      <c r="N85" s="1229" t="e">
        <f t="shared" si="21"/>
        <v>#REF!</v>
      </c>
      <c r="O85" s="1229" t="e">
        <f t="shared" si="23"/>
        <v>#REF!</v>
      </c>
      <c r="P85" s="1246" t="e">
        <f t="shared" si="24"/>
        <v>#REF!</v>
      </c>
    </row>
    <row r="86" spans="1:16" ht="16.5" x14ac:dyDescent="0.2">
      <c r="A86" s="1250" t="s">
        <v>537</v>
      </c>
      <c r="B86" s="1228">
        <v>4</v>
      </c>
      <c r="C86" s="1229" t="s">
        <v>557</v>
      </c>
      <c r="D86" s="1229" t="e">
        <f>+#REF!</f>
        <v>#REF!</v>
      </c>
      <c r="E86" s="1229" t="e">
        <f>+#REF!</f>
        <v>#REF!</v>
      </c>
      <c r="F86" s="1229" t="e">
        <f>+#REF!</f>
        <v>#REF!</v>
      </c>
      <c r="G86" s="1229" t="e">
        <f>+#REF!</f>
        <v>#REF!</v>
      </c>
      <c r="I86" s="1229" t="e">
        <f>+'Urban Rural Impact calculations'!$L$440</f>
        <v>#REF!</v>
      </c>
      <c r="J86" s="1229" t="e">
        <f>+'Urban Rural Impact calculations'!$M$440</f>
        <v>#REF!</v>
      </c>
      <c r="K86" s="1229" t="e">
        <f>+'Urban Rural Impact calculations'!$N$440</f>
        <v>#REF!</v>
      </c>
      <c r="M86" s="1229" t="e">
        <f t="shared" si="22"/>
        <v>#REF!</v>
      </c>
      <c r="N86" s="1229" t="e">
        <f t="shared" si="21"/>
        <v>#REF!</v>
      </c>
      <c r="O86" s="1229" t="e">
        <f t="shared" si="23"/>
        <v>#REF!</v>
      </c>
      <c r="P86" s="1246" t="e">
        <f t="shared" si="24"/>
        <v>#REF!</v>
      </c>
    </row>
    <row r="87" spans="1:16" ht="16.5" x14ac:dyDescent="0.2">
      <c r="A87" s="1250" t="s">
        <v>537</v>
      </c>
      <c r="B87" s="1228">
        <v>5</v>
      </c>
      <c r="C87" s="1229" t="s">
        <v>566</v>
      </c>
      <c r="D87" s="1229" t="e">
        <f>+#REF!</f>
        <v>#REF!</v>
      </c>
      <c r="E87" s="1229" t="e">
        <f>+#REF!</f>
        <v>#REF!</v>
      </c>
      <c r="F87" s="1229" t="e">
        <f>+#REF!</f>
        <v>#REF!</v>
      </c>
      <c r="G87" s="1229" t="e">
        <f>+#REF!</f>
        <v>#REF!</v>
      </c>
      <c r="I87" s="1229" t="e">
        <f>+'Urban Rural Impact calculations'!$L$445</f>
        <v>#REF!</v>
      </c>
      <c r="J87" s="1229" t="e">
        <f>+'Urban Rural Impact calculations'!$M$445</f>
        <v>#REF!</v>
      </c>
      <c r="K87" s="1229" t="e">
        <f>+'Urban Rural Impact calculations'!$N$445</f>
        <v>#REF!</v>
      </c>
      <c r="M87" s="1229" t="e">
        <f t="shared" si="22"/>
        <v>#REF!</v>
      </c>
      <c r="N87" s="1229" t="e">
        <f t="shared" si="21"/>
        <v>#REF!</v>
      </c>
      <c r="O87" s="1229" t="e">
        <f t="shared" si="23"/>
        <v>#REF!</v>
      </c>
      <c r="P87" s="1246" t="e">
        <f t="shared" si="24"/>
        <v>#REF!</v>
      </c>
    </row>
    <row r="88" spans="1:16" ht="16.5" x14ac:dyDescent="0.2">
      <c r="A88" s="1250" t="s">
        <v>537</v>
      </c>
      <c r="B88" s="1228">
        <v>6</v>
      </c>
      <c r="C88" s="1229" t="s">
        <v>567</v>
      </c>
      <c r="D88" s="1229" t="e">
        <f>+#REF!</f>
        <v>#REF!</v>
      </c>
      <c r="E88" s="1229" t="e">
        <f>+#REF!</f>
        <v>#REF!</v>
      </c>
      <c r="F88" s="1229" t="e">
        <f>+#REF!</f>
        <v>#REF!</v>
      </c>
      <c r="G88" s="1229" t="e">
        <f>+#REF!</f>
        <v>#REF!</v>
      </c>
      <c r="I88" s="1229" t="e">
        <f>+'Urban Rural Impact calculations'!$L$460</f>
        <v>#REF!</v>
      </c>
      <c r="J88" s="1229" t="e">
        <f>+'Urban Rural Impact calculations'!$M$460</f>
        <v>#REF!</v>
      </c>
      <c r="K88" s="1229" t="e">
        <f>+'Urban Rural Impact calculations'!$N$460</f>
        <v>#REF!</v>
      </c>
      <c r="M88" s="1229" t="e">
        <f t="shared" si="22"/>
        <v>#REF!</v>
      </c>
      <c r="N88" s="1229" t="e">
        <f t="shared" si="21"/>
        <v>#REF!</v>
      </c>
      <c r="O88" s="1229" t="e">
        <f t="shared" si="23"/>
        <v>#REF!</v>
      </c>
      <c r="P88" s="1246" t="e">
        <f t="shared" si="24"/>
        <v>#REF!</v>
      </c>
    </row>
    <row r="89" spans="1:16" ht="16.5" x14ac:dyDescent="0.2">
      <c r="A89" s="1250" t="s">
        <v>537</v>
      </c>
      <c r="B89" s="1228">
        <v>7</v>
      </c>
      <c r="C89" s="1229" t="s">
        <v>577</v>
      </c>
      <c r="D89" s="1229" t="e">
        <f>+#REF!</f>
        <v>#REF!</v>
      </c>
      <c r="E89" s="1229" t="e">
        <f>+#REF!</f>
        <v>#REF!</v>
      </c>
      <c r="F89" s="1229" t="e">
        <f>+#REF!</f>
        <v>#REF!</v>
      </c>
      <c r="G89" s="1229" t="e">
        <f>+#REF!</f>
        <v>#REF!</v>
      </c>
      <c r="I89" s="1229" t="e">
        <f>+'Urban Rural Impact calculations'!$L$472</f>
        <v>#REF!</v>
      </c>
      <c r="J89" s="1229" t="e">
        <f>+'Urban Rural Impact calculations'!$M$472</f>
        <v>#REF!</v>
      </c>
      <c r="K89" s="1229" t="e">
        <f>+'Urban Rural Impact calculations'!$N$472</f>
        <v>#REF!</v>
      </c>
      <c r="M89" s="1229" t="e">
        <f t="shared" si="22"/>
        <v>#REF!</v>
      </c>
      <c r="N89" s="1229" t="e">
        <f t="shared" si="21"/>
        <v>#REF!</v>
      </c>
      <c r="O89" s="1229" t="e">
        <f t="shared" si="23"/>
        <v>#REF!</v>
      </c>
      <c r="P89" s="1246" t="e">
        <f t="shared" si="24"/>
        <v>#REF!</v>
      </c>
    </row>
    <row r="90" spans="1:16" ht="16.5" x14ac:dyDescent="0.2">
      <c r="A90" s="1250" t="s">
        <v>537</v>
      </c>
      <c r="B90" s="1228">
        <v>8</v>
      </c>
      <c r="C90" s="1229" t="s">
        <v>587</v>
      </c>
      <c r="D90" s="1229" t="e">
        <f>+#REF!</f>
        <v>#REF!</v>
      </c>
      <c r="E90" s="1229" t="e">
        <f>+#REF!</f>
        <v>#REF!</v>
      </c>
      <c r="F90" s="1229" t="e">
        <f>+#REF!</f>
        <v>#REF!</v>
      </c>
      <c r="G90" s="1229" t="e">
        <f>+#REF!</f>
        <v>#REF!</v>
      </c>
      <c r="I90" s="1229" t="e">
        <f>+'Urban Rural Impact calculations'!$L$476</f>
        <v>#REF!</v>
      </c>
      <c r="J90" s="1229" t="e">
        <f>+'Urban Rural Impact calculations'!$M$476</f>
        <v>#REF!</v>
      </c>
      <c r="K90" s="1229" t="e">
        <f>+'Urban Rural Impact calculations'!$N$476</f>
        <v>#REF!</v>
      </c>
      <c r="M90" s="1229" t="e">
        <f t="shared" si="22"/>
        <v>#REF!</v>
      </c>
      <c r="N90" s="1229" t="e">
        <f t="shared" si="21"/>
        <v>#REF!</v>
      </c>
      <c r="O90" s="1229" t="e">
        <f t="shared" si="23"/>
        <v>#REF!</v>
      </c>
      <c r="P90" s="1246" t="e">
        <f t="shared" si="24"/>
        <v>#REF!</v>
      </c>
    </row>
    <row r="91" spans="1:16" ht="16.5" x14ac:dyDescent="0.2">
      <c r="A91" s="1250" t="s">
        <v>537</v>
      </c>
      <c r="B91" s="1237"/>
      <c r="C91" s="1238" t="s">
        <v>588</v>
      </c>
      <c r="D91" s="1238" t="e">
        <f>D83+D84+D85+D86+D87+D88+D89+D90</f>
        <v>#REF!</v>
      </c>
      <c r="E91" s="1238" t="e">
        <f>E83+E84+E85+E86+E87+E88+E89+E90</f>
        <v>#REF!</v>
      </c>
      <c r="F91" s="1238" t="e">
        <f>F83+F84+F85+F86+F87+F88+F89+F90</f>
        <v>#REF!</v>
      </c>
      <c r="G91" s="1238" t="e">
        <f>G83+G84+G85+G86+G87+G88+G89+G90</f>
        <v>#REF!</v>
      </c>
      <c r="I91" s="1238" t="e">
        <f>I83+I84+I85+I86+I87+I88+I89+I90</f>
        <v>#REF!</v>
      </c>
      <c r="J91" s="1238" t="e">
        <f>J83+J84+J85+J86+J87+J88+J89+J90</f>
        <v>#REF!</v>
      </c>
      <c r="K91" s="1238" t="e">
        <f>K83+K84+K85+K86+K87+K88+K89+K90</f>
        <v>#REF!</v>
      </c>
      <c r="M91" s="1238" t="e">
        <f>M83+M84+M85+M86+M87+M88+M89+M90</f>
        <v>#REF!</v>
      </c>
      <c r="N91" s="1238" t="e">
        <f>N83+N84+N85+N86+N87+N88+N89+N90</f>
        <v>#REF!</v>
      </c>
      <c r="O91" s="1238" t="e">
        <f>O83+O84+O85+O86+O87+O88+O89+O90</f>
        <v>#REF!</v>
      </c>
      <c r="P91" s="1247" t="e">
        <f t="shared" si="24"/>
        <v>#REF!</v>
      </c>
    </row>
    <row r="92" spans="1:16" ht="16.5" x14ac:dyDescent="0.2">
      <c r="A92" s="1250" t="s">
        <v>537</v>
      </c>
      <c r="B92" s="1227"/>
    </row>
    <row r="93" spans="1:16" ht="16.5" x14ac:dyDescent="0.2">
      <c r="A93" s="1250" t="s">
        <v>537</v>
      </c>
      <c r="B93" s="1239">
        <v>9</v>
      </c>
      <c r="C93" s="1240" t="s">
        <v>16</v>
      </c>
      <c r="D93" s="1229" t="e">
        <f>+#REF!</f>
        <v>#REF!</v>
      </c>
      <c r="E93" s="1229" t="e">
        <f>+#REF!</f>
        <v>#REF!</v>
      </c>
      <c r="F93" s="1229" t="e">
        <f>+#REF!</f>
        <v>#REF!</v>
      </c>
      <c r="G93" s="1229" t="e">
        <f>+#REF!</f>
        <v>#REF!</v>
      </c>
      <c r="I93" s="1229" t="e">
        <f>+'Urban Rural Impact calculations'!$L$480</f>
        <v>#REF!</v>
      </c>
      <c r="J93" s="1229" t="e">
        <f>+'Urban Rural Impact calculations'!$M$480</f>
        <v>#REF!</v>
      </c>
      <c r="K93" s="1229" t="e">
        <f>+'Urban Rural Impact calculations'!$N$480</f>
        <v>#REF!</v>
      </c>
      <c r="M93" s="1229" t="e">
        <f t="shared" ref="M93:M99" si="25">+I93-E93</f>
        <v>#REF!</v>
      </c>
      <c r="N93" s="1229" t="e">
        <f t="shared" ref="N93:N99" si="26">+J93-F93</f>
        <v>#REF!</v>
      </c>
      <c r="O93" s="1229" t="e">
        <f t="shared" ref="O93:O99" si="27">+M93+N93</f>
        <v>#REF!</v>
      </c>
      <c r="P93" s="1246" t="e">
        <f t="shared" si="24"/>
        <v>#REF!</v>
      </c>
    </row>
    <row r="94" spans="1:16" ht="16.5" x14ac:dyDescent="0.2">
      <c r="A94" s="1250" t="s">
        <v>537</v>
      </c>
      <c r="B94" s="1228">
        <v>10</v>
      </c>
      <c r="C94" s="1229" t="s">
        <v>592</v>
      </c>
      <c r="D94" s="1229" t="e">
        <f>+#REF!</f>
        <v>#REF!</v>
      </c>
      <c r="E94" s="1229" t="e">
        <f>+#REF!</f>
        <v>#REF!</v>
      </c>
      <c r="F94" s="1229" t="e">
        <f>+#REF!</f>
        <v>#REF!</v>
      </c>
      <c r="G94" s="1229" t="e">
        <f>+#REF!</f>
        <v>#REF!</v>
      </c>
      <c r="I94" s="1229" t="e">
        <f>+'Urban Rural Impact calculations'!$L$489</f>
        <v>#REF!</v>
      </c>
      <c r="J94" s="1229" t="e">
        <f>+'Urban Rural Impact calculations'!$M$489</f>
        <v>#REF!</v>
      </c>
      <c r="K94" s="1229" t="e">
        <f>+'Urban Rural Impact calculations'!$N$489</f>
        <v>#REF!</v>
      </c>
      <c r="M94" s="1229" t="e">
        <f t="shared" si="25"/>
        <v>#REF!</v>
      </c>
      <c r="N94" s="1229" t="e">
        <f t="shared" si="26"/>
        <v>#REF!</v>
      </c>
      <c r="O94" s="1229" t="e">
        <f t="shared" si="27"/>
        <v>#REF!</v>
      </c>
      <c r="P94" s="1246" t="e">
        <f t="shared" si="24"/>
        <v>#REF!</v>
      </c>
    </row>
    <row r="95" spans="1:16" ht="16.5" x14ac:dyDescent="0.2">
      <c r="A95" s="1250" t="s">
        <v>537</v>
      </c>
      <c r="B95" s="1228">
        <v>11</v>
      </c>
      <c r="C95" s="1229" t="s">
        <v>595</v>
      </c>
      <c r="D95" s="1229" t="e">
        <f>+#REF!</f>
        <v>#REF!</v>
      </c>
      <c r="E95" s="1229" t="e">
        <f>+#REF!</f>
        <v>#REF!</v>
      </c>
      <c r="F95" s="1229" t="e">
        <f>+#REF!</f>
        <v>#REF!</v>
      </c>
      <c r="G95" s="1229" t="e">
        <f>+#REF!</f>
        <v>#REF!</v>
      </c>
      <c r="I95" s="1229" t="e">
        <f>+'Urban Rural Impact calculations'!$L$498</f>
        <v>#REF!</v>
      </c>
      <c r="J95" s="1229" t="e">
        <f>+'Urban Rural Impact calculations'!$M$498</f>
        <v>#REF!</v>
      </c>
      <c r="K95" s="1229" t="e">
        <f>+'Urban Rural Impact calculations'!$N$498</f>
        <v>#REF!</v>
      </c>
      <c r="M95" s="1229" t="e">
        <f t="shared" si="25"/>
        <v>#REF!</v>
      </c>
      <c r="N95" s="1229" t="e">
        <f t="shared" si="26"/>
        <v>#REF!</v>
      </c>
      <c r="O95" s="1229" t="e">
        <f t="shared" si="27"/>
        <v>#REF!</v>
      </c>
      <c r="P95" s="1246" t="e">
        <f t="shared" si="24"/>
        <v>#REF!</v>
      </c>
    </row>
    <row r="96" spans="1:16" ht="16.5" x14ac:dyDescent="0.2">
      <c r="A96" s="1250" t="s">
        <v>537</v>
      </c>
      <c r="B96" s="1228">
        <v>12</v>
      </c>
      <c r="C96" s="1229" t="s">
        <v>600</v>
      </c>
      <c r="D96" s="1229" t="e">
        <f>+#REF!</f>
        <v>#REF!</v>
      </c>
      <c r="E96" s="1229" t="e">
        <f>+#REF!</f>
        <v>#REF!</v>
      </c>
      <c r="F96" s="1229" t="e">
        <f>+#REF!</f>
        <v>#REF!</v>
      </c>
      <c r="G96" s="1229" t="e">
        <f>+#REF!</f>
        <v>#REF!</v>
      </c>
      <c r="I96" s="1229" t="e">
        <f>+'Urban Rural Impact calculations'!$L$507</f>
        <v>#REF!</v>
      </c>
      <c r="J96" s="1229" t="e">
        <f>+'Urban Rural Impact calculations'!$M$507</f>
        <v>#REF!</v>
      </c>
      <c r="K96" s="1229" t="e">
        <f>+'Urban Rural Impact calculations'!$N$507</f>
        <v>#REF!</v>
      </c>
      <c r="M96" s="1229" t="e">
        <f t="shared" si="25"/>
        <v>#REF!</v>
      </c>
      <c r="N96" s="1229" t="e">
        <f t="shared" si="26"/>
        <v>#REF!</v>
      </c>
      <c r="O96" s="1229" t="e">
        <f t="shared" si="27"/>
        <v>#REF!</v>
      </c>
      <c r="P96" s="1246" t="e">
        <f t="shared" si="24"/>
        <v>#REF!</v>
      </c>
    </row>
    <row r="97" spans="1:16" ht="16.5" x14ac:dyDescent="0.2">
      <c r="A97" s="1250" t="s">
        <v>537</v>
      </c>
      <c r="B97" s="1228">
        <v>13</v>
      </c>
      <c r="C97" s="1229" t="s">
        <v>603</v>
      </c>
      <c r="D97" s="1229" t="e">
        <f>+#REF!</f>
        <v>#REF!</v>
      </c>
      <c r="E97" s="1229" t="e">
        <f>+#REF!</f>
        <v>#REF!</v>
      </c>
      <c r="F97" s="1229" t="e">
        <f>+#REF!</f>
        <v>#REF!</v>
      </c>
      <c r="G97" s="1229" t="e">
        <f>+#REF!</f>
        <v>#REF!</v>
      </c>
      <c r="I97" s="1229" t="e">
        <f>+'Urban Rural Impact calculations'!$L$513</f>
        <v>#REF!</v>
      </c>
      <c r="J97" s="1229" t="e">
        <f>+'Urban Rural Impact calculations'!$M$513</f>
        <v>#REF!</v>
      </c>
      <c r="K97" s="1229" t="e">
        <f>+'Urban Rural Impact calculations'!$N$513</f>
        <v>#REF!</v>
      </c>
      <c r="M97" s="1229" t="e">
        <f t="shared" si="25"/>
        <v>#REF!</v>
      </c>
      <c r="N97" s="1229" t="e">
        <f t="shared" si="26"/>
        <v>#REF!</v>
      </c>
      <c r="O97" s="1229" t="e">
        <f t="shared" si="27"/>
        <v>#REF!</v>
      </c>
      <c r="P97" s="1246" t="e">
        <f t="shared" si="24"/>
        <v>#REF!</v>
      </c>
    </row>
    <row r="98" spans="1:16" ht="16.5" x14ac:dyDescent="0.2">
      <c r="A98" s="1250" t="s">
        <v>537</v>
      </c>
      <c r="B98" s="1239">
        <v>14</v>
      </c>
      <c r="C98" s="1240" t="s">
        <v>312</v>
      </c>
      <c r="D98" s="1229" t="e">
        <f>+#REF!</f>
        <v>#REF!</v>
      </c>
      <c r="E98" s="1229" t="e">
        <f>+#REF!</f>
        <v>#REF!</v>
      </c>
      <c r="F98" s="1229" t="e">
        <f>+#REF!</f>
        <v>#REF!</v>
      </c>
      <c r="G98" s="1229" t="e">
        <f>+#REF!</f>
        <v>#REF!</v>
      </c>
      <c r="I98" s="1229" t="e">
        <f>+'Urban Rural Impact calculations'!$L$515</f>
        <v>#REF!</v>
      </c>
      <c r="J98" s="1229" t="e">
        <f>+'Urban Rural Impact calculations'!$M$515</f>
        <v>#REF!</v>
      </c>
      <c r="K98" s="1229" t="e">
        <f>+'Urban Rural Impact calculations'!$N$515</f>
        <v>#REF!</v>
      </c>
      <c r="M98" s="1229" t="e">
        <f t="shared" si="25"/>
        <v>#REF!</v>
      </c>
      <c r="N98" s="1229" t="e">
        <f t="shared" si="26"/>
        <v>#REF!</v>
      </c>
      <c r="O98" s="1229" t="e">
        <f t="shared" si="27"/>
        <v>#REF!</v>
      </c>
      <c r="P98" s="1246" t="e">
        <f t="shared" si="24"/>
        <v>#REF!</v>
      </c>
    </row>
    <row r="99" spans="1:16" ht="16.5" x14ac:dyDescent="0.2">
      <c r="A99" s="1250" t="s">
        <v>537</v>
      </c>
      <c r="B99" s="1239">
        <v>15</v>
      </c>
      <c r="C99" s="1240" t="s">
        <v>313</v>
      </c>
      <c r="D99" s="1229" t="e">
        <f>+#REF!</f>
        <v>#REF!</v>
      </c>
      <c r="E99" s="1229" t="e">
        <f>+#REF!</f>
        <v>#REF!</v>
      </c>
      <c r="F99" s="1229" t="e">
        <f>+#REF!</f>
        <v>#REF!</v>
      </c>
      <c r="G99" s="1229" t="e">
        <f>+#REF!</f>
        <v>#REF!</v>
      </c>
      <c r="I99" s="1229" t="e">
        <f>+'Urban Rural Impact calculations'!$L$517</f>
        <v>#REF!</v>
      </c>
      <c r="J99" s="1229" t="e">
        <f>+'Urban Rural Impact calculations'!$M$517</f>
        <v>#REF!</v>
      </c>
      <c r="K99" s="1229" t="e">
        <f>+'Urban Rural Impact calculations'!$N$517</f>
        <v>#REF!</v>
      </c>
      <c r="M99" s="1229" t="e">
        <f t="shared" si="25"/>
        <v>#REF!</v>
      </c>
      <c r="N99" s="1229" t="e">
        <f t="shared" si="26"/>
        <v>#REF!</v>
      </c>
      <c r="O99" s="1229" t="e">
        <f t="shared" si="27"/>
        <v>#REF!</v>
      </c>
      <c r="P99" s="1246" t="e">
        <f t="shared" si="24"/>
        <v>#REF!</v>
      </c>
    </row>
    <row r="100" spans="1:16" ht="16.5" x14ac:dyDescent="0.2">
      <c r="A100" s="1250" t="s">
        <v>537</v>
      </c>
      <c r="B100" s="1241"/>
      <c r="C100" s="1242" t="s">
        <v>605</v>
      </c>
      <c r="D100" s="1242" t="e">
        <f>D93+D94+D95+D96+D97+D98+D99</f>
        <v>#REF!</v>
      </c>
      <c r="E100" s="1242" t="e">
        <f>E93+E94+E95+E96+E97+E98+E99</f>
        <v>#REF!</v>
      </c>
      <c r="F100" s="1242" t="e">
        <f>F93+F94+F95+F96+F97+F98+F99</f>
        <v>#REF!</v>
      </c>
      <c r="G100" s="1242" t="e">
        <f>G93+G94+G95+G96+G97+G98+G99</f>
        <v>#REF!</v>
      </c>
      <c r="I100" s="1242" t="e">
        <f>I93+I94+I95+I96+I97+I98+I99</f>
        <v>#REF!</v>
      </c>
      <c r="J100" s="1242" t="e">
        <f>J93+J94+J95+J96+J97+J98+J99</f>
        <v>#REF!</v>
      </c>
      <c r="K100" s="1242" t="e">
        <f>K93+K94+K95+K96+K97+K98+K99</f>
        <v>#REF!</v>
      </c>
      <c r="M100" s="1242" t="e">
        <f>M93+M94+M95+M96+M97+M98+M99</f>
        <v>#REF!</v>
      </c>
      <c r="N100" s="1242" t="e">
        <f>N93+N94+N95+N96+N97+N98+N99</f>
        <v>#REF!</v>
      </c>
      <c r="O100" s="1242" t="e">
        <f>O93+O94+O95+O96+O97+O98+O99</f>
        <v>#REF!</v>
      </c>
      <c r="P100" s="1248" t="e">
        <f t="shared" si="24"/>
        <v>#REF!</v>
      </c>
    </row>
    <row r="101" spans="1:16" ht="16.5" x14ac:dyDescent="0.2">
      <c r="A101" s="1250" t="s">
        <v>537</v>
      </c>
      <c r="B101" s="1243"/>
      <c r="C101" s="1243"/>
      <c r="D101" s="1243"/>
      <c r="E101" s="1243"/>
      <c r="F101" s="1243"/>
      <c r="G101" s="1243"/>
      <c r="I101" s="1243"/>
      <c r="J101" s="1243"/>
      <c r="K101" s="1243"/>
      <c r="M101" s="1243"/>
      <c r="N101" s="1243"/>
      <c r="O101" s="1243"/>
      <c r="P101" s="1243"/>
    </row>
    <row r="102" spans="1:16" ht="16.5" x14ac:dyDescent="0.2">
      <c r="A102" s="1250" t="s">
        <v>537</v>
      </c>
      <c r="B102" s="1241"/>
      <c r="C102" s="1242" t="s">
        <v>606</v>
      </c>
      <c r="D102" s="1242" t="e">
        <f>D91+D100</f>
        <v>#REF!</v>
      </c>
      <c r="E102" s="1242" t="e">
        <f>E91+E100</f>
        <v>#REF!</v>
      </c>
      <c r="F102" s="1242" t="e">
        <f>F91+F100</f>
        <v>#REF!</v>
      </c>
      <c r="G102" s="1242" t="e">
        <f>G91+G100</f>
        <v>#REF!</v>
      </c>
      <c r="I102" s="1242" t="e">
        <f>I91+I100</f>
        <v>#REF!</v>
      </c>
      <c r="J102" s="1242" t="e">
        <f>J91+J100</f>
        <v>#REF!</v>
      </c>
      <c r="K102" s="1242" t="e">
        <f>K91+K100</f>
        <v>#REF!</v>
      </c>
      <c r="M102" s="1242" t="e">
        <f>M91+M100</f>
        <v>#REF!</v>
      </c>
      <c r="N102" s="1242" t="e">
        <f>N91+N100</f>
        <v>#REF!</v>
      </c>
      <c r="O102" s="1242" t="e">
        <f>O91+O100</f>
        <v>#REF!</v>
      </c>
      <c r="P102" s="1248" t="e">
        <f t="shared" si="24"/>
        <v>#REF!</v>
      </c>
    </row>
    <row r="105" spans="1:16" x14ac:dyDescent="0.15">
      <c r="B105" s="1228" t="s">
        <v>609</v>
      </c>
      <c r="E105" s="1229" t="s">
        <v>624</v>
      </c>
      <c r="F105" s="1230"/>
      <c r="G105" s="1231"/>
      <c r="I105" s="1229" t="s">
        <v>625</v>
      </c>
      <c r="J105" s="1230"/>
      <c r="K105" s="1231"/>
      <c r="M105" s="1229" t="s">
        <v>626</v>
      </c>
      <c r="N105" s="1230"/>
      <c r="O105" s="1231"/>
      <c r="P105" s="1253" t="s">
        <v>628</v>
      </c>
    </row>
    <row r="106" spans="1:16" x14ac:dyDescent="0.15">
      <c r="B106" s="1232" t="s">
        <v>472</v>
      </c>
      <c r="C106" s="1232" t="s">
        <v>474</v>
      </c>
      <c r="D106" s="1233" t="s">
        <v>475</v>
      </c>
      <c r="E106" s="1234" t="s">
        <v>610</v>
      </c>
      <c r="F106" s="1234" t="s">
        <v>611</v>
      </c>
      <c r="G106" s="1234" t="s">
        <v>488</v>
      </c>
      <c r="I106" s="1234" t="s">
        <v>610</v>
      </c>
      <c r="J106" s="1234" t="s">
        <v>611</v>
      </c>
      <c r="K106" s="1234" t="s">
        <v>488</v>
      </c>
      <c r="M106" s="1234" t="s">
        <v>610</v>
      </c>
      <c r="N106" s="1234" t="s">
        <v>611</v>
      </c>
      <c r="O106" s="1234" t="s">
        <v>488</v>
      </c>
      <c r="P106" s="1254" t="s">
        <v>629</v>
      </c>
    </row>
    <row r="107" spans="1:16" x14ac:dyDescent="0.15">
      <c r="B107" s="1235" t="s">
        <v>473</v>
      </c>
      <c r="C107" s="1235" t="s">
        <v>31</v>
      </c>
      <c r="D107" s="1236" t="s">
        <v>476</v>
      </c>
      <c r="E107" s="1235" t="s">
        <v>481</v>
      </c>
      <c r="F107" s="1235" t="s">
        <v>481</v>
      </c>
      <c r="G107" s="1235" t="s">
        <v>481</v>
      </c>
      <c r="I107" s="1235" t="s">
        <v>481</v>
      </c>
      <c r="J107" s="1235" t="s">
        <v>481</v>
      </c>
      <c r="K107" s="1235" t="s">
        <v>481</v>
      </c>
      <c r="M107" s="1235" t="s">
        <v>481</v>
      </c>
      <c r="N107" s="1235" t="s">
        <v>481</v>
      </c>
      <c r="O107" s="1235" t="s">
        <v>481</v>
      </c>
      <c r="P107" s="1255" t="s">
        <v>630</v>
      </c>
    </row>
    <row r="108" spans="1:16" ht="16.5" x14ac:dyDescent="0.2">
      <c r="A108" s="1250" t="s">
        <v>541</v>
      </c>
      <c r="B108" s="1228">
        <v>1</v>
      </c>
      <c r="C108" s="1229" t="s">
        <v>484</v>
      </c>
      <c r="D108" s="1229" t="e">
        <f>+#REF!</f>
        <v>#REF!</v>
      </c>
      <c r="E108" s="1229" t="e">
        <f>+#REF!</f>
        <v>#REF!</v>
      </c>
      <c r="F108" s="1229" t="e">
        <f>+#REF!</f>
        <v>#REF!</v>
      </c>
      <c r="G108" s="1229" t="e">
        <f>+#REF!</f>
        <v>#REF!</v>
      </c>
      <c r="I108" s="1229">
        <f>+'Urban Rural Impact calculations'!$L$540</f>
        <v>0.86</v>
      </c>
      <c r="J108" s="1229" t="e">
        <f>+'Urban Rural Impact calculations'!$M$540</f>
        <v>#REF!</v>
      </c>
      <c r="K108" s="1229" t="e">
        <f>+'Urban Rural Impact calculations'!$N$540</f>
        <v>#REF!</v>
      </c>
      <c r="M108" s="1229" t="e">
        <f>+I108-E108</f>
        <v>#REF!</v>
      </c>
      <c r="N108" s="1229" t="e">
        <f t="shared" ref="N108:N115" si="28">+J108-F108</f>
        <v>#REF!</v>
      </c>
      <c r="O108" s="1229" t="e">
        <f>+M108+N108</f>
        <v>#REF!</v>
      </c>
      <c r="P108" s="1249" t="e">
        <f>ROUND(O108/D108*1000,0)</f>
        <v>#REF!</v>
      </c>
    </row>
    <row r="109" spans="1:16" ht="16.5" x14ac:dyDescent="0.2">
      <c r="A109" s="1250" t="s">
        <v>541</v>
      </c>
      <c r="B109" s="1228">
        <v>2</v>
      </c>
      <c r="C109" s="1229" t="s">
        <v>490</v>
      </c>
      <c r="D109" s="1229" t="e">
        <f>+#REF!</f>
        <v>#REF!</v>
      </c>
      <c r="E109" s="1229" t="e">
        <f>+#REF!</f>
        <v>#REF!</v>
      </c>
      <c r="F109" s="1229" t="e">
        <f>+#REF!</f>
        <v>#REF!</v>
      </c>
      <c r="G109" s="1229" t="e">
        <f>+#REF!</f>
        <v>#REF!</v>
      </c>
      <c r="I109" s="1229" t="e">
        <f>+'Urban Rural Impact calculations'!$L$553</f>
        <v>#REF!</v>
      </c>
      <c r="J109" s="1229" t="e">
        <f>+'Urban Rural Impact calculations'!$M$553</f>
        <v>#REF!</v>
      </c>
      <c r="K109" s="1229" t="e">
        <f>+'Urban Rural Impact calculations'!$N$553</f>
        <v>#REF!</v>
      </c>
      <c r="M109" s="1229" t="e">
        <f t="shared" ref="M109:M115" si="29">+I109-E109</f>
        <v>#REF!</v>
      </c>
      <c r="N109" s="1229" t="e">
        <f t="shared" si="28"/>
        <v>#REF!</v>
      </c>
      <c r="O109" s="1229" t="e">
        <f t="shared" ref="O109:O115" si="30">+M109+N109</f>
        <v>#REF!</v>
      </c>
      <c r="P109" s="1246" t="e">
        <f t="shared" ref="P109:P127" si="31">ROUND(O109/D109*1000,0)</f>
        <v>#REF!</v>
      </c>
    </row>
    <row r="110" spans="1:16" ht="16.5" x14ac:dyDescent="0.2">
      <c r="A110" s="1250" t="s">
        <v>541</v>
      </c>
      <c r="B110" s="1228">
        <v>3</v>
      </c>
      <c r="C110" s="1229" t="s">
        <v>553</v>
      </c>
      <c r="D110" s="1229" t="e">
        <f>+#REF!</f>
        <v>#REF!</v>
      </c>
      <c r="E110" s="1229" t="e">
        <f>+#REF!</f>
        <v>#REF!</v>
      </c>
      <c r="F110" s="1229" t="e">
        <f>+#REF!</f>
        <v>#REF!</v>
      </c>
      <c r="G110" s="1229" t="e">
        <f>+#REF!</f>
        <v>#REF!</v>
      </c>
      <c r="I110" s="1229" t="e">
        <f>+'Urban Rural Impact calculations'!$L$564</f>
        <v>#REF!</v>
      </c>
      <c r="J110" s="1229" t="e">
        <f>+'Urban Rural Impact calculations'!$M$564</f>
        <v>#REF!</v>
      </c>
      <c r="K110" s="1229" t="e">
        <f>+'Urban Rural Impact calculations'!$N$564</f>
        <v>#REF!</v>
      </c>
      <c r="M110" s="1229" t="e">
        <f t="shared" si="29"/>
        <v>#REF!</v>
      </c>
      <c r="N110" s="1229" t="e">
        <f t="shared" si="28"/>
        <v>#REF!</v>
      </c>
      <c r="O110" s="1229" t="e">
        <f t="shared" si="30"/>
        <v>#REF!</v>
      </c>
      <c r="P110" s="1246" t="e">
        <f t="shared" si="31"/>
        <v>#REF!</v>
      </c>
    </row>
    <row r="111" spans="1:16" ht="16.5" x14ac:dyDescent="0.2">
      <c r="A111" s="1250" t="s">
        <v>541</v>
      </c>
      <c r="B111" s="1228">
        <v>4</v>
      </c>
      <c r="C111" s="1229" t="s">
        <v>557</v>
      </c>
      <c r="D111" s="1229" t="e">
        <f>+#REF!</f>
        <v>#REF!</v>
      </c>
      <c r="E111" s="1229" t="e">
        <f>+#REF!</f>
        <v>#REF!</v>
      </c>
      <c r="F111" s="1229" t="e">
        <f>+#REF!</f>
        <v>#REF!</v>
      </c>
      <c r="G111" s="1229" t="e">
        <f>+#REF!</f>
        <v>#REF!</v>
      </c>
      <c r="I111" s="1229" t="e">
        <f>+'Urban Rural Impact calculations'!$L$573</f>
        <v>#REF!</v>
      </c>
      <c r="J111" s="1229" t="e">
        <f>+'Urban Rural Impact calculations'!$M$573</f>
        <v>#REF!</v>
      </c>
      <c r="K111" s="1229" t="e">
        <f>+'Urban Rural Impact calculations'!$N$573</f>
        <v>#REF!</v>
      </c>
      <c r="M111" s="1229" t="e">
        <f t="shared" si="29"/>
        <v>#REF!</v>
      </c>
      <c r="N111" s="1229" t="e">
        <f t="shared" si="28"/>
        <v>#REF!</v>
      </c>
      <c r="O111" s="1229" t="e">
        <f t="shared" si="30"/>
        <v>#REF!</v>
      </c>
      <c r="P111" s="1246" t="e">
        <f t="shared" si="31"/>
        <v>#REF!</v>
      </c>
    </row>
    <row r="112" spans="1:16" ht="16.5" x14ac:dyDescent="0.2">
      <c r="A112" s="1250" t="s">
        <v>541</v>
      </c>
      <c r="B112" s="1228">
        <v>5</v>
      </c>
      <c r="C112" s="1229" t="s">
        <v>566</v>
      </c>
      <c r="D112" s="1229" t="e">
        <f>+#REF!</f>
        <v>#REF!</v>
      </c>
      <c r="E112" s="1229" t="e">
        <f>+#REF!</f>
        <v>#REF!</v>
      </c>
      <c r="F112" s="1229" t="e">
        <f>+#REF!</f>
        <v>#REF!</v>
      </c>
      <c r="G112" s="1229" t="e">
        <f>+#REF!</f>
        <v>#REF!</v>
      </c>
      <c r="I112" s="1229" t="e">
        <f>+'Urban Rural Impact calculations'!$L$578</f>
        <v>#REF!</v>
      </c>
      <c r="J112" s="1229" t="e">
        <f>+'Urban Rural Impact calculations'!$M$578</f>
        <v>#REF!</v>
      </c>
      <c r="K112" s="1229" t="e">
        <f>+'Urban Rural Impact calculations'!$N$578</f>
        <v>#REF!</v>
      </c>
      <c r="M112" s="1229" t="e">
        <f t="shared" si="29"/>
        <v>#REF!</v>
      </c>
      <c r="N112" s="1229" t="e">
        <f t="shared" si="28"/>
        <v>#REF!</v>
      </c>
      <c r="O112" s="1229" t="e">
        <f t="shared" si="30"/>
        <v>#REF!</v>
      </c>
      <c r="P112" s="1246" t="e">
        <f t="shared" si="31"/>
        <v>#REF!</v>
      </c>
    </row>
    <row r="113" spans="1:16" ht="16.5" x14ac:dyDescent="0.2">
      <c r="A113" s="1250" t="s">
        <v>541</v>
      </c>
      <c r="B113" s="1228">
        <v>6</v>
      </c>
      <c r="C113" s="1229" t="s">
        <v>567</v>
      </c>
      <c r="D113" s="1229" t="e">
        <f>+#REF!</f>
        <v>#REF!</v>
      </c>
      <c r="E113" s="1229" t="e">
        <f>+#REF!</f>
        <v>#REF!</v>
      </c>
      <c r="F113" s="1229" t="e">
        <f>+#REF!</f>
        <v>#REF!</v>
      </c>
      <c r="G113" s="1229" t="e">
        <f>+#REF!</f>
        <v>#REF!</v>
      </c>
      <c r="I113" s="1229" t="e">
        <f>+'Urban Rural Impact calculations'!$L$593</f>
        <v>#REF!</v>
      </c>
      <c r="J113" s="1229" t="e">
        <f>+'Urban Rural Impact calculations'!$M$593</f>
        <v>#REF!</v>
      </c>
      <c r="K113" s="1229" t="e">
        <f>+'Urban Rural Impact calculations'!$N$593</f>
        <v>#REF!</v>
      </c>
      <c r="M113" s="1229" t="e">
        <f t="shared" si="29"/>
        <v>#REF!</v>
      </c>
      <c r="N113" s="1229" t="e">
        <f t="shared" si="28"/>
        <v>#REF!</v>
      </c>
      <c r="O113" s="1229" t="e">
        <f t="shared" si="30"/>
        <v>#REF!</v>
      </c>
      <c r="P113" s="1246" t="e">
        <f t="shared" si="31"/>
        <v>#REF!</v>
      </c>
    </row>
    <row r="114" spans="1:16" ht="16.5" x14ac:dyDescent="0.2">
      <c r="A114" s="1250" t="s">
        <v>541</v>
      </c>
      <c r="B114" s="1228">
        <v>7</v>
      </c>
      <c r="C114" s="1229" t="s">
        <v>577</v>
      </c>
      <c r="D114" s="1229" t="e">
        <f>+#REF!</f>
        <v>#REF!</v>
      </c>
      <c r="E114" s="1229" t="e">
        <f>+#REF!</f>
        <v>#REF!</v>
      </c>
      <c r="F114" s="1229" t="e">
        <f>+#REF!</f>
        <v>#REF!</v>
      </c>
      <c r="G114" s="1229" t="e">
        <f>+#REF!</f>
        <v>#REF!</v>
      </c>
      <c r="I114" s="1229" t="e">
        <f>+'Urban Rural Impact calculations'!$L$605</f>
        <v>#REF!</v>
      </c>
      <c r="J114" s="1229" t="e">
        <f>+'Urban Rural Impact calculations'!$M$605</f>
        <v>#REF!</v>
      </c>
      <c r="K114" s="1229" t="e">
        <f>+'Urban Rural Impact calculations'!$N$605</f>
        <v>#REF!</v>
      </c>
      <c r="M114" s="1229" t="e">
        <f t="shared" si="29"/>
        <v>#REF!</v>
      </c>
      <c r="N114" s="1229" t="e">
        <f t="shared" si="28"/>
        <v>#REF!</v>
      </c>
      <c r="O114" s="1229" t="e">
        <f t="shared" si="30"/>
        <v>#REF!</v>
      </c>
      <c r="P114" s="1246" t="e">
        <f t="shared" si="31"/>
        <v>#REF!</v>
      </c>
    </row>
    <row r="115" spans="1:16" ht="16.5" x14ac:dyDescent="0.2">
      <c r="A115" s="1250" t="s">
        <v>541</v>
      </c>
      <c r="B115" s="1228">
        <v>8</v>
      </c>
      <c r="C115" s="1229" t="s">
        <v>587</v>
      </c>
      <c r="D115" s="1229" t="e">
        <f>+#REF!</f>
        <v>#REF!</v>
      </c>
      <c r="E115" s="1229" t="e">
        <f>+#REF!</f>
        <v>#REF!</v>
      </c>
      <c r="F115" s="1229" t="e">
        <f>+#REF!</f>
        <v>#REF!</v>
      </c>
      <c r="G115" s="1229" t="e">
        <f>+#REF!</f>
        <v>#REF!</v>
      </c>
      <c r="I115" s="1229" t="e">
        <f>+'Urban Rural Impact calculations'!$L$609</f>
        <v>#REF!</v>
      </c>
      <c r="J115" s="1229" t="e">
        <f>+'Urban Rural Impact calculations'!$M$609</f>
        <v>#REF!</v>
      </c>
      <c r="K115" s="1229" t="e">
        <f>+'Urban Rural Impact calculations'!$N$609</f>
        <v>#REF!</v>
      </c>
      <c r="M115" s="1229" t="e">
        <f t="shared" si="29"/>
        <v>#REF!</v>
      </c>
      <c r="N115" s="1229" t="e">
        <f t="shared" si="28"/>
        <v>#REF!</v>
      </c>
      <c r="O115" s="1229" t="e">
        <f t="shared" si="30"/>
        <v>#REF!</v>
      </c>
      <c r="P115" s="1246" t="e">
        <f t="shared" si="31"/>
        <v>#REF!</v>
      </c>
    </row>
    <row r="116" spans="1:16" ht="16.5" x14ac:dyDescent="0.2">
      <c r="A116" s="1250" t="s">
        <v>541</v>
      </c>
      <c r="B116" s="1237"/>
      <c r="C116" s="1238" t="s">
        <v>588</v>
      </c>
      <c r="D116" s="1238" t="e">
        <f>D108+D109+D110+D111+D112+D113+D114+D115</f>
        <v>#REF!</v>
      </c>
      <c r="E116" s="1238" t="e">
        <f>E108+E109+E110+E111+E112+E113+E114+E115</f>
        <v>#REF!</v>
      </c>
      <c r="F116" s="1238" t="e">
        <f>F108+F109+F110+F111+F112+F113+F114+F115</f>
        <v>#REF!</v>
      </c>
      <c r="G116" s="1238" t="e">
        <f>G108+G109+G110+G111+G112+G113+G114+G115</f>
        <v>#REF!</v>
      </c>
      <c r="I116" s="1238" t="e">
        <f>I108+I109+I110+I111+I112+I113+I114+I115</f>
        <v>#REF!</v>
      </c>
      <c r="J116" s="1238" t="e">
        <f>J108+J109+J110+J111+J112+J113+J114+J115</f>
        <v>#REF!</v>
      </c>
      <c r="K116" s="1238" t="e">
        <f>K108+K109+K110+K111+K112+K113+K114+K115</f>
        <v>#REF!</v>
      </c>
      <c r="M116" s="1238" t="e">
        <f>M108+M109+M110+M111+M112+M113+M114+M115</f>
        <v>#REF!</v>
      </c>
      <c r="N116" s="1238" t="e">
        <f>N108+N109+N110+N111+N112+N113+N114+N115</f>
        <v>#REF!</v>
      </c>
      <c r="O116" s="1238" t="e">
        <f>O108+O109+O110+O111+O112+O113+O114+O115</f>
        <v>#REF!</v>
      </c>
      <c r="P116" s="1247" t="e">
        <f t="shared" si="31"/>
        <v>#REF!</v>
      </c>
    </row>
    <row r="117" spans="1:16" ht="16.5" x14ac:dyDescent="0.2">
      <c r="A117" s="1250" t="s">
        <v>541</v>
      </c>
      <c r="B117" s="1227"/>
    </row>
    <row r="118" spans="1:16" ht="16.5" x14ac:dyDescent="0.2">
      <c r="A118" s="1250" t="s">
        <v>541</v>
      </c>
      <c r="B118" s="1239">
        <v>9</v>
      </c>
      <c r="C118" s="1240" t="s">
        <v>16</v>
      </c>
      <c r="D118" s="1229" t="e">
        <f>+#REF!</f>
        <v>#REF!</v>
      </c>
      <c r="E118" s="1229" t="e">
        <f>+#REF!</f>
        <v>#REF!</v>
      </c>
      <c r="F118" s="1229" t="e">
        <f>+#REF!</f>
        <v>#REF!</v>
      </c>
      <c r="G118" s="1229" t="e">
        <f>+#REF!</f>
        <v>#REF!</v>
      </c>
      <c r="I118" s="1229" t="e">
        <f>+'Urban Rural Impact calculations'!$L$613</f>
        <v>#REF!</v>
      </c>
      <c r="J118" s="1229" t="e">
        <f>+'Urban Rural Impact calculations'!$M$613</f>
        <v>#REF!</v>
      </c>
      <c r="K118" s="1229" t="e">
        <f>+'Urban Rural Impact calculations'!$N$613</f>
        <v>#REF!</v>
      </c>
      <c r="M118" s="1229" t="e">
        <f t="shared" ref="M118:M124" si="32">+I118-E118</f>
        <v>#REF!</v>
      </c>
      <c r="N118" s="1229" t="e">
        <f t="shared" ref="N118:N124" si="33">+J118-F118</f>
        <v>#REF!</v>
      </c>
      <c r="O118" s="1229" t="e">
        <f t="shared" ref="O118:O124" si="34">+M118+N118</f>
        <v>#REF!</v>
      </c>
      <c r="P118" s="1246" t="e">
        <f t="shared" si="31"/>
        <v>#REF!</v>
      </c>
    </row>
    <row r="119" spans="1:16" ht="16.5" x14ac:dyDescent="0.2">
      <c r="A119" s="1250" t="s">
        <v>541</v>
      </c>
      <c r="B119" s="1228">
        <v>10</v>
      </c>
      <c r="C119" s="1229" t="s">
        <v>592</v>
      </c>
      <c r="D119" s="1229" t="e">
        <f>+#REF!</f>
        <v>#REF!</v>
      </c>
      <c r="E119" s="1229" t="e">
        <f>+#REF!</f>
        <v>#REF!</v>
      </c>
      <c r="F119" s="1229" t="e">
        <f>+#REF!</f>
        <v>#REF!</v>
      </c>
      <c r="G119" s="1229" t="e">
        <f>+#REF!</f>
        <v>#REF!</v>
      </c>
      <c r="I119" s="1229" t="e">
        <f>+'Urban Rural Impact calculations'!$L$622</f>
        <v>#REF!</v>
      </c>
      <c r="J119" s="1229" t="e">
        <f>+'Urban Rural Impact calculations'!$M$622</f>
        <v>#REF!</v>
      </c>
      <c r="K119" s="1229" t="e">
        <f>+'Urban Rural Impact calculations'!$N$622</f>
        <v>#REF!</v>
      </c>
      <c r="M119" s="1229" t="e">
        <f t="shared" si="32"/>
        <v>#REF!</v>
      </c>
      <c r="N119" s="1229" t="e">
        <f t="shared" si="33"/>
        <v>#REF!</v>
      </c>
      <c r="O119" s="1229" t="e">
        <f t="shared" si="34"/>
        <v>#REF!</v>
      </c>
      <c r="P119" s="1246" t="e">
        <f t="shared" si="31"/>
        <v>#REF!</v>
      </c>
    </row>
    <row r="120" spans="1:16" ht="16.5" x14ac:dyDescent="0.2">
      <c r="A120" s="1250" t="s">
        <v>541</v>
      </c>
      <c r="B120" s="1228">
        <v>11</v>
      </c>
      <c r="C120" s="1229" t="s">
        <v>595</v>
      </c>
      <c r="D120" s="1229" t="e">
        <f>+#REF!</f>
        <v>#REF!</v>
      </c>
      <c r="E120" s="1229" t="e">
        <f>+#REF!</f>
        <v>#REF!</v>
      </c>
      <c r="F120" s="1229" t="e">
        <f>+#REF!</f>
        <v>#REF!</v>
      </c>
      <c r="G120" s="1229" t="e">
        <f>+#REF!</f>
        <v>#REF!</v>
      </c>
      <c r="I120" s="1229" t="e">
        <f>+'Urban Rural Impact calculations'!$L$631</f>
        <v>#REF!</v>
      </c>
      <c r="J120" s="1229" t="e">
        <f>+'Urban Rural Impact calculations'!$M$631</f>
        <v>#REF!</v>
      </c>
      <c r="K120" s="1229" t="e">
        <f>+'Urban Rural Impact calculations'!$N$631</f>
        <v>#REF!</v>
      </c>
      <c r="M120" s="1229" t="e">
        <f t="shared" si="32"/>
        <v>#REF!</v>
      </c>
      <c r="N120" s="1229" t="e">
        <f t="shared" si="33"/>
        <v>#REF!</v>
      </c>
      <c r="O120" s="1229" t="e">
        <f t="shared" si="34"/>
        <v>#REF!</v>
      </c>
      <c r="P120" s="1246" t="e">
        <f t="shared" si="31"/>
        <v>#REF!</v>
      </c>
    </row>
    <row r="121" spans="1:16" ht="16.5" x14ac:dyDescent="0.2">
      <c r="A121" s="1250" t="s">
        <v>541</v>
      </c>
      <c r="B121" s="1228">
        <v>12</v>
      </c>
      <c r="C121" s="1229" t="s">
        <v>600</v>
      </c>
      <c r="D121" s="1229" t="e">
        <f>+#REF!</f>
        <v>#REF!</v>
      </c>
      <c r="E121" s="1229" t="e">
        <f>+#REF!</f>
        <v>#REF!</v>
      </c>
      <c r="F121" s="1229" t="e">
        <f>+#REF!</f>
        <v>#REF!</v>
      </c>
      <c r="G121" s="1229" t="e">
        <f>+#REF!</f>
        <v>#REF!</v>
      </c>
      <c r="I121" s="1229" t="e">
        <f>+'Urban Rural Impact calculations'!$L$640</f>
        <v>#REF!</v>
      </c>
      <c r="J121" s="1229" t="e">
        <f>+'Urban Rural Impact calculations'!$M$640</f>
        <v>#REF!</v>
      </c>
      <c r="K121" s="1229" t="e">
        <f>+'Urban Rural Impact calculations'!$N$640</f>
        <v>#REF!</v>
      </c>
      <c r="M121" s="1229" t="e">
        <f t="shared" si="32"/>
        <v>#REF!</v>
      </c>
      <c r="N121" s="1229" t="e">
        <f t="shared" si="33"/>
        <v>#REF!</v>
      </c>
      <c r="O121" s="1229" t="e">
        <f t="shared" si="34"/>
        <v>#REF!</v>
      </c>
      <c r="P121" s="1246" t="e">
        <f t="shared" si="31"/>
        <v>#REF!</v>
      </c>
    </row>
    <row r="122" spans="1:16" ht="16.5" x14ac:dyDescent="0.2">
      <c r="A122" s="1250" t="s">
        <v>541</v>
      </c>
      <c r="B122" s="1228">
        <v>13</v>
      </c>
      <c r="C122" s="1229" t="s">
        <v>603</v>
      </c>
      <c r="D122" s="1229" t="e">
        <f>+#REF!</f>
        <v>#REF!</v>
      </c>
      <c r="E122" s="1229" t="e">
        <f>+#REF!</f>
        <v>#REF!</v>
      </c>
      <c r="F122" s="1229" t="e">
        <f>+#REF!</f>
        <v>#REF!</v>
      </c>
      <c r="G122" s="1229" t="e">
        <f>+#REF!</f>
        <v>#REF!</v>
      </c>
      <c r="I122" s="1229" t="e">
        <f>+'Urban Rural Impact calculations'!$L$646</f>
        <v>#REF!</v>
      </c>
      <c r="J122" s="1229" t="e">
        <f>+'Urban Rural Impact calculations'!$M$646</f>
        <v>#REF!</v>
      </c>
      <c r="K122" s="1229" t="e">
        <f>+'Urban Rural Impact calculations'!$N$646</f>
        <v>#REF!</v>
      </c>
      <c r="M122" s="1229" t="e">
        <f t="shared" si="32"/>
        <v>#REF!</v>
      </c>
      <c r="N122" s="1229" t="e">
        <f t="shared" si="33"/>
        <v>#REF!</v>
      </c>
      <c r="O122" s="1229" t="e">
        <f t="shared" si="34"/>
        <v>#REF!</v>
      </c>
      <c r="P122" s="1246" t="e">
        <f t="shared" si="31"/>
        <v>#REF!</v>
      </c>
    </row>
    <row r="123" spans="1:16" ht="16.5" x14ac:dyDescent="0.2">
      <c r="A123" s="1250" t="s">
        <v>541</v>
      </c>
      <c r="B123" s="1239">
        <v>14</v>
      </c>
      <c r="C123" s="1240" t="s">
        <v>312</v>
      </c>
      <c r="D123" s="1229" t="e">
        <f>+#REF!</f>
        <v>#REF!</v>
      </c>
      <c r="E123" s="1229" t="e">
        <f>+#REF!</f>
        <v>#REF!</v>
      </c>
      <c r="F123" s="1229" t="e">
        <f>+#REF!</f>
        <v>#REF!</v>
      </c>
      <c r="G123" s="1229" t="e">
        <f>+#REF!</f>
        <v>#REF!</v>
      </c>
      <c r="I123" s="1229" t="e">
        <f>+'Urban Rural Impact calculations'!$L$648</f>
        <v>#REF!</v>
      </c>
      <c r="J123" s="1229" t="e">
        <f>+'Urban Rural Impact calculations'!$M$648</f>
        <v>#REF!</v>
      </c>
      <c r="K123" s="1229" t="e">
        <f>+'Urban Rural Impact calculations'!$N$648</f>
        <v>#REF!</v>
      </c>
      <c r="M123" s="1229" t="e">
        <f t="shared" si="32"/>
        <v>#REF!</v>
      </c>
      <c r="N123" s="1229" t="e">
        <f t="shared" si="33"/>
        <v>#REF!</v>
      </c>
      <c r="O123" s="1229" t="e">
        <f t="shared" si="34"/>
        <v>#REF!</v>
      </c>
      <c r="P123" s="1246" t="e">
        <f t="shared" si="31"/>
        <v>#REF!</v>
      </c>
    </row>
    <row r="124" spans="1:16" ht="16.5" x14ac:dyDescent="0.2">
      <c r="A124" s="1250" t="s">
        <v>541</v>
      </c>
      <c r="B124" s="1239">
        <v>15</v>
      </c>
      <c r="C124" s="1240" t="s">
        <v>313</v>
      </c>
      <c r="D124" s="1229" t="e">
        <f>+#REF!</f>
        <v>#REF!</v>
      </c>
      <c r="E124" s="1229" t="e">
        <f>+#REF!</f>
        <v>#REF!</v>
      </c>
      <c r="F124" s="1229" t="e">
        <f>+#REF!</f>
        <v>#REF!</v>
      </c>
      <c r="G124" s="1229" t="e">
        <f>+#REF!</f>
        <v>#REF!</v>
      </c>
      <c r="I124" s="1229" t="e">
        <f>+'Urban Rural Impact calculations'!$L$650</f>
        <v>#REF!</v>
      </c>
      <c r="J124" s="1229" t="e">
        <f>+'Urban Rural Impact calculations'!$M$650</f>
        <v>#REF!</v>
      </c>
      <c r="K124" s="1229" t="e">
        <f>+'Urban Rural Impact calculations'!$N$650</f>
        <v>#REF!</v>
      </c>
      <c r="M124" s="1229" t="e">
        <f t="shared" si="32"/>
        <v>#REF!</v>
      </c>
      <c r="N124" s="1229" t="e">
        <f t="shared" si="33"/>
        <v>#REF!</v>
      </c>
      <c r="O124" s="1229" t="e">
        <f t="shared" si="34"/>
        <v>#REF!</v>
      </c>
      <c r="P124" s="1246" t="e">
        <f t="shared" si="31"/>
        <v>#REF!</v>
      </c>
    </row>
    <row r="125" spans="1:16" ht="16.5" x14ac:dyDescent="0.2">
      <c r="A125" s="1250" t="s">
        <v>541</v>
      </c>
      <c r="B125" s="1241"/>
      <c r="C125" s="1242" t="s">
        <v>605</v>
      </c>
      <c r="D125" s="1242" t="e">
        <f>D118+D119+D120+D121+D122+D123+D124</f>
        <v>#REF!</v>
      </c>
      <c r="E125" s="1242" t="e">
        <f>E118+E119+E120+E121+E122+E123+E124</f>
        <v>#REF!</v>
      </c>
      <c r="F125" s="1242" t="e">
        <f>F118+F119+F120+F121+F122+F123+F124</f>
        <v>#REF!</v>
      </c>
      <c r="G125" s="1242" t="e">
        <f>G118+G119+G120+G121+G122+G123+G124</f>
        <v>#REF!</v>
      </c>
      <c r="I125" s="1242" t="e">
        <f>I118+I119+I120+I121+I122+I123+I124</f>
        <v>#REF!</v>
      </c>
      <c r="J125" s="1242" t="e">
        <f>J118+J119+J120+J121+J122+J123+J124</f>
        <v>#REF!</v>
      </c>
      <c r="K125" s="1242" t="e">
        <f>K118+K119+K120+K121+K122+K123+K124</f>
        <v>#REF!</v>
      </c>
      <c r="M125" s="1242" t="e">
        <f>M118+M119+M120+M121+M122+M123+M124</f>
        <v>#REF!</v>
      </c>
      <c r="N125" s="1242" t="e">
        <f>N118+N119+N120+N121+N122+N123+N124</f>
        <v>#REF!</v>
      </c>
      <c r="O125" s="1242" t="e">
        <f>O118+O119+O120+O121+O122+O123+O124</f>
        <v>#REF!</v>
      </c>
      <c r="P125" s="1248" t="e">
        <f t="shared" si="31"/>
        <v>#REF!</v>
      </c>
    </row>
    <row r="126" spans="1:16" ht="16.5" x14ac:dyDescent="0.2">
      <c r="A126" s="1250" t="s">
        <v>541</v>
      </c>
      <c r="B126" s="1243"/>
      <c r="C126" s="1243"/>
      <c r="D126" s="1243"/>
      <c r="E126" s="1243"/>
      <c r="F126" s="1243"/>
      <c r="G126" s="1243"/>
      <c r="I126" s="1243"/>
      <c r="J126" s="1243"/>
      <c r="K126" s="1243"/>
      <c r="M126" s="1243"/>
      <c r="N126" s="1243"/>
      <c r="O126" s="1243"/>
      <c r="P126" s="1243"/>
    </row>
    <row r="127" spans="1:16" ht="16.5" x14ac:dyDescent="0.2">
      <c r="A127" s="1250" t="s">
        <v>541</v>
      </c>
      <c r="B127" s="1241"/>
      <c r="C127" s="1242" t="s">
        <v>606</v>
      </c>
      <c r="D127" s="1242" t="e">
        <f>D116+D125</f>
        <v>#REF!</v>
      </c>
      <c r="E127" s="1242" t="e">
        <f>E116+E125</f>
        <v>#REF!</v>
      </c>
      <c r="F127" s="1242" t="e">
        <f>F116+F125</f>
        <v>#REF!</v>
      </c>
      <c r="G127" s="1242" t="e">
        <f>G116+G125</f>
        <v>#REF!</v>
      </c>
      <c r="I127" s="1242" t="e">
        <f>I116+I125</f>
        <v>#REF!</v>
      </c>
      <c r="J127" s="1242" t="e">
        <f>J116+J125</f>
        <v>#REF!</v>
      </c>
      <c r="K127" s="1242" t="e">
        <f>K116+K125</f>
        <v>#REF!</v>
      </c>
      <c r="M127" s="1242" t="e">
        <f>M116+M125</f>
        <v>#REF!</v>
      </c>
      <c r="N127" s="1242" t="e">
        <f>N116+N125</f>
        <v>#REF!</v>
      </c>
      <c r="O127" s="1242" t="e">
        <f>O116+O125</f>
        <v>#REF!</v>
      </c>
      <c r="P127" s="1248" t="e">
        <f t="shared" si="31"/>
        <v>#REF!</v>
      </c>
    </row>
    <row r="130" spans="1:16" x14ac:dyDescent="0.15">
      <c r="B130" s="1228" t="s">
        <v>609</v>
      </c>
      <c r="E130" s="1229" t="s">
        <v>624</v>
      </c>
      <c r="F130" s="1230"/>
      <c r="G130" s="1231"/>
      <c r="I130" s="1229" t="s">
        <v>625</v>
      </c>
      <c r="J130" s="1230"/>
      <c r="K130" s="1231"/>
      <c r="M130" s="1229" t="s">
        <v>626</v>
      </c>
      <c r="N130" s="1230"/>
      <c r="O130" s="1231"/>
      <c r="P130" s="1253" t="s">
        <v>628</v>
      </c>
    </row>
    <row r="131" spans="1:16" x14ac:dyDescent="0.15">
      <c r="B131" s="1232" t="s">
        <v>472</v>
      </c>
      <c r="C131" s="1232" t="s">
        <v>474</v>
      </c>
      <c r="D131" s="1233" t="s">
        <v>475</v>
      </c>
      <c r="E131" s="1234" t="s">
        <v>610</v>
      </c>
      <c r="F131" s="1234" t="s">
        <v>611</v>
      </c>
      <c r="G131" s="1234" t="s">
        <v>488</v>
      </c>
      <c r="I131" s="1234" t="s">
        <v>610</v>
      </c>
      <c r="J131" s="1234" t="s">
        <v>611</v>
      </c>
      <c r="K131" s="1234" t="s">
        <v>488</v>
      </c>
      <c r="M131" s="1234" t="s">
        <v>610</v>
      </c>
      <c r="N131" s="1234" t="s">
        <v>611</v>
      </c>
      <c r="O131" s="1234" t="s">
        <v>488</v>
      </c>
      <c r="P131" s="1254" t="s">
        <v>629</v>
      </c>
    </row>
    <row r="132" spans="1:16" x14ac:dyDescent="0.15">
      <c r="B132" s="1235" t="s">
        <v>473</v>
      </c>
      <c r="C132" s="1235" t="s">
        <v>31</v>
      </c>
      <c r="D132" s="1236" t="s">
        <v>476</v>
      </c>
      <c r="E132" s="1235" t="s">
        <v>481</v>
      </c>
      <c r="F132" s="1235" t="s">
        <v>481</v>
      </c>
      <c r="G132" s="1235" t="s">
        <v>481</v>
      </c>
      <c r="I132" s="1235" t="s">
        <v>481</v>
      </c>
      <c r="J132" s="1235" t="s">
        <v>481</v>
      </c>
      <c r="K132" s="1235" t="s">
        <v>481</v>
      </c>
      <c r="M132" s="1235" t="s">
        <v>481</v>
      </c>
      <c r="N132" s="1235" t="s">
        <v>481</v>
      </c>
      <c r="O132" s="1235" t="s">
        <v>481</v>
      </c>
      <c r="P132" s="1255" t="s">
        <v>630</v>
      </c>
    </row>
    <row r="133" spans="1:16" ht="16.5" x14ac:dyDescent="0.2">
      <c r="A133" s="1250" t="s">
        <v>151</v>
      </c>
      <c r="B133" s="1228">
        <v>1</v>
      </c>
      <c r="C133" s="1229" t="s">
        <v>484</v>
      </c>
      <c r="D133" s="1229" t="e">
        <f t="shared" ref="D133:F140" si="35">+D8+D33+D58+D83+D108</f>
        <v>#REF!</v>
      </c>
      <c r="E133" s="1229" t="e">
        <f t="shared" si="35"/>
        <v>#REF!</v>
      </c>
      <c r="F133" s="1229" t="e">
        <f t="shared" si="35"/>
        <v>#REF!</v>
      </c>
      <c r="G133" s="1229" t="e">
        <f>+E133+F133</f>
        <v>#REF!</v>
      </c>
      <c r="I133" s="1229">
        <f t="shared" ref="I133:J140" si="36">+I8+I33+I58+I83+I108</f>
        <v>25.029999999999998</v>
      </c>
      <c r="J133" s="1229" t="e">
        <f t="shared" si="36"/>
        <v>#REF!</v>
      </c>
      <c r="K133" s="1229" t="e">
        <f>+I133+J133</f>
        <v>#REF!</v>
      </c>
      <c r="M133" s="1229" t="e">
        <f t="shared" ref="M133:O138" si="37">+M8+M33+M58+M83+M108</f>
        <v>#REF!</v>
      </c>
      <c r="N133" s="1229" t="e">
        <f t="shared" si="37"/>
        <v>#REF!</v>
      </c>
      <c r="O133" s="1229" t="e">
        <f t="shared" si="37"/>
        <v>#REF!</v>
      </c>
      <c r="P133" s="1249" t="e">
        <f>ROUND(O133/D133*1000,0)</f>
        <v>#REF!</v>
      </c>
    </row>
    <row r="134" spans="1:16" ht="16.5" x14ac:dyDescent="0.2">
      <c r="A134" s="1250" t="s">
        <v>151</v>
      </c>
      <c r="B134" s="1228">
        <v>2</v>
      </c>
      <c r="C134" s="1229" t="s">
        <v>490</v>
      </c>
      <c r="D134" s="1229" t="e">
        <f t="shared" si="35"/>
        <v>#REF!</v>
      </c>
      <c r="E134" s="1229" t="e">
        <f t="shared" si="35"/>
        <v>#REF!</v>
      </c>
      <c r="F134" s="1229" t="e">
        <f t="shared" si="35"/>
        <v>#REF!</v>
      </c>
      <c r="G134" s="1229" t="e">
        <f t="shared" ref="G134:G140" si="38">+E134+F134</f>
        <v>#REF!</v>
      </c>
      <c r="I134" s="1229" t="e">
        <f t="shared" si="36"/>
        <v>#REF!</v>
      </c>
      <c r="J134" s="1229" t="e">
        <f t="shared" si="36"/>
        <v>#REF!</v>
      </c>
      <c r="K134" s="1229" t="e">
        <f t="shared" ref="K134:K140" si="39">+I134+J134</f>
        <v>#REF!</v>
      </c>
      <c r="M134" s="1229" t="e">
        <f t="shared" si="37"/>
        <v>#REF!</v>
      </c>
      <c r="N134" s="1229" t="e">
        <f t="shared" si="37"/>
        <v>#REF!</v>
      </c>
      <c r="O134" s="1229" t="e">
        <f t="shared" si="37"/>
        <v>#REF!</v>
      </c>
      <c r="P134" s="1246" t="e">
        <f t="shared" ref="P134:P152" si="40">ROUND(O134/D134*1000,0)</f>
        <v>#REF!</v>
      </c>
    </row>
    <row r="135" spans="1:16" ht="16.5" x14ac:dyDescent="0.2">
      <c r="A135" s="1250" t="s">
        <v>151</v>
      </c>
      <c r="B135" s="1228">
        <v>3</v>
      </c>
      <c r="C135" s="1229" t="s">
        <v>553</v>
      </c>
      <c r="D135" s="1229" t="e">
        <f t="shared" si="35"/>
        <v>#REF!</v>
      </c>
      <c r="E135" s="1229" t="e">
        <f t="shared" si="35"/>
        <v>#REF!</v>
      </c>
      <c r="F135" s="1229" t="e">
        <f t="shared" si="35"/>
        <v>#REF!</v>
      </c>
      <c r="G135" s="1229" t="e">
        <f t="shared" si="38"/>
        <v>#REF!</v>
      </c>
      <c r="I135" s="1229" t="e">
        <f t="shared" si="36"/>
        <v>#REF!</v>
      </c>
      <c r="J135" s="1229" t="e">
        <f t="shared" si="36"/>
        <v>#REF!</v>
      </c>
      <c r="K135" s="1229" t="e">
        <f t="shared" si="39"/>
        <v>#REF!</v>
      </c>
      <c r="M135" s="1229" t="e">
        <f t="shared" si="37"/>
        <v>#REF!</v>
      </c>
      <c r="N135" s="1229" t="e">
        <f t="shared" si="37"/>
        <v>#REF!</v>
      </c>
      <c r="O135" s="1229" t="e">
        <f t="shared" si="37"/>
        <v>#REF!</v>
      </c>
      <c r="P135" s="1246" t="e">
        <f t="shared" si="40"/>
        <v>#REF!</v>
      </c>
    </row>
    <row r="136" spans="1:16" ht="16.5" x14ac:dyDescent="0.2">
      <c r="A136" s="1250" t="s">
        <v>151</v>
      </c>
      <c r="B136" s="1228">
        <v>4</v>
      </c>
      <c r="C136" s="1229" t="s">
        <v>557</v>
      </c>
      <c r="D136" s="1229" t="e">
        <f t="shared" si="35"/>
        <v>#REF!</v>
      </c>
      <c r="E136" s="1229" t="e">
        <f t="shared" si="35"/>
        <v>#REF!</v>
      </c>
      <c r="F136" s="1229" t="e">
        <f t="shared" si="35"/>
        <v>#REF!</v>
      </c>
      <c r="G136" s="1229" t="e">
        <f t="shared" si="38"/>
        <v>#REF!</v>
      </c>
      <c r="I136" s="1229" t="e">
        <f t="shared" si="36"/>
        <v>#REF!</v>
      </c>
      <c r="J136" s="1229" t="e">
        <f t="shared" si="36"/>
        <v>#REF!</v>
      </c>
      <c r="K136" s="1229" t="e">
        <f t="shared" si="39"/>
        <v>#REF!</v>
      </c>
      <c r="M136" s="1229" t="e">
        <f t="shared" si="37"/>
        <v>#REF!</v>
      </c>
      <c r="N136" s="1229" t="e">
        <f t="shared" si="37"/>
        <v>#REF!</v>
      </c>
      <c r="O136" s="1229" t="e">
        <f t="shared" si="37"/>
        <v>#REF!</v>
      </c>
      <c r="P136" s="1246" t="e">
        <f t="shared" si="40"/>
        <v>#REF!</v>
      </c>
    </row>
    <row r="137" spans="1:16" ht="16.5" x14ac:dyDescent="0.2">
      <c r="A137" s="1250" t="s">
        <v>151</v>
      </c>
      <c r="B137" s="1228">
        <v>5</v>
      </c>
      <c r="C137" s="1229" t="s">
        <v>566</v>
      </c>
      <c r="D137" s="1229" t="e">
        <f t="shared" si="35"/>
        <v>#REF!</v>
      </c>
      <c r="E137" s="1229" t="e">
        <f t="shared" si="35"/>
        <v>#REF!</v>
      </c>
      <c r="F137" s="1229" t="e">
        <f t="shared" si="35"/>
        <v>#REF!</v>
      </c>
      <c r="G137" s="1229" t="e">
        <f t="shared" si="38"/>
        <v>#REF!</v>
      </c>
      <c r="I137" s="1229" t="e">
        <f t="shared" si="36"/>
        <v>#REF!</v>
      </c>
      <c r="J137" s="1229" t="e">
        <f t="shared" si="36"/>
        <v>#REF!</v>
      </c>
      <c r="K137" s="1229" t="e">
        <f t="shared" si="39"/>
        <v>#REF!</v>
      </c>
      <c r="M137" s="1229" t="e">
        <f t="shared" si="37"/>
        <v>#REF!</v>
      </c>
      <c r="N137" s="1229" t="e">
        <f t="shared" si="37"/>
        <v>#REF!</v>
      </c>
      <c r="O137" s="1229" t="e">
        <f t="shared" si="37"/>
        <v>#REF!</v>
      </c>
      <c r="P137" s="1246" t="e">
        <f t="shared" si="40"/>
        <v>#REF!</v>
      </c>
    </row>
    <row r="138" spans="1:16" ht="16.5" x14ac:dyDescent="0.2">
      <c r="A138" s="1250" t="s">
        <v>151</v>
      </c>
      <c r="B138" s="1228">
        <v>6</v>
      </c>
      <c r="C138" s="1229" t="s">
        <v>567</v>
      </c>
      <c r="D138" s="1229" t="e">
        <f t="shared" si="35"/>
        <v>#REF!</v>
      </c>
      <c r="E138" s="1229" t="e">
        <f t="shared" si="35"/>
        <v>#REF!</v>
      </c>
      <c r="F138" s="1229" t="e">
        <f t="shared" si="35"/>
        <v>#REF!</v>
      </c>
      <c r="G138" s="1229" t="e">
        <f t="shared" si="38"/>
        <v>#REF!</v>
      </c>
      <c r="I138" s="1229" t="e">
        <f t="shared" si="36"/>
        <v>#REF!</v>
      </c>
      <c r="J138" s="1229" t="e">
        <f t="shared" si="36"/>
        <v>#REF!</v>
      </c>
      <c r="K138" s="1229" t="e">
        <f t="shared" si="39"/>
        <v>#REF!</v>
      </c>
      <c r="M138" s="1229" t="e">
        <f t="shared" si="37"/>
        <v>#REF!</v>
      </c>
      <c r="N138" s="1229" t="e">
        <f t="shared" si="37"/>
        <v>#REF!</v>
      </c>
      <c r="O138" s="1229" t="e">
        <f t="shared" si="37"/>
        <v>#REF!</v>
      </c>
      <c r="P138" s="1246" t="e">
        <f t="shared" si="40"/>
        <v>#REF!</v>
      </c>
    </row>
    <row r="139" spans="1:16" ht="16.5" x14ac:dyDescent="0.2">
      <c r="A139" s="1250" t="s">
        <v>151</v>
      </c>
      <c r="B139" s="1228">
        <v>7</v>
      </c>
      <c r="C139" s="1229" t="s">
        <v>577</v>
      </c>
      <c r="D139" s="1229" t="e">
        <f t="shared" si="35"/>
        <v>#REF!</v>
      </c>
      <c r="E139" s="1229" t="e">
        <f t="shared" si="35"/>
        <v>#REF!</v>
      </c>
      <c r="F139" s="1229" t="e">
        <f t="shared" si="35"/>
        <v>#REF!</v>
      </c>
      <c r="G139" s="1229" t="e">
        <f t="shared" si="38"/>
        <v>#REF!</v>
      </c>
      <c r="I139" s="1229" t="e">
        <f t="shared" si="36"/>
        <v>#REF!</v>
      </c>
      <c r="J139" s="1229" t="e">
        <f t="shared" si="36"/>
        <v>#REF!</v>
      </c>
      <c r="K139" s="1229" t="e">
        <f t="shared" si="39"/>
        <v>#REF!</v>
      </c>
      <c r="M139" s="1229" t="e">
        <f t="shared" ref="M139:O140" si="41">+M14+M39+M64+M89+M114</f>
        <v>#REF!</v>
      </c>
      <c r="N139" s="1229" t="e">
        <f t="shared" si="41"/>
        <v>#REF!</v>
      </c>
      <c r="O139" s="1229" t="e">
        <f t="shared" si="41"/>
        <v>#REF!</v>
      </c>
      <c r="P139" s="1246" t="e">
        <f t="shared" si="40"/>
        <v>#REF!</v>
      </c>
    </row>
    <row r="140" spans="1:16" ht="16.5" x14ac:dyDescent="0.2">
      <c r="A140" s="1250" t="s">
        <v>151</v>
      </c>
      <c r="B140" s="1228">
        <v>8</v>
      </c>
      <c r="C140" s="1229" t="s">
        <v>587</v>
      </c>
      <c r="D140" s="1229" t="e">
        <f t="shared" si="35"/>
        <v>#REF!</v>
      </c>
      <c r="E140" s="1229" t="e">
        <f t="shared" si="35"/>
        <v>#REF!</v>
      </c>
      <c r="F140" s="1229" t="e">
        <f t="shared" si="35"/>
        <v>#REF!</v>
      </c>
      <c r="G140" s="1229" t="e">
        <f t="shared" si="38"/>
        <v>#REF!</v>
      </c>
      <c r="I140" s="1229" t="e">
        <f t="shared" si="36"/>
        <v>#REF!</v>
      </c>
      <c r="J140" s="1229" t="e">
        <f t="shared" si="36"/>
        <v>#REF!</v>
      </c>
      <c r="K140" s="1229" t="e">
        <f t="shared" si="39"/>
        <v>#REF!</v>
      </c>
      <c r="M140" s="1229" t="e">
        <f t="shared" si="41"/>
        <v>#REF!</v>
      </c>
      <c r="N140" s="1229" t="e">
        <f t="shared" si="41"/>
        <v>#REF!</v>
      </c>
      <c r="O140" s="1229" t="e">
        <f t="shared" si="41"/>
        <v>#REF!</v>
      </c>
      <c r="P140" s="1246" t="e">
        <f t="shared" si="40"/>
        <v>#REF!</v>
      </c>
    </row>
    <row r="141" spans="1:16" ht="16.5" x14ac:dyDescent="0.2">
      <c r="A141" s="1250" t="s">
        <v>151</v>
      </c>
      <c r="B141" s="1237"/>
      <c r="C141" s="1238" t="s">
        <v>588</v>
      </c>
      <c r="D141" s="1238" t="e">
        <f>D133+D134+D135+D136+D137+D138+D139+D140</f>
        <v>#REF!</v>
      </c>
      <c r="E141" s="1238" t="e">
        <f>E133+E134+E135+E136+E137+E138+E139+E140</f>
        <v>#REF!</v>
      </c>
      <c r="F141" s="1238" t="e">
        <f>F133+F134+F135+F136+F137+F138+F139+F140</f>
        <v>#REF!</v>
      </c>
      <c r="G141" s="1238" t="e">
        <f>G133+G134+G135+G136+G137+G138+G139+G140</f>
        <v>#REF!</v>
      </c>
      <c r="I141" s="1238" t="e">
        <f>I133+I134+I135+I136+I137+I138+I139+I140</f>
        <v>#REF!</v>
      </c>
      <c r="J141" s="1238" t="e">
        <f>J133+J134+J135+J136+J137+J138+J139+J140</f>
        <v>#REF!</v>
      </c>
      <c r="K141" s="1238" t="e">
        <f>K133+K134+K135+K136+K137+K138+K139+K140</f>
        <v>#REF!</v>
      </c>
      <c r="M141" s="1238" t="e">
        <f>M133+M134+M135+M136+M137+M138+M139+M140</f>
        <v>#REF!</v>
      </c>
      <c r="N141" s="1238" t="e">
        <f>N133+N134+N135+N136+N137+N138+N139+N140</f>
        <v>#REF!</v>
      </c>
      <c r="O141" s="1238" t="e">
        <f>O133+O134+O135+O136+O137+O138+O139+O140</f>
        <v>#REF!</v>
      </c>
      <c r="P141" s="1247" t="e">
        <f t="shared" si="40"/>
        <v>#REF!</v>
      </c>
    </row>
    <row r="142" spans="1:16" ht="16.5" x14ac:dyDescent="0.2">
      <c r="A142" s="1250" t="s">
        <v>151</v>
      </c>
      <c r="B142" s="1227"/>
    </row>
    <row r="143" spans="1:16" ht="16.5" x14ac:dyDescent="0.2">
      <c r="A143" s="1250" t="s">
        <v>151</v>
      </c>
      <c r="B143" s="1239">
        <v>9</v>
      </c>
      <c r="C143" s="1240" t="s">
        <v>16</v>
      </c>
      <c r="D143" s="1229" t="e">
        <f t="shared" ref="D143:F149" si="42">+D18+D43+D68+D93+D118</f>
        <v>#REF!</v>
      </c>
      <c r="E143" s="1229" t="e">
        <f t="shared" si="42"/>
        <v>#REF!</v>
      </c>
      <c r="F143" s="1229" t="e">
        <f t="shared" si="42"/>
        <v>#REF!</v>
      </c>
      <c r="G143" s="1229" t="e">
        <f t="shared" ref="G143:G149" si="43">+E143+F143</f>
        <v>#REF!</v>
      </c>
      <c r="I143" s="1229" t="e">
        <f t="shared" ref="I143:J149" si="44">+I18+I43+I68+I93+I118</f>
        <v>#REF!</v>
      </c>
      <c r="J143" s="1229" t="e">
        <f t="shared" si="44"/>
        <v>#REF!</v>
      </c>
      <c r="K143" s="1229" t="e">
        <f t="shared" ref="K143:K149" si="45">+I143+J143</f>
        <v>#REF!</v>
      </c>
      <c r="M143" s="1229" t="e">
        <f t="shared" ref="M143:O149" si="46">+M18+M43+M68+M93+M118</f>
        <v>#REF!</v>
      </c>
      <c r="N143" s="1229" t="e">
        <f t="shared" si="46"/>
        <v>#REF!</v>
      </c>
      <c r="O143" s="1229" t="e">
        <f t="shared" si="46"/>
        <v>#REF!</v>
      </c>
      <c r="P143" s="1246" t="e">
        <f t="shared" si="40"/>
        <v>#REF!</v>
      </c>
    </row>
    <row r="144" spans="1:16" ht="16.5" x14ac:dyDescent="0.2">
      <c r="A144" s="1250" t="s">
        <v>151</v>
      </c>
      <c r="B144" s="1228">
        <v>10</v>
      </c>
      <c r="C144" s="1229" t="s">
        <v>592</v>
      </c>
      <c r="D144" s="1229" t="e">
        <f t="shared" si="42"/>
        <v>#REF!</v>
      </c>
      <c r="E144" s="1229" t="e">
        <f t="shared" si="42"/>
        <v>#REF!</v>
      </c>
      <c r="F144" s="1229" t="e">
        <f t="shared" si="42"/>
        <v>#REF!</v>
      </c>
      <c r="G144" s="1229" t="e">
        <f t="shared" si="43"/>
        <v>#REF!</v>
      </c>
      <c r="I144" s="1229" t="e">
        <f t="shared" si="44"/>
        <v>#REF!</v>
      </c>
      <c r="J144" s="1229" t="e">
        <f t="shared" si="44"/>
        <v>#REF!</v>
      </c>
      <c r="K144" s="1229" t="e">
        <f t="shared" si="45"/>
        <v>#REF!</v>
      </c>
      <c r="M144" s="1229" t="e">
        <f t="shared" si="46"/>
        <v>#REF!</v>
      </c>
      <c r="N144" s="1229" t="e">
        <f t="shared" si="46"/>
        <v>#REF!</v>
      </c>
      <c r="O144" s="1229" t="e">
        <f t="shared" si="46"/>
        <v>#REF!</v>
      </c>
      <c r="P144" s="1246" t="e">
        <f t="shared" si="40"/>
        <v>#REF!</v>
      </c>
    </row>
    <row r="145" spans="1:16" ht="16.5" x14ac:dyDescent="0.2">
      <c r="A145" s="1250" t="s">
        <v>151</v>
      </c>
      <c r="B145" s="1228">
        <v>11</v>
      </c>
      <c r="C145" s="1229" t="s">
        <v>595</v>
      </c>
      <c r="D145" s="1229" t="e">
        <f t="shared" si="42"/>
        <v>#REF!</v>
      </c>
      <c r="E145" s="1229" t="e">
        <f t="shared" si="42"/>
        <v>#REF!</v>
      </c>
      <c r="F145" s="1229" t="e">
        <f t="shared" si="42"/>
        <v>#REF!</v>
      </c>
      <c r="G145" s="1229" t="e">
        <f t="shared" si="43"/>
        <v>#REF!</v>
      </c>
      <c r="I145" s="1229" t="e">
        <f t="shared" si="44"/>
        <v>#REF!</v>
      </c>
      <c r="J145" s="1229" t="e">
        <f t="shared" si="44"/>
        <v>#REF!</v>
      </c>
      <c r="K145" s="1229" t="e">
        <f t="shared" si="45"/>
        <v>#REF!</v>
      </c>
      <c r="M145" s="1229" t="e">
        <f t="shared" si="46"/>
        <v>#REF!</v>
      </c>
      <c r="N145" s="1229" t="e">
        <f t="shared" si="46"/>
        <v>#REF!</v>
      </c>
      <c r="O145" s="1229" t="e">
        <f t="shared" si="46"/>
        <v>#REF!</v>
      </c>
      <c r="P145" s="1246" t="e">
        <f t="shared" si="40"/>
        <v>#REF!</v>
      </c>
    </row>
    <row r="146" spans="1:16" ht="16.5" x14ac:dyDescent="0.2">
      <c r="A146" s="1250" t="s">
        <v>151</v>
      </c>
      <c r="B146" s="1228">
        <v>12</v>
      </c>
      <c r="C146" s="1229" t="s">
        <v>600</v>
      </c>
      <c r="D146" s="1229" t="e">
        <f t="shared" si="42"/>
        <v>#REF!</v>
      </c>
      <c r="E146" s="1229" t="e">
        <f t="shared" si="42"/>
        <v>#REF!</v>
      </c>
      <c r="F146" s="1229" t="e">
        <f t="shared" si="42"/>
        <v>#REF!</v>
      </c>
      <c r="G146" s="1229" t="e">
        <f t="shared" si="43"/>
        <v>#REF!</v>
      </c>
      <c r="I146" s="1229" t="e">
        <f t="shared" si="44"/>
        <v>#REF!</v>
      </c>
      <c r="J146" s="1229" t="e">
        <f t="shared" si="44"/>
        <v>#REF!</v>
      </c>
      <c r="K146" s="1229" t="e">
        <f t="shared" si="45"/>
        <v>#REF!</v>
      </c>
      <c r="M146" s="1229" t="e">
        <f t="shared" si="46"/>
        <v>#REF!</v>
      </c>
      <c r="N146" s="1229" t="e">
        <f t="shared" si="46"/>
        <v>#REF!</v>
      </c>
      <c r="O146" s="1229" t="e">
        <f t="shared" si="46"/>
        <v>#REF!</v>
      </c>
      <c r="P146" s="1246" t="e">
        <f t="shared" si="40"/>
        <v>#REF!</v>
      </c>
    </row>
    <row r="147" spans="1:16" ht="16.5" x14ac:dyDescent="0.2">
      <c r="A147" s="1250" t="s">
        <v>151</v>
      </c>
      <c r="B147" s="1228">
        <v>13</v>
      </c>
      <c r="C147" s="1229" t="s">
        <v>603</v>
      </c>
      <c r="D147" s="1229" t="e">
        <f t="shared" si="42"/>
        <v>#REF!</v>
      </c>
      <c r="E147" s="1229" t="e">
        <f t="shared" si="42"/>
        <v>#REF!</v>
      </c>
      <c r="F147" s="1229" t="e">
        <f t="shared" si="42"/>
        <v>#REF!</v>
      </c>
      <c r="G147" s="1229" t="e">
        <f t="shared" si="43"/>
        <v>#REF!</v>
      </c>
      <c r="I147" s="1229" t="e">
        <f t="shared" si="44"/>
        <v>#REF!</v>
      </c>
      <c r="J147" s="1229" t="e">
        <f t="shared" si="44"/>
        <v>#REF!</v>
      </c>
      <c r="K147" s="1229" t="e">
        <f t="shared" si="45"/>
        <v>#REF!</v>
      </c>
      <c r="M147" s="1229" t="e">
        <f t="shared" si="46"/>
        <v>#REF!</v>
      </c>
      <c r="N147" s="1229" t="e">
        <f t="shared" si="46"/>
        <v>#REF!</v>
      </c>
      <c r="O147" s="1229" t="e">
        <f t="shared" si="46"/>
        <v>#REF!</v>
      </c>
      <c r="P147" s="1246" t="e">
        <f t="shared" si="40"/>
        <v>#REF!</v>
      </c>
    </row>
    <row r="148" spans="1:16" ht="16.5" x14ac:dyDescent="0.2">
      <c r="A148" s="1250" t="s">
        <v>151</v>
      </c>
      <c r="B148" s="1239">
        <v>14</v>
      </c>
      <c r="C148" s="1240" t="s">
        <v>312</v>
      </c>
      <c r="D148" s="1229" t="e">
        <f t="shared" si="42"/>
        <v>#REF!</v>
      </c>
      <c r="E148" s="1229" t="e">
        <f t="shared" si="42"/>
        <v>#REF!</v>
      </c>
      <c r="F148" s="1229" t="e">
        <f t="shared" si="42"/>
        <v>#REF!</v>
      </c>
      <c r="G148" s="1229" t="e">
        <f t="shared" si="43"/>
        <v>#REF!</v>
      </c>
      <c r="I148" s="1229" t="e">
        <f t="shared" si="44"/>
        <v>#REF!</v>
      </c>
      <c r="J148" s="1229" t="e">
        <f t="shared" si="44"/>
        <v>#REF!</v>
      </c>
      <c r="K148" s="1229" t="e">
        <f t="shared" si="45"/>
        <v>#REF!</v>
      </c>
      <c r="M148" s="1229" t="e">
        <f t="shared" si="46"/>
        <v>#REF!</v>
      </c>
      <c r="N148" s="1229" t="e">
        <f t="shared" si="46"/>
        <v>#REF!</v>
      </c>
      <c r="O148" s="1229" t="e">
        <f t="shared" si="46"/>
        <v>#REF!</v>
      </c>
      <c r="P148" s="1246" t="e">
        <f t="shared" si="40"/>
        <v>#REF!</v>
      </c>
    </row>
    <row r="149" spans="1:16" ht="16.5" x14ac:dyDescent="0.2">
      <c r="A149" s="1250" t="s">
        <v>151</v>
      </c>
      <c r="B149" s="1239">
        <v>15</v>
      </c>
      <c r="C149" s="1240" t="s">
        <v>313</v>
      </c>
      <c r="D149" s="1229" t="e">
        <f t="shared" si="42"/>
        <v>#REF!</v>
      </c>
      <c r="E149" s="1229" t="e">
        <f t="shared" si="42"/>
        <v>#REF!</v>
      </c>
      <c r="F149" s="1229" t="e">
        <f t="shared" si="42"/>
        <v>#REF!</v>
      </c>
      <c r="G149" s="1229" t="e">
        <f t="shared" si="43"/>
        <v>#REF!</v>
      </c>
      <c r="I149" s="1229" t="e">
        <f t="shared" si="44"/>
        <v>#REF!</v>
      </c>
      <c r="J149" s="1229" t="e">
        <f t="shared" si="44"/>
        <v>#REF!</v>
      </c>
      <c r="K149" s="1229" t="e">
        <f t="shared" si="45"/>
        <v>#REF!</v>
      </c>
      <c r="M149" s="1229" t="e">
        <f t="shared" si="46"/>
        <v>#REF!</v>
      </c>
      <c r="N149" s="1229" t="e">
        <f t="shared" si="46"/>
        <v>#REF!</v>
      </c>
      <c r="O149" s="1229" t="e">
        <f t="shared" si="46"/>
        <v>#REF!</v>
      </c>
      <c r="P149" s="1246" t="e">
        <f t="shared" si="40"/>
        <v>#REF!</v>
      </c>
    </row>
    <row r="150" spans="1:16" ht="16.5" x14ac:dyDescent="0.2">
      <c r="A150" s="1250" t="s">
        <v>151</v>
      </c>
      <c r="B150" s="1241"/>
      <c r="C150" s="1242" t="s">
        <v>605</v>
      </c>
      <c r="D150" s="1242" t="e">
        <f>D143+D144+D145+D146+D147+D148+D149</f>
        <v>#REF!</v>
      </c>
      <c r="E150" s="1242" t="e">
        <f>E143+E144+E145+E146+E147+E148+E149</f>
        <v>#REF!</v>
      </c>
      <c r="F150" s="1242" t="e">
        <f>F143+F144+F145+F146+F147+F148+F149</f>
        <v>#REF!</v>
      </c>
      <c r="G150" s="1242" t="e">
        <f>G143+G144+G145+G146+G147+G148+G149</f>
        <v>#REF!</v>
      </c>
      <c r="I150" s="1242" t="e">
        <f>I143+I144+I145+I146+I147+I148+I149</f>
        <v>#REF!</v>
      </c>
      <c r="J150" s="1242" t="e">
        <f>J143+J144+J145+J146+J147+J148+J149</f>
        <v>#REF!</v>
      </c>
      <c r="K150" s="1242" t="e">
        <f>K143+K144+K145+K146+K147+K148+K149</f>
        <v>#REF!</v>
      </c>
      <c r="M150" s="1242" t="e">
        <f>M143+M144+M145+M146+M147+M148+M149</f>
        <v>#REF!</v>
      </c>
      <c r="N150" s="1242" t="e">
        <f>N143+N144+N145+N146+N147+N148+N149</f>
        <v>#REF!</v>
      </c>
      <c r="O150" s="1242" t="e">
        <f>O143+O144+O145+O146+O147+O148+O149</f>
        <v>#REF!</v>
      </c>
      <c r="P150" s="1248" t="e">
        <f t="shared" si="40"/>
        <v>#REF!</v>
      </c>
    </row>
    <row r="151" spans="1:16" ht="16.5" x14ac:dyDescent="0.2">
      <c r="A151" s="1250" t="s">
        <v>151</v>
      </c>
      <c r="B151" s="1243"/>
      <c r="C151" s="1243"/>
      <c r="D151" s="1243"/>
      <c r="E151" s="1243"/>
      <c r="F151" s="1243"/>
      <c r="G151" s="1243"/>
      <c r="I151" s="1243"/>
      <c r="J151" s="1243"/>
      <c r="K151" s="1243"/>
      <c r="M151" s="1243"/>
      <c r="N151" s="1243"/>
      <c r="O151" s="1243"/>
      <c r="P151" s="1243"/>
    </row>
    <row r="152" spans="1:16" ht="16.5" x14ac:dyDescent="0.2">
      <c r="A152" s="1250" t="s">
        <v>151</v>
      </c>
      <c r="B152" s="1241"/>
      <c r="C152" s="1242" t="s">
        <v>606</v>
      </c>
      <c r="D152" s="1242" t="e">
        <f>D141+D150</f>
        <v>#REF!</v>
      </c>
      <c r="E152" s="1242" t="e">
        <f>E141+E150</f>
        <v>#REF!</v>
      </c>
      <c r="F152" s="1242" t="e">
        <f>F141+F150</f>
        <v>#REF!</v>
      </c>
      <c r="G152" s="1242" t="e">
        <f>G141+G150</f>
        <v>#REF!</v>
      </c>
      <c r="I152" s="1242" t="e">
        <f>I141+I150</f>
        <v>#REF!</v>
      </c>
      <c r="J152" s="1242" t="e">
        <f>J141+J150</f>
        <v>#REF!</v>
      </c>
      <c r="K152" s="1242" t="e">
        <f>K141+K150</f>
        <v>#REF!</v>
      </c>
      <c r="M152" s="1242" t="e">
        <f>M141+M150</f>
        <v>#REF!</v>
      </c>
      <c r="N152" s="1242" t="e">
        <f>N141+N150</f>
        <v>#REF!</v>
      </c>
      <c r="O152" s="1242" t="e">
        <f>O141+O150</f>
        <v>#REF!</v>
      </c>
      <c r="P152" s="1248" t="e">
        <f t="shared" si="40"/>
        <v>#REF!</v>
      </c>
    </row>
  </sheetData>
  <printOptions horizontalCentered="1" verticalCentered="1"/>
  <pageMargins left="0.15748031496062992" right="0.15748031496062992" top="0.15748031496062992" bottom="0.19685039370078741" header="0.19685039370078741" footer="0.15748031496062992"/>
  <pageSetup paperSize="9" scale="65" orientation="landscape" r:id="rId1"/>
  <rowBreaks count="2" manualBreakCount="2">
    <brk id="54" max="16383" man="1"/>
    <brk id="104" max="16383"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940"/>
  <sheetViews>
    <sheetView topLeftCell="A639" zoomScale="75" zoomScaleNormal="75" workbookViewId="0">
      <selection activeCell="J615" sqref="J615:K629"/>
    </sheetView>
  </sheetViews>
  <sheetFormatPr defaultColWidth="9.16796875" defaultRowHeight="14.25" x14ac:dyDescent="0.15"/>
  <cols>
    <col min="1" max="1" width="12.5390625" style="1157" customWidth="1"/>
    <col min="2" max="2" width="7.68359375" style="1158" customWidth="1"/>
    <col min="3" max="3" width="13.75390625" style="1157" customWidth="1"/>
    <col min="4" max="4" width="45.71484375" style="1157" customWidth="1"/>
    <col min="5" max="15" width="13.75390625" style="1157" customWidth="1"/>
    <col min="16" max="17" width="9.16796875" style="1157"/>
    <col min="18" max="18" width="9.84375" style="1157" bestFit="1" customWidth="1"/>
    <col min="19" max="19" width="11.73046875" style="1157" bestFit="1" customWidth="1"/>
    <col min="20" max="22" width="9.16796875" style="1157"/>
    <col min="23" max="23" width="11.73046875" style="1157" bestFit="1" customWidth="1"/>
    <col min="24" max="24" width="9.16796875" style="1157"/>
    <col min="25" max="25" width="11.73046875" style="1157" bestFit="1" customWidth="1"/>
    <col min="26" max="16384" width="9.16796875" style="1157"/>
  </cols>
  <sheetData>
    <row r="1" spans="1:18" x14ac:dyDescent="0.15">
      <c r="B1" s="1172" t="s">
        <v>609</v>
      </c>
      <c r="D1" s="1173" t="s">
        <v>608</v>
      </c>
    </row>
    <row r="2" spans="1:18" x14ac:dyDescent="0.15">
      <c r="B2" s="1187" t="s">
        <v>472</v>
      </c>
      <c r="C2" s="1187" t="s">
        <v>474</v>
      </c>
      <c r="D2" s="1188" t="s">
        <v>3</v>
      </c>
      <c r="E2" s="1187" t="s">
        <v>49</v>
      </c>
      <c r="F2" s="1187" t="s">
        <v>469</v>
      </c>
      <c r="G2" s="1187" t="s">
        <v>467</v>
      </c>
      <c r="H2" s="1188" t="s">
        <v>475</v>
      </c>
      <c r="I2" s="1188" t="s">
        <v>475</v>
      </c>
      <c r="J2" s="1225" t="s">
        <v>477</v>
      </c>
      <c r="K2" s="1225" t="s">
        <v>480</v>
      </c>
      <c r="L2" s="1189" t="s">
        <v>610</v>
      </c>
      <c r="M2" s="1189" t="s">
        <v>611</v>
      </c>
      <c r="N2" s="1189" t="s">
        <v>488</v>
      </c>
      <c r="O2" s="1189" t="s">
        <v>489</v>
      </c>
    </row>
    <row r="3" spans="1:18" x14ac:dyDescent="0.15">
      <c r="B3" s="1190" t="s">
        <v>473</v>
      </c>
      <c r="C3" s="1190" t="s">
        <v>31</v>
      </c>
      <c r="D3" s="1191"/>
      <c r="E3" s="1190" t="s">
        <v>33</v>
      </c>
      <c r="F3" s="1190" t="s">
        <v>33</v>
      </c>
      <c r="G3" s="1190" t="s">
        <v>468</v>
      </c>
      <c r="H3" s="1191" t="s">
        <v>487</v>
      </c>
      <c r="I3" s="1191" t="s">
        <v>476</v>
      </c>
      <c r="J3" s="1226" t="s">
        <v>479</v>
      </c>
      <c r="K3" s="1226" t="s">
        <v>478</v>
      </c>
      <c r="L3" s="1190" t="s">
        <v>481</v>
      </c>
      <c r="M3" s="1190" t="s">
        <v>481</v>
      </c>
      <c r="N3" s="1190" t="s">
        <v>481</v>
      </c>
      <c r="O3" s="1190" t="s">
        <v>478</v>
      </c>
    </row>
    <row r="4" spans="1:18" ht="16.5" x14ac:dyDescent="0.2">
      <c r="A4" s="1197" t="s">
        <v>18</v>
      </c>
      <c r="B4" s="1159"/>
      <c r="C4" s="1160" t="s">
        <v>38</v>
      </c>
      <c r="D4" s="1160" t="s">
        <v>482</v>
      </c>
      <c r="E4" s="1168">
        <f>Sales_FY24!$P$10</f>
        <v>775057</v>
      </c>
      <c r="F4" s="1168">
        <f>Sales_FY24!$V$10</f>
        <v>775057</v>
      </c>
      <c r="G4" s="1160">
        <f>ROUND(E4*0.1,0)</f>
        <v>77506</v>
      </c>
      <c r="H4" s="1167"/>
      <c r="I4" s="1167">
        <f>Sales_FY24!$Q$10</f>
        <v>178.06</v>
      </c>
      <c r="J4" s="1167" t="e">
        <f>+#REF!</f>
        <v>#REF!</v>
      </c>
      <c r="K4" s="1167" t="e">
        <f>+#REF!</f>
        <v>#REF!</v>
      </c>
      <c r="L4" s="1167"/>
      <c r="M4" s="1167" t="e">
        <f>ROUND(I4*1000000*K4/10000000,2)</f>
        <v>#REF!</v>
      </c>
      <c r="N4" s="1175" t="e">
        <f>+L4+M4</f>
        <v>#REF!</v>
      </c>
      <c r="O4" s="1171" t="e">
        <f>ROUND(N4/I4*10,2)</f>
        <v>#REF!</v>
      </c>
    </row>
    <row r="5" spans="1:18" ht="16.5" x14ac:dyDescent="0.2">
      <c r="A5" s="1197" t="s">
        <v>18</v>
      </c>
      <c r="B5" s="1159"/>
      <c r="C5" s="1160" t="s">
        <v>38</v>
      </c>
      <c r="D5" s="1161" t="s">
        <v>483</v>
      </c>
      <c r="E5" s="1168">
        <f>Sales_FY24!$P$11</f>
        <v>68304</v>
      </c>
      <c r="F5" s="1168">
        <f>Sales_FY24!$V$11</f>
        <v>68304</v>
      </c>
      <c r="G5" s="1160">
        <f>ROUND(E5*0.1,0)</f>
        <v>6830</v>
      </c>
      <c r="H5" s="1162" t="s">
        <v>426</v>
      </c>
      <c r="I5" s="1167">
        <f>ROUND(F5*50*12/1000000,2)</f>
        <v>40.98</v>
      </c>
      <c r="J5" s="1167">
        <v>100</v>
      </c>
      <c r="K5" s="1167">
        <f>+K16</f>
        <v>4.1500000000000004</v>
      </c>
      <c r="L5" s="1167">
        <f>ROUND((F5*J5*12)/10000000,2)</f>
        <v>8.1999999999999993</v>
      </c>
      <c r="M5" s="1167">
        <f>ROUND(I5*1000000*K5/10000000,2)</f>
        <v>17.010000000000002</v>
      </c>
      <c r="N5" s="1167"/>
      <c r="O5" s="1167"/>
    </row>
    <row r="6" spans="1:18" ht="16.5" x14ac:dyDescent="0.2">
      <c r="A6" s="1197" t="s">
        <v>18</v>
      </c>
      <c r="B6" s="1159"/>
      <c r="C6" s="1160"/>
      <c r="D6" s="1161"/>
      <c r="E6" s="1160"/>
      <c r="F6" s="1160"/>
      <c r="G6" s="1160"/>
      <c r="H6" s="1162" t="s">
        <v>432</v>
      </c>
      <c r="I6" s="1167">
        <f>I7-I5</f>
        <v>24.830000000000005</v>
      </c>
      <c r="J6" s="1167"/>
      <c r="K6" s="1167">
        <f>+K17</f>
        <v>5.6</v>
      </c>
      <c r="L6" s="1167"/>
      <c r="M6" s="1167">
        <f>ROUND(I6*1000000*K6/10000000,2)</f>
        <v>13.9</v>
      </c>
      <c r="N6" s="1167"/>
      <c r="O6" s="1167"/>
    </row>
    <row r="7" spans="1:18" ht="16.5" x14ac:dyDescent="0.2">
      <c r="A7" s="1197" t="s">
        <v>18</v>
      </c>
      <c r="B7" s="1172"/>
      <c r="C7" s="1173"/>
      <c r="D7" s="1174" t="s">
        <v>486</v>
      </c>
      <c r="E7" s="1173">
        <f>SUM(E5:E6)</f>
        <v>68304</v>
      </c>
      <c r="F7" s="1173">
        <f>SUM(F5:F6)</f>
        <v>68304</v>
      </c>
      <c r="G7" s="1173">
        <f>SUM(G5:G6)</f>
        <v>6830</v>
      </c>
      <c r="H7" s="1173"/>
      <c r="I7" s="1175">
        <f>Sales_FY24!$Q$11</f>
        <v>65.81</v>
      </c>
      <c r="J7" s="1175"/>
      <c r="K7" s="1175"/>
      <c r="L7" s="1175">
        <f>SUM(L5:L6)</f>
        <v>8.1999999999999993</v>
      </c>
      <c r="M7" s="1175">
        <f>SUM(M5:M6)</f>
        <v>30.910000000000004</v>
      </c>
      <c r="N7" s="1175">
        <f>+L7+M7</f>
        <v>39.11</v>
      </c>
      <c r="O7" s="1171">
        <f>ROUND(N7/I7*10,2)</f>
        <v>5.94</v>
      </c>
    </row>
    <row r="8" spans="1:18" ht="16.5" x14ac:dyDescent="0.2">
      <c r="A8" s="1197" t="s">
        <v>18</v>
      </c>
      <c r="B8" s="1164">
        <v>1</v>
      </c>
      <c r="C8" s="1165" t="s">
        <v>484</v>
      </c>
      <c r="D8" s="1165"/>
      <c r="E8" s="1169">
        <f>+E4+E7</f>
        <v>843361</v>
      </c>
      <c r="F8" s="1169">
        <f>+F4+F7</f>
        <v>843361</v>
      </c>
      <c r="G8" s="1169">
        <f>+G4+G7</f>
        <v>84336</v>
      </c>
      <c r="H8" s="1165"/>
      <c r="I8" s="1170">
        <f>+I4+I7</f>
        <v>243.87</v>
      </c>
      <c r="J8" s="1170"/>
      <c r="K8" s="1170"/>
      <c r="L8" s="1170">
        <f>+L4+L7</f>
        <v>8.1999999999999993</v>
      </c>
      <c r="M8" s="1170" t="e">
        <f>+M4+M7</f>
        <v>#REF!</v>
      </c>
      <c r="N8" s="1170" t="e">
        <f>L8+M8</f>
        <v>#REF!</v>
      </c>
      <c r="O8" s="1170"/>
      <c r="R8" s="1224" t="e">
        <f>+N8-#REF!</f>
        <v>#REF!</v>
      </c>
    </row>
    <row r="9" spans="1:18" ht="16.5" x14ac:dyDescent="0.2">
      <c r="A9" s="1197" t="s">
        <v>18</v>
      </c>
      <c r="B9" s="1163"/>
      <c r="C9" s="1163"/>
      <c r="D9" s="1163"/>
      <c r="E9" s="1163"/>
      <c r="F9" s="1163"/>
      <c r="G9" s="1163"/>
      <c r="H9" s="1163"/>
      <c r="I9" s="1176"/>
      <c r="J9" s="1176"/>
      <c r="K9" s="1176"/>
      <c r="L9" s="1176"/>
      <c r="M9" s="1176"/>
      <c r="N9" s="1176"/>
      <c r="O9" s="1176"/>
    </row>
    <row r="10" spans="1:18" ht="16.5" x14ac:dyDescent="0.2">
      <c r="A10" s="1197" t="s">
        <v>18</v>
      </c>
      <c r="B10" s="1159"/>
      <c r="C10" s="1160" t="s">
        <v>485</v>
      </c>
      <c r="D10" s="1160" t="s">
        <v>43</v>
      </c>
      <c r="E10" s="1160">
        <f>ROUND(E14*50.82%,0)</f>
        <v>3757199</v>
      </c>
      <c r="F10" s="1160">
        <f>ROUND(F14*50.82%,0)</f>
        <v>3683992</v>
      </c>
      <c r="G10" s="1160">
        <f>ROUND(F10*0.75,0)</f>
        <v>2762994</v>
      </c>
      <c r="H10" s="1162" t="s">
        <v>426</v>
      </c>
      <c r="I10" s="1167">
        <f>ROUND(I14*19%,2)</f>
        <v>1352.43</v>
      </c>
      <c r="J10" s="1167" t="e">
        <f>+#REF!</f>
        <v>#REF!</v>
      </c>
      <c r="K10" s="1167" t="e">
        <f>+#REF!</f>
        <v>#REF!</v>
      </c>
      <c r="L10" s="1167" t="e">
        <f>ROUND((F10*J10*12)/10000000,2)</f>
        <v>#REF!</v>
      </c>
      <c r="M10" s="1167" t="e">
        <f>ROUND(I10*1000000*K10/10000000,2)</f>
        <v>#REF!</v>
      </c>
      <c r="N10" s="1167"/>
      <c r="O10" s="1171"/>
    </row>
    <row r="11" spans="1:18" ht="16.5" x14ac:dyDescent="0.2">
      <c r="A11" s="1197" t="s">
        <v>18</v>
      </c>
      <c r="B11" s="1159"/>
      <c r="C11" s="1160"/>
      <c r="D11" s="1160" t="s">
        <v>451</v>
      </c>
      <c r="E11" s="1160">
        <f>ROUND(E14*49.15416%,0)</f>
        <v>3634041</v>
      </c>
      <c r="F11" s="1160">
        <f>ROUND(F14*49.15416%,0)</f>
        <v>3563233</v>
      </c>
      <c r="G11" s="1160">
        <f>ROUND(F11*3,0)</f>
        <v>10689699</v>
      </c>
      <c r="H11" s="1162" t="s">
        <v>432</v>
      </c>
      <c r="I11" s="1167">
        <f>ROUND(I14*25.01%,2)</f>
        <v>1780.23</v>
      </c>
      <c r="J11" s="1167" t="e">
        <f>+#REF!</f>
        <v>#REF!</v>
      </c>
      <c r="K11" s="1167" t="e">
        <f>+#REF!</f>
        <v>#REF!</v>
      </c>
      <c r="L11" s="1167" t="e">
        <f>ROUND(((F11*J10*12)+((G11-F11)*J11*12))/10000000,2)</f>
        <v>#REF!</v>
      </c>
      <c r="M11" s="1167" t="e">
        <f>ROUND(I11*1000000*K11/10000000,2)</f>
        <v>#REF!</v>
      </c>
      <c r="N11" s="1167"/>
      <c r="O11" s="1167"/>
    </row>
    <row r="12" spans="1:18" ht="16.5" x14ac:dyDescent="0.2">
      <c r="A12" s="1197" t="s">
        <v>18</v>
      </c>
      <c r="B12" s="1159"/>
      <c r="C12" s="1160"/>
      <c r="D12" s="1160" t="s">
        <v>444</v>
      </c>
      <c r="E12" s="1160">
        <f>+E14-E10-E11</f>
        <v>1911</v>
      </c>
      <c r="F12" s="1160">
        <f>+F14-F10-F11</f>
        <v>1873</v>
      </c>
      <c r="G12" s="1160">
        <f>ROUND(F12*65,0)</f>
        <v>121745</v>
      </c>
      <c r="H12" s="1162" t="s">
        <v>380</v>
      </c>
      <c r="I12" s="1167">
        <f>ROUND(I14*30.7%,2)</f>
        <v>2185.25</v>
      </c>
      <c r="J12" s="1167" t="e">
        <f>+#REF!</f>
        <v>#REF!</v>
      </c>
      <c r="K12" s="1167" t="e">
        <f>+#REF!</f>
        <v>#REF!</v>
      </c>
      <c r="L12" s="1167" t="e">
        <f>ROUND(((F12*J10*12)+(F12*49*12*J11)+((G12-(F12*50))*12*J12))/10000000,2)</f>
        <v>#REF!</v>
      </c>
      <c r="M12" s="1167" t="e">
        <f>ROUND(I12*1000000*K12/10000000,2)</f>
        <v>#REF!</v>
      </c>
      <c r="N12" s="1167"/>
      <c r="O12" s="1167"/>
    </row>
    <row r="13" spans="1:18" ht="16.5" x14ac:dyDescent="0.2">
      <c r="A13" s="1197" t="s">
        <v>18</v>
      </c>
      <c r="B13" s="1159"/>
      <c r="C13" s="1160"/>
      <c r="D13" s="1160"/>
      <c r="E13" s="1160"/>
      <c r="F13" s="1160"/>
      <c r="G13" s="1160"/>
      <c r="H13" s="1162" t="s">
        <v>411</v>
      </c>
      <c r="I13" s="1167">
        <f>+I14-I10-I11-I12</f>
        <v>1800.1599999999994</v>
      </c>
      <c r="J13" s="1167"/>
      <c r="K13" s="1167" t="e">
        <f>+#REF!</f>
        <v>#REF!</v>
      </c>
      <c r="L13" s="1167"/>
      <c r="M13" s="1167" t="e">
        <f>ROUND(I13*1000000*K13/10000000,2)</f>
        <v>#REF!</v>
      </c>
      <c r="N13" s="1167"/>
      <c r="O13" s="1167"/>
    </row>
    <row r="14" spans="1:18" ht="16.5" x14ac:dyDescent="0.2">
      <c r="A14" s="1197" t="s">
        <v>18</v>
      </c>
      <c r="B14" s="1164"/>
      <c r="C14" s="1165"/>
      <c r="D14" s="1166" t="s">
        <v>486</v>
      </c>
      <c r="E14" s="1165">
        <f>ROUND(E21*76.37%,0)</f>
        <v>7393151</v>
      </c>
      <c r="F14" s="1165">
        <f>ROUND(F21*76.37%,0)</f>
        <v>7249098</v>
      </c>
      <c r="G14" s="1165">
        <f>SUM(G10:G13)</f>
        <v>13574438</v>
      </c>
      <c r="H14" s="1165"/>
      <c r="I14" s="1170">
        <f>ROUND(I21*88.55%,2)</f>
        <v>7118.07</v>
      </c>
      <c r="J14" s="1170"/>
      <c r="K14" s="1170"/>
      <c r="L14" s="1170" t="e">
        <f>SUM(L10:L13)</f>
        <v>#REF!</v>
      </c>
      <c r="M14" s="1170" t="e">
        <f>SUM(M10:M13)</f>
        <v>#REF!</v>
      </c>
      <c r="N14" s="1170" t="e">
        <f>L14+M14</f>
        <v>#REF!</v>
      </c>
      <c r="O14" s="1177" t="e">
        <f>ROUND(N14/I14*10,2)</f>
        <v>#REF!</v>
      </c>
      <c r="R14" s="1224" t="e">
        <f>+N14-#REF!</f>
        <v>#REF!</v>
      </c>
    </row>
    <row r="15" spans="1:18" ht="16.5" x14ac:dyDescent="0.2">
      <c r="A15" s="1197" t="s">
        <v>18</v>
      </c>
      <c r="B15" s="1163"/>
      <c r="C15" s="1163"/>
      <c r="D15" s="1163"/>
      <c r="E15" s="1163"/>
      <c r="F15" s="1163"/>
      <c r="G15" s="1163"/>
      <c r="H15" s="1163"/>
      <c r="I15" s="1176"/>
      <c r="J15" s="1176"/>
      <c r="K15" s="1176"/>
      <c r="L15" s="1176"/>
      <c r="M15" s="1176"/>
      <c r="N15" s="1176"/>
      <c r="O15" s="1176"/>
    </row>
    <row r="16" spans="1:18" ht="16.5" x14ac:dyDescent="0.2">
      <c r="A16" s="1197" t="s">
        <v>18</v>
      </c>
      <c r="B16" s="1159"/>
      <c r="C16" s="1160" t="s">
        <v>555</v>
      </c>
      <c r="D16" s="1160" t="s">
        <v>43</v>
      </c>
      <c r="E16" s="1160">
        <f>ROUND(E20*91.37%,0)</f>
        <v>2090134</v>
      </c>
      <c r="F16" s="1160">
        <f>ROUND(F20*91.37%,0)</f>
        <v>2049408</v>
      </c>
      <c r="G16" s="1160">
        <f>ROUND(F16*0.6,0)</f>
        <v>1229645</v>
      </c>
      <c r="H16" s="1162" t="s">
        <v>426</v>
      </c>
      <c r="I16" s="1167">
        <f>ROUND(I20*27.603%,2)</f>
        <v>254.06</v>
      </c>
      <c r="J16" s="1167">
        <v>100</v>
      </c>
      <c r="K16" s="1167">
        <v>4.1500000000000004</v>
      </c>
      <c r="L16" s="1167">
        <f>ROUND((F16*J16*12)/10000000,2)</f>
        <v>245.93</v>
      </c>
      <c r="M16" s="1167">
        <f>ROUND(I16*1000000*K16/10000000,2)</f>
        <v>105.43</v>
      </c>
      <c r="N16" s="1167"/>
      <c r="O16" s="1167"/>
    </row>
    <row r="17" spans="1:18" ht="16.5" x14ac:dyDescent="0.2">
      <c r="A17" s="1197" t="s">
        <v>18</v>
      </c>
      <c r="B17" s="1159"/>
      <c r="C17" s="1160"/>
      <c r="D17" s="1160" t="s">
        <v>451</v>
      </c>
      <c r="E17" s="1160">
        <f>ROUND(E20*8.61992%,0)</f>
        <v>197185</v>
      </c>
      <c r="F17" s="1160">
        <f>ROUND(F20*8.61992%,0)</f>
        <v>193343</v>
      </c>
      <c r="G17" s="1160">
        <f>ROUND(F17*2.75,0)</f>
        <v>531693</v>
      </c>
      <c r="H17" s="1162" t="s">
        <v>432</v>
      </c>
      <c r="I17" s="1167">
        <f>ROUND(I20*30%,2)</f>
        <v>276.12</v>
      </c>
      <c r="J17" s="1167">
        <v>110</v>
      </c>
      <c r="K17" s="1167">
        <v>5.6</v>
      </c>
      <c r="L17" s="1167">
        <f>ROUND(((F17*J16*12)+((G17-F17)*J17*12))/10000000,2)</f>
        <v>67.86</v>
      </c>
      <c r="M17" s="1167">
        <f>ROUND(I17*1000000*K17/10000000,2)</f>
        <v>154.63</v>
      </c>
      <c r="N17" s="1167"/>
      <c r="O17" s="1167"/>
    </row>
    <row r="18" spans="1:18" ht="16.5" x14ac:dyDescent="0.2">
      <c r="A18" s="1197" t="s">
        <v>18</v>
      </c>
      <c r="B18" s="1159"/>
      <c r="C18" s="1160"/>
      <c r="D18" s="1160" t="s">
        <v>444</v>
      </c>
      <c r="E18" s="1160">
        <f>+E20-E16-E17</f>
        <v>230</v>
      </c>
      <c r="F18" s="1160">
        <f>+F20-F16-F17</f>
        <v>226</v>
      </c>
      <c r="G18" s="1160">
        <f>ROUND(F18*65,0)</f>
        <v>14690</v>
      </c>
      <c r="H18" s="1162" t="s">
        <v>380</v>
      </c>
      <c r="I18" s="1167">
        <f>ROUND(I20*25%,2)</f>
        <v>230.1</v>
      </c>
      <c r="J18" s="1167">
        <v>175</v>
      </c>
      <c r="K18" s="1167">
        <v>7.15</v>
      </c>
      <c r="L18" s="1167">
        <f>ROUND(((F18*J16*12)+(F18*49*12*J17)+((G18-(F18*50))*12*J18))/10000000,2)</f>
        <v>2.2000000000000002</v>
      </c>
      <c r="M18" s="1167">
        <f>ROUND(I18*1000000*K18/10000000,2)</f>
        <v>164.52</v>
      </c>
      <c r="N18" s="1167"/>
      <c r="O18" s="1167"/>
    </row>
    <row r="19" spans="1:18" ht="16.5" x14ac:dyDescent="0.2">
      <c r="A19" s="1197" t="s">
        <v>18</v>
      </c>
      <c r="B19" s="1159"/>
      <c r="C19" s="1160"/>
      <c r="D19" s="1160"/>
      <c r="E19" s="1160"/>
      <c r="F19" s="1160"/>
      <c r="G19" s="1160"/>
      <c r="H19" s="1162" t="s">
        <v>411</v>
      </c>
      <c r="I19" s="1167">
        <f>+I20-I16-I17-I18</f>
        <v>160.1200000000006</v>
      </c>
      <c r="J19" s="1167"/>
      <c r="K19" s="1167">
        <v>8.1999999999999993</v>
      </c>
      <c r="L19" s="1167"/>
      <c r="M19" s="1167">
        <f>ROUND(I19*1000000*K19/10000000,2)</f>
        <v>131.30000000000001</v>
      </c>
      <c r="N19" s="1167"/>
      <c r="O19" s="1167"/>
    </row>
    <row r="20" spans="1:18" ht="16.5" x14ac:dyDescent="0.2">
      <c r="A20" s="1197" t="s">
        <v>18</v>
      </c>
      <c r="B20" s="1164"/>
      <c r="C20" s="1165"/>
      <c r="D20" s="1166" t="s">
        <v>486</v>
      </c>
      <c r="E20" s="1169">
        <f>E21-E14</f>
        <v>2287549</v>
      </c>
      <c r="F20" s="1169">
        <f>F21-F14</f>
        <v>2242977</v>
      </c>
      <c r="G20" s="1165">
        <f>SUM(G16:G19)</f>
        <v>1776028</v>
      </c>
      <c r="H20" s="1165"/>
      <c r="I20" s="1170">
        <f>I21-I14</f>
        <v>920.40000000000055</v>
      </c>
      <c r="J20" s="1170"/>
      <c r="K20" s="1170"/>
      <c r="L20" s="1170">
        <f>SUM(L16:L19)</f>
        <v>315.99</v>
      </c>
      <c r="M20" s="1170">
        <f>SUM(M16:M19)</f>
        <v>555.88000000000011</v>
      </c>
      <c r="N20" s="1170">
        <f>L20+M20</f>
        <v>871.87000000000012</v>
      </c>
      <c r="O20" s="1177">
        <f>ROUND(N20/I20*10,2)</f>
        <v>9.4700000000000006</v>
      </c>
      <c r="R20" s="1224" t="e">
        <f>+N20-#REF!</f>
        <v>#REF!</v>
      </c>
    </row>
    <row r="21" spans="1:18" ht="16.5" x14ac:dyDescent="0.2">
      <c r="A21" s="1197" t="s">
        <v>18</v>
      </c>
      <c r="B21" s="1164">
        <v>2</v>
      </c>
      <c r="C21" s="1165" t="s">
        <v>490</v>
      </c>
      <c r="D21" s="1165"/>
      <c r="E21" s="1169">
        <f>Sales_FY24!$P$12</f>
        <v>9680700</v>
      </c>
      <c r="F21" s="1169">
        <f>Sales_FY24!$V$12</f>
        <v>9492075</v>
      </c>
      <c r="G21" s="1169">
        <f>G14+G20</f>
        <v>15350466</v>
      </c>
      <c r="H21" s="1165"/>
      <c r="I21" s="1170">
        <f>Sales_FY24!$Q$12</f>
        <v>8038.47</v>
      </c>
      <c r="J21" s="1170"/>
      <c r="K21" s="1170"/>
      <c r="L21" s="1170" t="e">
        <f>L14+L20</f>
        <v>#REF!</v>
      </c>
      <c r="M21" s="1170" t="e">
        <f>M14+M20</f>
        <v>#REF!</v>
      </c>
      <c r="N21" s="1170" t="e">
        <f>L21+M21</f>
        <v>#REF!</v>
      </c>
      <c r="O21" s="1177" t="e">
        <f>ROUND(N21/I21*10,2)</f>
        <v>#REF!</v>
      </c>
      <c r="R21" s="1224"/>
    </row>
    <row r="22" spans="1:18" ht="16.5" x14ac:dyDescent="0.2">
      <c r="A22" s="1197" t="s">
        <v>18</v>
      </c>
      <c r="B22" s="1163"/>
      <c r="C22" s="1163"/>
      <c r="D22" s="1163"/>
      <c r="E22" s="1163"/>
      <c r="F22" s="1163"/>
      <c r="G22" s="1163"/>
      <c r="H22" s="1163"/>
      <c r="I22" s="1176"/>
      <c r="J22" s="1176"/>
      <c r="K22" s="1176"/>
      <c r="L22" s="1176"/>
      <c r="M22" s="1176"/>
      <c r="N22" s="1176"/>
      <c r="O22" s="1176"/>
    </row>
    <row r="23" spans="1:18" ht="16.5" x14ac:dyDescent="0.2">
      <c r="A23" s="1197" t="s">
        <v>18</v>
      </c>
      <c r="B23" s="1159"/>
      <c r="C23" s="1160" t="s">
        <v>491</v>
      </c>
      <c r="D23" s="1160" t="s">
        <v>492</v>
      </c>
      <c r="E23" s="1160">
        <f>ROUND(E26*98.96%,0)</f>
        <v>10555</v>
      </c>
      <c r="F23" s="1160">
        <f>ROUND(F26*98.96%,0)</f>
        <v>10455</v>
      </c>
      <c r="G23" s="1160">
        <f>ROUND(F23*4,0)</f>
        <v>41820</v>
      </c>
      <c r="H23" s="1162" t="s">
        <v>493</v>
      </c>
      <c r="I23" s="1167">
        <f>ROUND(I26*20%,2)</f>
        <v>10.09</v>
      </c>
      <c r="J23" s="1167" t="e">
        <f>+#REF!</f>
        <v>#REF!</v>
      </c>
      <c r="K23" s="1167" t="e">
        <f>+#REF!</f>
        <v>#REF!</v>
      </c>
      <c r="L23" s="1167" t="e">
        <f>ROUND(G23*J23*12/10000000,2)</f>
        <v>#REF!</v>
      </c>
      <c r="M23" s="1167" t="e">
        <f>ROUND(I23*1000000*K23/10000000,2)</f>
        <v>#REF!</v>
      </c>
      <c r="N23" s="1167"/>
      <c r="O23" s="1167"/>
    </row>
    <row r="24" spans="1:18" ht="16.5" x14ac:dyDescent="0.2">
      <c r="A24" s="1197" t="s">
        <v>18</v>
      </c>
      <c r="B24" s="1159"/>
      <c r="C24" s="1160"/>
      <c r="D24" s="1160" t="s">
        <v>444</v>
      </c>
      <c r="E24" s="1160">
        <f>E26-E23</f>
        <v>111</v>
      </c>
      <c r="F24" s="1160">
        <f>F26-F23</f>
        <v>110</v>
      </c>
      <c r="G24" s="1160">
        <f>ROUND(F24*56,0)</f>
        <v>6160</v>
      </c>
      <c r="H24" s="1162" t="s">
        <v>411</v>
      </c>
      <c r="I24" s="1167">
        <f>I26-I23</f>
        <v>40.379999999999995</v>
      </c>
      <c r="J24" s="1167" t="e">
        <f>+#REF!</f>
        <v>#REF!</v>
      </c>
      <c r="K24" s="1167" t="e">
        <f>+#REF!</f>
        <v>#REF!</v>
      </c>
      <c r="L24" s="1167" t="e">
        <f>ROUND(((F24*J23*50*12)+((G24-(F24*50))*J24*12))/10000000,2)</f>
        <v>#REF!</v>
      </c>
      <c r="M24" s="1167" t="e">
        <f>ROUND(I24*1000000*K24/10000000,2)</f>
        <v>#REF!</v>
      </c>
      <c r="N24" s="1167"/>
      <c r="O24" s="1167"/>
    </row>
    <row r="25" spans="1:18" ht="16.5" x14ac:dyDescent="0.2">
      <c r="A25" s="1197" t="s">
        <v>18</v>
      </c>
      <c r="B25" s="1159"/>
      <c r="C25" s="1160"/>
      <c r="D25" s="1160" t="s">
        <v>556</v>
      </c>
      <c r="E25" s="1160"/>
      <c r="F25" s="1160"/>
      <c r="G25" s="1160"/>
      <c r="H25" s="1162"/>
      <c r="I25" s="1167"/>
      <c r="J25" s="1186" t="e">
        <f>+#REF!</f>
        <v>#REF!</v>
      </c>
      <c r="K25" s="1167"/>
      <c r="L25" s="1167"/>
      <c r="M25" s="1167"/>
      <c r="N25" s="1167"/>
      <c r="O25" s="1167"/>
    </row>
    <row r="26" spans="1:18" ht="16.5" x14ac:dyDescent="0.2">
      <c r="A26" s="1197" t="s">
        <v>18</v>
      </c>
      <c r="B26" s="1164"/>
      <c r="C26" s="1165"/>
      <c r="D26" s="1166" t="s">
        <v>486</v>
      </c>
      <c r="E26" s="1165">
        <f>ROUND(E32*78.67%,0)</f>
        <v>10666</v>
      </c>
      <c r="F26" s="1165">
        <f>ROUND(F32*78.67%,0)</f>
        <v>10565</v>
      </c>
      <c r="G26" s="1165">
        <f>SUM(G23:G24)</f>
        <v>47980</v>
      </c>
      <c r="H26" s="1165"/>
      <c r="I26" s="1170">
        <f>ROUND(I32*86.25%,2)</f>
        <v>50.47</v>
      </c>
      <c r="J26" s="1170"/>
      <c r="K26" s="1170"/>
      <c r="L26" s="1170" t="e">
        <f>SUM(L23:L24)</f>
        <v>#REF!</v>
      </c>
      <c r="M26" s="1170" t="e">
        <f>SUM(M23:M24)</f>
        <v>#REF!</v>
      </c>
      <c r="N26" s="1170" t="e">
        <f>L26+M26</f>
        <v>#REF!</v>
      </c>
      <c r="O26" s="1177" t="e">
        <f>ROUND(N26/I26*10,2)</f>
        <v>#REF!</v>
      </c>
      <c r="R26" s="1224" t="e">
        <f>+N26-#REF!</f>
        <v>#REF!</v>
      </c>
    </row>
    <row r="27" spans="1:18" ht="16.5" x14ac:dyDescent="0.2">
      <c r="A27" s="1197" t="s">
        <v>18</v>
      </c>
      <c r="B27" s="1163"/>
      <c r="C27" s="1163"/>
      <c r="D27" s="1163"/>
      <c r="E27" s="1163"/>
      <c r="F27" s="1163"/>
      <c r="G27" s="1163"/>
      <c r="H27" s="1163"/>
      <c r="I27" s="1176"/>
      <c r="J27" s="1176"/>
      <c r="K27" s="1176"/>
      <c r="L27" s="1176"/>
      <c r="M27" s="1176"/>
      <c r="N27" s="1176"/>
      <c r="O27" s="1176"/>
    </row>
    <row r="28" spans="1:18" ht="16.5" x14ac:dyDescent="0.2">
      <c r="A28" s="1197" t="s">
        <v>18</v>
      </c>
      <c r="B28" s="1159"/>
      <c r="C28" s="1160" t="s">
        <v>554</v>
      </c>
      <c r="D28" s="1160" t="s">
        <v>492</v>
      </c>
      <c r="E28" s="1160">
        <f>ROUND(E31*99.15%,0)</f>
        <v>2867</v>
      </c>
      <c r="F28" s="1160">
        <f>ROUND(F31*99.15%,0)</f>
        <v>2841</v>
      </c>
      <c r="G28" s="1160">
        <f>ROUND(F28*3.55,0)</f>
        <v>10086</v>
      </c>
      <c r="H28" s="1162" t="s">
        <v>493</v>
      </c>
      <c r="I28" s="1167">
        <f>ROUND(I31*15%,2)</f>
        <v>1.21</v>
      </c>
      <c r="J28" s="1167">
        <v>120</v>
      </c>
      <c r="K28" s="1167">
        <v>7.35</v>
      </c>
      <c r="L28" s="1167">
        <f>ROUND(G28*J28*12/10000000,2)</f>
        <v>1.45</v>
      </c>
      <c r="M28" s="1167">
        <f>ROUND(I28*1000000*K28/10000000,2)</f>
        <v>0.89</v>
      </c>
      <c r="N28" s="1167"/>
      <c r="O28" s="1167"/>
    </row>
    <row r="29" spans="1:18" ht="16.5" x14ac:dyDescent="0.2">
      <c r="A29" s="1197" t="s">
        <v>18</v>
      </c>
      <c r="B29" s="1159"/>
      <c r="C29" s="1160"/>
      <c r="D29" s="1160" t="s">
        <v>444</v>
      </c>
      <c r="E29" s="1160">
        <f>E31-E28</f>
        <v>25</v>
      </c>
      <c r="F29" s="1160">
        <f>F31-F28</f>
        <v>24</v>
      </c>
      <c r="G29" s="1160">
        <f>ROUND(F29*53,0)</f>
        <v>1272</v>
      </c>
      <c r="H29" s="1162" t="s">
        <v>411</v>
      </c>
      <c r="I29" s="1167">
        <f>I31-I28</f>
        <v>6.8400000000000043</v>
      </c>
      <c r="J29" s="1167">
        <v>175</v>
      </c>
      <c r="K29" s="1167">
        <v>8.6</v>
      </c>
      <c r="L29" s="1167">
        <f>ROUND(((F29*J28*50*12)+((G29-(F29*50))*J29*12))/10000000,2)</f>
        <v>0.19</v>
      </c>
      <c r="M29" s="1167">
        <f>ROUND(I29*1000000*K29/10000000,2)</f>
        <v>5.88</v>
      </c>
      <c r="N29" s="1167"/>
      <c r="O29" s="1167"/>
    </row>
    <row r="30" spans="1:18" ht="16.5" x14ac:dyDescent="0.2">
      <c r="A30" s="1197" t="s">
        <v>18</v>
      </c>
      <c r="B30" s="1159"/>
      <c r="C30" s="1160"/>
      <c r="D30" s="1160" t="s">
        <v>556</v>
      </c>
      <c r="E30" s="1160"/>
      <c r="F30" s="1160"/>
      <c r="G30" s="1160"/>
      <c r="H30" s="1162"/>
      <c r="I30" s="1167"/>
      <c r="J30" s="1186">
        <v>150</v>
      </c>
      <c r="K30" s="1167"/>
      <c r="L30" s="1167"/>
      <c r="M30" s="1167"/>
      <c r="N30" s="1167"/>
      <c r="O30" s="1167"/>
    </row>
    <row r="31" spans="1:18" ht="16.5" x14ac:dyDescent="0.2">
      <c r="A31" s="1197" t="s">
        <v>18</v>
      </c>
      <c r="B31" s="1164"/>
      <c r="C31" s="1165"/>
      <c r="D31" s="1166" t="s">
        <v>486</v>
      </c>
      <c r="E31" s="1169">
        <f>E32-E26</f>
        <v>2892</v>
      </c>
      <c r="F31" s="1169">
        <f>F32-F26</f>
        <v>2865</v>
      </c>
      <c r="G31" s="1165">
        <f>SUM(G28:G29)</f>
        <v>11358</v>
      </c>
      <c r="H31" s="1165"/>
      <c r="I31" s="1170">
        <f>I32-I26</f>
        <v>8.0500000000000043</v>
      </c>
      <c r="J31" s="1170"/>
      <c r="K31" s="1170"/>
      <c r="L31" s="1170">
        <f>SUM(L28:L29)</f>
        <v>1.64</v>
      </c>
      <c r="M31" s="1170">
        <f>SUM(M28:M29)</f>
        <v>6.77</v>
      </c>
      <c r="N31" s="1170">
        <f>L31+M31</f>
        <v>8.41</v>
      </c>
      <c r="O31" s="1177">
        <f>ROUND(N31/I31*10,2)</f>
        <v>10.45</v>
      </c>
      <c r="R31" s="1224" t="e">
        <f>+N31-#REF!</f>
        <v>#REF!</v>
      </c>
    </row>
    <row r="32" spans="1:18" ht="16.5" x14ac:dyDescent="0.2">
      <c r="A32" s="1197" t="s">
        <v>18</v>
      </c>
      <c r="B32" s="1164">
        <v>3</v>
      </c>
      <c r="C32" s="1165" t="s">
        <v>553</v>
      </c>
      <c r="D32" s="1165"/>
      <c r="E32" s="1169">
        <f>Sales_FY24!$P$13</f>
        <v>13558</v>
      </c>
      <c r="F32" s="1169">
        <f>Sales_FY24!$V$13</f>
        <v>13430</v>
      </c>
      <c r="G32" s="1169">
        <f>G26+G31</f>
        <v>59338</v>
      </c>
      <c r="H32" s="1165"/>
      <c r="I32" s="1170">
        <f>Sales_FY24!$Q$13</f>
        <v>58.52</v>
      </c>
      <c r="J32" s="1170"/>
      <c r="K32" s="1170"/>
      <c r="L32" s="1170" t="e">
        <f>L26+L31</f>
        <v>#REF!</v>
      </c>
      <c r="M32" s="1170" t="e">
        <f>M26+M31</f>
        <v>#REF!</v>
      </c>
      <c r="N32" s="1170" t="e">
        <f>L32+M32</f>
        <v>#REF!</v>
      </c>
      <c r="O32" s="1177" t="e">
        <f>ROUND(N32/I32*10,2)</f>
        <v>#REF!</v>
      </c>
    </row>
    <row r="33" spans="1:18" ht="16.5" x14ac:dyDescent="0.2">
      <c r="A33" s="1197" t="s">
        <v>18</v>
      </c>
      <c r="B33" s="1163"/>
      <c r="C33" s="1163"/>
      <c r="D33" s="1163"/>
      <c r="E33" s="1163"/>
      <c r="F33" s="1163"/>
      <c r="G33" s="1163"/>
      <c r="H33" s="1163"/>
      <c r="I33" s="1176"/>
      <c r="J33" s="1176"/>
      <c r="K33" s="1176"/>
      <c r="L33" s="1176"/>
      <c r="M33" s="1176"/>
      <c r="N33" s="1176"/>
      <c r="O33" s="1176"/>
    </row>
    <row r="34" spans="1:18" ht="16.5" x14ac:dyDescent="0.2">
      <c r="A34" s="1197" t="s">
        <v>18</v>
      </c>
      <c r="B34" s="1159"/>
      <c r="C34" s="1160" t="s">
        <v>69</v>
      </c>
      <c r="D34" s="1160" t="s">
        <v>492</v>
      </c>
      <c r="E34" s="1160">
        <f>ROUND(E36*99.81344%,0)</f>
        <v>1140653</v>
      </c>
      <c r="F34" s="1160">
        <f>ROUND(F36*99.81296%,0)</f>
        <v>1120666</v>
      </c>
      <c r="G34" s="1160">
        <f>ROUND(F34*2.38,0)</f>
        <v>2667185</v>
      </c>
      <c r="H34" s="1162" t="s">
        <v>426</v>
      </c>
      <c r="I34" s="1167">
        <f>ROUND(I36*22%,2)</f>
        <v>454.54</v>
      </c>
      <c r="J34" s="1167" t="e">
        <f>+#REF!</f>
        <v>#REF!</v>
      </c>
      <c r="K34" s="1167" t="e">
        <f>+#REF!</f>
        <v>#REF!</v>
      </c>
      <c r="L34" s="1167" t="e">
        <f>ROUND(G34*J34*12/10000000,2)</f>
        <v>#REF!</v>
      </c>
      <c r="M34" s="1167" t="e">
        <f>ROUND(I34*1000000*K34/10000000,2)</f>
        <v>#REF!</v>
      </c>
      <c r="N34" s="1167"/>
      <c r="O34" s="1167"/>
    </row>
    <row r="35" spans="1:18" ht="16.5" x14ac:dyDescent="0.2">
      <c r="A35" s="1197" t="s">
        <v>18</v>
      </c>
      <c r="B35" s="1159"/>
      <c r="C35" s="1160"/>
      <c r="D35" s="1160" t="s">
        <v>444</v>
      </c>
      <c r="E35" s="1160">
        <f>E36-E34</f>
        <v>2132</v>
      </c>
      <c r="F35" s="1160">
        <f>F36-F34</f>
        <v>2100</v>
      </c>
      <c r="G35" s="1160">
        <f>ROUND(F35*104.25,0)</f>
        <v>218925</v>
      </c>
      <c r="H35" s="1162" t="s">
        <v>558</v>
      </c>
      <c r="I35" s="1167">
        <f>I36-I34</f>
        <v>1611.5500000000002</v>
      </c>
      <c r="J35" s="1167" t="e">
        <f>+#REF!</f>
        <v>#REF!</v>
      </c>
      <c r="K35" s="1167" t="e">
        <f>+#REF!</f>
        <v>#REF!</v>
      </c>
      <c r="L35" s="1167" t="e">
        <f>ROUND(((F35*J34*50*12)+((G35-(F35*50))*J35*12))/10000000,2)</f>
        <v>#REF!</v>
      </c>
      <c r="M35" s="1167" t="e">
        <f>ROUND(I35*1000000*K35/10000000,2)</f>
        <v>#REF!</v>
      </c>
      <c r="N35" s="1167"/>
      <c r="O35" s="1167"/>
    </row>
    <row r="36" spans="1:18" ht="16.5" x14ac:dyDescent="0.2">
      <c r="A36" s="1197" t="s">
        <v>18</v>
      </c>
      <c r="B36" s="1164"/>
      <c r="C36" s="1165"/>
      <c r="D36" s="1166" t="s">
        <v>486</v>
      </c>
      <c r="E36" s="1165">
        <f>ROUND(E41*86.544%,0)</f>
        <v>1142785</v>
      </c>
      <c r="F36" s="1165">
        <f>ROUND(F41*86.544%,0)</f>
        <v>1122766</v>
      </c>
      <c r="G36" s="1165">
        <f>SUM(G34:G35)</f>
        <v>2886110</v>
      </c>
      <c r="H36" s="1165"/>
      <c r="I36" s="1170">
        <f>ROUND(I41*88.15%,2)</f>
        <v>2066.09</v>
      </c>
      <c r="J36" s="1170"/>
      <c r="K36" s="1170"/>
      <c r="L36" s="1170" t="e">
        <f>SUM(L34:L35)</f>
        <v>#REF!</v>
      </c>
      <c r="M36" s="1170" t="e">
        <f>SUM(M34:M35)</f>
        <v>#REF!</v>
      </c>
      <c r="N36" s="1170" t="e">
        <f>L36+M36</f>
        <v>#REF!</v>
      </c>
      <c r="O36" s="1177" t="e">
        <f>ROUND(N36/I36*10,2)</f>
        <v>#REF!</v>
      </c>
      <c r="R36" s="1224" t="e">
        <f>+N36-#REF!</f>
        <v>#REF!</v>
      </c>
    </row>
    <row r="37" spans="1:18" ht="16.5" x14ac:dyDescent="0.2">
      <c r="A37" s="1197" t="s">
        <v>18</v>
      </c>
      <c r="B37" s="1163"/>
      <c r="C37" s="1163"/>
      <c r="D37" s="1163"/>
      <c r="E37" s="1163"/>
      <c r="F37" s="1163"/>
      <c r="G37" s="1163"/>
      <c r="H37" s="1163"/>
      <c r="I37" s="1176"/>
      <c r="J37" s="1176"/>
      <c r="K37" s="1176"/>
      <c r="L37" s="1176"/>
      <c r="M37" s="1176"/>
      <c r="N37" s="1176"/>
      <c r="O37" s="1176"/>
    </row>
    <row r="38" spans="1:18" ht="16.5" x14ac:dyDescent="0.2">
      <c r="A38" s="1197" t="s">
        <v>18</v>
      </c>
      <c r="B38" s="1159"/>
      <c r="C38" s="1160" t="s">
        <v>76</v>
      </c>
      <c r="D38" s="1160" t="s">
        <v>492</v>
      </c>
      <c r="E38" s="1160">
        <f>ROUND(E40*99.90624%,0)</f>
        <v>177515</v>
      </c>
      <c r="F38" s="1160">
        <f>ROUND(F40*99.9%,0)</f>
        <v>174395</v>
      </c>
      <c r="G38" s="1160">
        <f>ROUND(F38*1.75,0)</f>
        <v>305191</v>
      </c>
      <c r="H38" s="1162" t="s">
        <v>426</v>
      </c>
      <c r="I38" s="1167">
        <f>ROUND(I40*25%,2)</f>
        <v>69.44</v>
      </c>
      <c r="J38" s="1167">
        <v>125</v>
      </c>
      <c r="K38" s="1167">
        <v>8.4</v>
      </c>
      <c r="L38" s="1167">
        <f>ROUND(G38*J38*12/10000000,2)</f>
        <v>45.78</v>
      </c>
      <c r="M38" s="1167">
        <f>ROUND(I38*1000000*K38/10000000,2)</f>
        <v>58.33</v>
      </c>
      <c r="N38" s="1167"/>
      <c r="O38" s="1167"/>
    </row>
    <row r="39" spans="1:18" ht="16.5" x14ac:dyDescent="0.2">
      <c r="A39" s="1197" t="s">
        <v>18</v>
      </c>
      <c r="B39" s="1159"/>
      <c r="C39" s="1160"/>
      <c r="D39" s="1160" t="s">
        <v>444</v>
      </c>
      <c r="E39" s="1160">
        <f>E40-E38</f>
        <v>167</v>
      </c>
      <c r="F39" s="1160">
        <f>F40-F38</f>
        <v>175</v>
      </c>
      <c r="G39" s="1160">
        <f>ROUND(F39*51.39,0)</f>
        <v>8993</v>
      </c>
      <c r="H39" s="1162" t="s">
        <v>558</v>
      </c>
      <c r="I39" s="1167">
        <f>I40-I38</f>
        <v>208.31</v>
      </c>
      <c r="J39" s="1167">
        <v>230</v>
      </c>
      <c r="K39" s="1167">
        <v>9.4</v>
      </c>
      <c r="L39" s="1167">
        <f>ROUND(((F39*J38*50*12)+((G39-(F39*50))*J39*12))/10000000,2)</f>
        <v>1.38</v>
      </c>
      <c r="M39" s="1167">
        <f>ROUND(I39*1000000*K39/10000000,2)</f>
        <v>195.81</v>
      </c>
      <c r="N39" s="1167"/>
      <c r="O39" s="1167"/>
    </row>
    <row r="40" spans="1:18" ht="16.5" x14ac:dyDescent="0.2">
      <c r="A40" s="1197" t="s">
        <v>18</v>
      </c>
      <c r="B40" s="1164"/>
      <c r="C40" s="1165"/>
      <c r="D40" s="1166" t="s">
        <v>486</v>
      </c>
      <c r="E40" s="1169">
        <f>E41-E36</f>
        <v>177682</v>
      </c>
      <c r="F40" s="1169">
        <f>F41-F36</f>
        <v>174570</v>
      </c>
      <c r="G40" s="1165">
        <f>SUM(G38:G39)</f>
        <v>314184</v>
      </c>
      <c r="H40" s="1165"/>
      <c r="I40" s="1170">
        <f>I41-I36</f>
        <v>277.75</v>
      </c>
      <c r="J40" s="1170"/>
      <c r="K40" s="1170"/>
      <c r="L40" s="1170">
        <f>SUM(L38:L39)</f>
        <v>47.160000000000004</v>
      </c>
      <c r="M40" s="1170">
        <f>SUM(M38:M39)</f>
        <v>254.14</v>
      </c>
      <c r="N40" s="1170">
        <f>L40+M40</f>
        <v>301.3</v>
      </c>
      <c r="O40" s="1177">
        <f>ROUND(N40/I40*10,2)</f>
        <v>10.85</v>
      </c>
      <c r="R40" s="1224" t="e">
        <f>+N40-#REF!</f>
        <v>#REF!</v>
      </c>
    </row>
    <row r="41" spans="1:18" ht="16.5" x14ac:dyDescent="0.2">
      <c r="A41" s="1197" t="s">
        <v>18</v>
      </c>
      <c r="B41" s="1164">
        <v>4</v>
      </c>
      <c r="C41" s="1165" t="s">
        <v>557</v>
      </c>
      <c r="D41" s="1165"/>
      <c r="E41" s="1169">
        <f>Sales_FY24!$P$14</f>
        <v>1320467</v>
      </c>
      <c r="F41" s="1169">
        <f>Sales_FY24!$V$14</f>
        <v>1297336</v>
      </c>
      <c r="G41" s="1169">
        <f>G36+G40</f>
        <v>3200294</v>
      </c>
      <c r="H41" s="1165"/>
      <c r="I41" s="1170">
        <f>Sales_FY24!$Q$14</f>
        <v>2343.84</v>
      </c>
      <c r="J41" s="1170"/>
      <c r="K41" s="1170"/>
      <c r="L41" s="1170" t="e">
        <f>L36+L40</f>
        <v>#REF!</v>
      </c>
      <c r="M41" s="1170" t="e">
        <f>M36+M40</f>
        <v>#REF!</v>
      </c>
      <c r="N41" s="1170" t="e">
        <f>L41+M41</f>
        <v>#REF!</v>
      </c>
      <c r="O41" s="1177" t="e">
        <f>ROUND(N41/I41*10,2)</f>
        <v>#REF!</v>
      </c>
    </row>
    <row r="42" spans="1:18" ht="16.5" x14ac:dyDescent="0.2">
      <c r="A42" s="1197" t="s">
        <v>18</v>
      </c>
      <c r="B42" s="1163"/>
      <c r="C42" s="1163"/>
      <c r="D42" s="1163"/>
      <c r="E42" s="1163"/>
      <c r="F42" s="1163"/>
      <c r="G42" s="1163"/>
      <c r="H42" s="1163"/>
      <c r="I42" s="1176"/>
      <c r="J42" s="1176"/>
      <c r="K42" s="1176"/>
      <c r="L42" s="1176"/>
      <c r="M42" s="1176"/>
      <c r="N42" s="1176"/>
      <c r="O42" s="1176"/>
    </row>
    <row r="43" spans="1:18" ht="16.5" x14ac:dyDescent="0.2">
      <c r="A43" s="1197" t="s">
        <v>18</v>
      </c>
      <c r="B43" s="1159"/>
      <c r="C43" s="1160" t="s">
        <v>559</v>
      </c>
      <c r="D43" s="1160" t="s">
        <v>560</v>
      </c>
      <c r="E43" s="1160">
        <f>Sales_FY24!$P$15</f>
        <v>1043427</v>
      </c>
      <c r="F43" s="1160">
        <f>Sales_FY24!$V$15</f>
        <v>1028907</v>
      </c>
      <c r="G43" s="1160">
        <f>ROUND(F43*6.6,0)</f>
        <v>6790786</v>
      </c>
      <c r="H43" s="1162" t="s">
        <v>561</v>
      </c>
      <c r="I43" s="1167">
        <f>Sales_FY24!$Q$15</f>
        <v>6140.96</v>
      </c>
      <c r="J43" s="1167"/>
      <c r="K43" s="1167" t="e">
        <f>+#REF!</f>
        <v>#REF!</v>
      </c>
      <c r="L43" s="1167">
        <f>ROUND(G43*J43*12/10000000,2)</f>
        <v>0</v>
      </c>
      <c r="M43" s="1167" t="e">
        <f>ROUND(I43*1000000*K43/10000000,2)</f>
        <v>#REF!</v>
      </c>
      <c r="N43" s="1167" t="e">
        <f>L43+M43</f>
        <v>#REF!</v>
      </c>
      <c r="O43" s="1192" t="e">
        <f>ROUND(N43/I43*10,2)</f>
        <v>#REF!</v>
      </c>
    </row>
    <row r="44" spans="1:18" ht="16.5" x14ac:dyDescent="0.2">
      <c r="A44" s="1197" t="s">
        <v>18</v>
      </c>
      <c r="B44" s="1159"/>
      <c r="C44" s="1160" t="s">
        <v>562</v>
      </c>
      <c r="D44" s="1160" t="s">
        <v>563</v>
      </c>
      <c r="E44" s="1168">
        <f>Sales_FY24!$P$16</f>
        <v>670</v>
      </c>
      <c r="F44" s="1160">
        <f>Sales_FY24!$V$16</f>
        <v>650</v>
      </c>
      <c r="G44" s="1160">
        <f>ROUND(F44*16.1,0)</f>
        <v>10465</v>
      </c>
      <c r="H44" s="1162" t="s">
        <v>561</v>
      </c>
      <c r="I44" s="1167">
        <f>Sales_FY24!$Q$16</f>
        <v>4.26</v>
      </c>
      <c r="J44" s="1167" t="e">
        <f>+#REF!</f>
        <v>#REF!</v>
      </c>
      <c r="K44" s="1167" t="e">
        <f>+#REF!</f>
        <v>#REF!</v>
      </c>
      <c r="L44" s="1167" t="e">
        <f>ROUND(G44*J44*12/10000000,2)</f>
        <v>#REF!</v>
      </c>
      <c r="M44" s="1167" t="e">
        <f>ROUND(I44*1000000*K44/10000000,2)</f>
        <v>#REF!</v>
      </c>
      <c r="N44" s="1167" t="e">
        <f>L44+M44</f>
        <v>#REF!</v>
      </c>
      <c r="O44" s="1192" t="e">
        <f>ROUND(N44/I44*10,2)</f>
        <v>#REF!</v>
      </c>
    </row>
    <row r="45" spans="1:18" ht="16.5" x14ac:dyDescent="0.2">
      <c r="A45" s="1197" t="s">
        <v>18</v>
      </c>
      <c r="B45" s="1159"/>
      <c r="C45" s="1160" t="s">
        <v>564</v>
      </c>
      <c r="D45" s="1160" t="s">
        <v>565</v>
      </c>
      <c r="E45" s="1168">
        <f>Sales_FY24!$P$17</f>
        <v>2199</v>
      </c>
      <c r="F45" s="1160">
        <f>Sales_FY24!$V$17</f>
        <v>2139</v>
      </c>
      <c r="G45" s="1160">
        <f>ROUND(F45*8.5,0)</f>
        <v>18182</v>
      </c>
      <c r="H45" s="1162" t="s">
        <v>561</v>
      </c>
      <c r="I45" s="1167">
        <f>Sales_FY24!$Q$17</f>
        <v>5.98</v>
      </c>
      <c r="J45" s="1167" t="e">
        <f>+#REF!</f>
        <v>#REF!</v>
      </c>
      <c r="K45" s="1167" t="e">
        <f>+#REF!</f>
        <v>#REF!</v>
      </c>
      <c r="L45" s="1167" t="e">
        <f>ROUND(G45*J45*12/10000000,2)</f>
        <v>#REF!</v>
      </c>
      <c r="M45" s="1167" t="e">
        <f>ROUND(I45*1000000*K45/10000000,2)</f>
        <v>#REF!</v>
      </c>
      <c r="N45" s="1167" t="e">
        <f>L45+M45</f>
        <v>#REF!</v>
      </c>
      <c r="O45" s="1192" t="e">
        <f>ROUND(N45/I45*10,2)</f>
        <v>#REF!</v>
      </c>
    </row>
    <row r="46" spans="1:18" ht="16.5" x14ac:dyDescent="0.2">
      <c r="A46" s="1197" t="s">
        <v>18</v>
      </c>
      <c r="B46" s="1164">
        <v>5</v>
      </c>
      <c r="C46" s="1165" t="s">
        <v>566</v>
      </c>
      <c r="D46" s="1165"/>
      <c r="E46" s="1169">
        <f>SUM(E43:E45)</f>
        <v>1046296</v>
      </c>
      <c r="F46" s="1169">
        <f>SUM(F43:F45)</f>
        <v>1031696</v>
      </c>
      <c r="G46" s="1169">
        <f>SUM(G43:G45)</f>
        <v>6819433</v>
      </c>
      <c r="H46" s="1165"/>
      <c r="I46" s="1170">
        <f>SUM(I43:I45)</f>
        <v>6151.2</v>
      </c>
      <c r="J46" s="1170"/>
      <c r="K46" s="1170"/>
      <c r="L46" s="1170" t="e">
        <f>SUM(L43:L45)</f>
        <v>#REF!</v>
      </c>
      <c r="M46" s="1170" t="e">
        <f>SUM(M43:M45)</f>
        <v>#REF!</v>
      </c>
      <c r="N46" s="1170" t="e">
        <f>SUM(N43:N45)</f>
        <v>#REF!</v>
      </c>
      <c r="O46" s="1177" t="e">
        <f>ROUND(N46/I46*10,2)</f>
        <v>#REF!</v>
      </c>
    </row>
    <row r="47" spans="1:18" ht="16.5" x14ac:dyDescent="0.2">
      <c r="A47" s="1197" t="s">
        <v>18</v>
      </c>
      <c r="B47" s="1163"/>
      <c r="C47" s="1163"/>
      <c r="D47" s="1163"/>
      <c r="E47" s="1163"/>
      <c r="F47" s="1163"/>
      <c r="G47" s="1163"/>
      <c r="H47" s="1163"/>
      <c r="I47" s="1176"/>
      <c r="J47" s="1176"/>
      <c r="K47" s="1176"/>
      <c r="L47" s="1176"/>
      <c r="M47" s="1176"/>
      <c r="N47" s="1176"/>
      <c r="O47" s="1176"/>
    </row>
    <row r="48" spans="1:18" ht="16.5" x14ac:dyDescent="0.2">
      <c r="A48" s="1197" t="s">
        <v>18</v>
      </c>
      <c r="B48" s="1159"/>
      <c r="C48" s="1160" t="s">
        <v>9</v>
      </c>
      <c r="D48" s="1160" t="s">
        <v>568</v>
      </c>
      <c r="E48" s="1160">
        <f>ROUND(E53*28.12%,0)</f>
        <v>33639</v>
      </c>
      <c r="F48" s="1160">
        <f>ROUND(F53*28.12%,0)</f>
        <v>33071</v>
      </c>
      <c r="G48" s="1160">
        <f>ROUND(F48*2.50003,0)</f>
        <v>82678</v>
      </c>
      <c r="H48" s="1162" t="s">
        <v>573</v>
      </c>
      <c r="I48" s="1167">
        <f>ROUND(I53*18%,2)</f>
        <v>164.13</v>
      </c>
      <c r="J48" s="1167" t="e">
        <f>+#REF!</f>
        <v>#REF!</v>
      </c>
      <c r="K48" s="1167" t="e">
        <f>+#REF!</f>
        <v>#REF!</v>
      </c>
      <c r="L48" s="1167" t="e">
        <f>ROUND(G48*J48*12/10000000,2)</f>
        <v>#REF!</v>
      </c>
      <c r="M48" s="1167" t="e">
        <f>ROUND(I48*1000000*K48/10000000,2)</f>
        <v>#REF!</v>
      </c>
      <c r="N48" s="1167"/>
      <c r="O48" s="1167"/>
    </row>
    <row r="49" spans="1:18" ht="16.5" x14ac:dyDescent="0.2">
      <c r="A49" s="1197" t="s">
        <v>18</v>
      </c>
      <c r="B49" s="1159"/>
      <c r="C49" s="1160"/>
      <c r="D49" s="1160" t="s">
        <v>569</v>
      </c>
      <c r="E49" s="1160">
        <f>ROUND(E53*58.08%,0)</f>
        <v>69479</v>
      </c>
      <c r="F49" s="1160">
        <f>ROUND(F53*58.08%,0)</f>
        <v>68307</v>
      </c>
      <c r="G49" s="1160">
        <f>ROUND(F49*10.15,0)</f>
        <v>693316</v>
      </c>
      <c r="H49" s="1162" t="s">
        <v>576</v>
      </c>
      <c r="I49" s="1167">
        <f>I53-I48</f>
        <v>747.72</v>
      </c>
      <c r="J49" s="1167" t="e">
        <f>+#REF!</f>
        <v>#REF!</v>
      </c>
      <c r="K49" s="1167" t="e">
        <f>+#REF!</f>
        <v>#REF!</v>
      </c>
      <c r="L49" s="1167" t="e">
        <f>ROUND(G49*J49*12/10000000,2)</f>
        <v>#REF!</v>
      </c>
      <c r="M49" s="1167" t="e">
        <f>ROUND(I49*1000000*K49/10000000,2)</f>
        <v>#REF!</v>
      </c>
      <c r="N49" s="1167"/>
      <c r="O49" s="1167"/>
    </row>
    <row r="50" spans="1:18" ht="16.5" x14ac:dyDescent="0.2">
      <c r="A50" s="1197" t="s">
        <v>18</v>
      </c>
      <c r="B50" s="1159"/>
      <c r="C50" s="1160"/>
      <c r="D50" s="1160" t="s">
        <v>570</v>
      </c>
      <c r="E50" s="1160">
        <f>ROUND(E53*12.264%,0)</f>
        <v>14671</v>
      </c>
      <c r="F50" s="1160">
        <f>ROUND(F53*12.264%,0)</f>
        <v>14423</v>
      </c>
      <c r="G50" s="1160">
        <f>ROUND(F50*45.92,0)</f>
        <v>662304</v>
      </c>
      <c r="H50" s="1162"/>
      <c r="I50" s="1167"/>
      <c r="J50" s="1167" t="e">
        <f>+#REF!</f>
        <v>#REF!</v>
      </c>
      <c r="K50" s="1167"/>
      <c r="L50" s="1167" t="e">
        <f>ROUND(G50*J50*12/10000000,2)</f>
        <v>#REF!</v>
      </c>
      <c r="M50" s="1167"/>
      <c r="N50" s="1167"/>
      <c r="O50" s="1167"/>
    </row>
    <row r="51" spans="1:18" ht="16.5" x14ac:dyDescent="0.2">
      <c r="A51" s="1197" t="s">
        <v>18</v>
      </c>
      <c r="B51" s="1159"/>
      <c r="C51" s="1160"/>
      <c r="D51" s="1160" t="s">
        <v>571</v>
      </c>
      <c r="E51" s="1160">
        <f>ROUND(E53*1.5258%,0)</f>
        <v>1825</v>
      </c>
      <c r="F51" s="1160">
        <f>ROUND(F53*1.5258%,0)</f>
        <v>1794</v>
      </c>
      <c r="G51" s="1160">
        <f>ROUND(F51*83.45,0)</f>
        <v>149709</v>
      </c>
      <c r="H51" s="1162"/>
      <c r="I51" s="1167"/>
      <c r="J51" s="1167" t="e">
        <f>+#REF!</f>
        <v>#REF!</v>
      </c>
      <c r="K51" s="1167"/>
      <c r="L51" s="1167" t="e">
        <f>ROUND(G51*J51*12/10000000,2)</f>
        <v>#REF!</v>
      </c>
      <c r="M51" s="1167"/>
      <c r="N51" s="1167"/>
      <c r="O51" s="1167"/>
    </row>
    <row r="52" spans="1:18" ht="16.5" x14ac:dyDescent="0.2">
      <c r="A52" s="1197" t="s">
        <v>18</v>
      </c>
      <c r="B52" s="1159"/>
      <c r="C52" s="1160"/>
      <c r="D52" s="1160" t="s">
        <v>572</v>
      </c>
      <c r="E52" s="1160">
        <f>E53-E48-E49-E50-E51</f>
        <v>12</v>
      </c>
      <c r="F52" s="1160">
        <f>F53-F48-F49-F50-F51</f>
        <v>13</v>
      </c>
      <c r="G52" s="1160">
        <f>ROUND(F52*170.75,0)</f>
        <v>2220</v>
      </c>
      <c r="H52" s="1162"/>
      <c r="I52" s="1167"/>
      <c r="J52" s="1167" t="e">
        <f>+#REF!</f>
        <v>#REF!</v>
      </c>
      <c r="K52" s="1167"/>
      <c r="L52" s="1167" t="e">
        <f>ROUND(G52*J52*12/10000000,2)</f>
        <v>#REF!</v>
      </c>
      <c r="M52" s="1167"/>
      <c r="N52" s="1167"/>
      <c r="O52" s="1167"/>
    </row>
    <row r="53" spans="1:18" ht="16.5" x14ac:dyDescent="0.2">
      <c r="A53" s="1197" t="s">
        <v>18</v>
      </c>
      <c r="B53" s="1164"/>
      <c r="C53" s="1165"/>
      <c r="D53" s="1166" t="s">
        <v>486</v>
      </c>
      <c r="E53" s="1165">
        <f>ROUND(E61*47.78%,0)</f>
        <v>119626</v>
      </c>
      <c r="F53" s="1165">
        <f>ROUND(F61*47.78%,0)</f>
        <v>117608</v>
      </c>
      <c r="G53" s="1165">
        <f>SUM(G48:G52)</f>
        <v>1590227</v>
      </c>
      <c r="H53" s="1165"/>
      <c r="I53" s="1170">
        <f>ROUND(I61*67.23%,2)</f>
        <v>911.85</v>
      </c>
      <c r="J53" s="1170"/>
      <c r="K53" s="1170"/>
      <c r="L53" s="1170" t="e">
        <f>SUM(L48:L52)</f>
        <v>#REF!</v>
      </c>
      <c r="M53" s="1170" t="e">
        <f>SUM(M48:M52)</f>
        <v>#REF!</v>
      </c>
      <c r="N53" s="1170" t="e">
        <f>L53+M53</f>
        <v>#REF!</v>
      </c>
      <c r="O53" s="1177" t="e">
        <f>ROUND(N53/I53*10,2)</f>
        <v>#REF!</v>
      </c>
      <c r="R53" s="1224" t="e">
        <f>+N53-#REF!</f>
        <v>#REF!</v>
      </c>
    </row>
    <row r="54" spans="1:18" ht="16.5" x14ac:dyDescent="0.2">
      <c r="A54" s="1197" t="s">
        <v>18</v>
      </c>
      <c r="B54" s="1163"/>
      <c r="C54" s="1163"/>
      <c r="D54" s="1163"/>
      <c r="E54" s="1163"/>
      <c r="F54" s="1163"/>
      <c r="G54" s="1163"/>
      <c r="H54" s="1163"/>
      <c r="I54" s="1176"/>
      <c r="J54" s="1176"/>
      <c r="K54" s="1176"/>
      <c r="L54" s="1176"/>
      <c r="M54" s="1176"/>
      <c r="N54" s="1176"/>
      <c r="O54" s="1176"/>
    </row>
    <row r="55" spans="1:18" ht="16.5" x14ac:dyDescent="0.2">
      <c r="A55" s="1197" t="s">
        <v>18</v>
      </c>
      <c r="B55" s="1159"/>
      <c r="C55" s="1160" t="s">
        <v>11</v>
      </c>
      <c r="D55" s="1160" t="s">
        <v>568</v>
      </c>
      <c r="E55" s="1160">
        <f>ROUND(E60*49.592%,0)</f>
        <v>64838</v>
      </c>
      <c r="F55" s="1160">
        <f>ROUND(F60*49.592%,0)</f>
        <v>63744</v>
      </c>
      <c r="G55" s="1160">
        <f>ROUND(F55*1.75,0)</f>
        <v>111552</v>
      </c>
      <c r="H55" s="1162" t="s">
        <v>573</v>
      </c>
      <c r="I55" s="1167">
        <f>ROUND(I60*20%,2)</f>
        <v>88.89</v>
      </c>
      <c r="J55" s="1167">
        <v>90</v>
      </c>
      <c r="K55" s="1167">
        <v>6.05</v>
      </c>
      <c r="L55" s="1167">
        <f>ROUND(G55*J55*12/10000000,2)</f>
        <v>12.05</v>
      </c>
      <c r="M55" s="1167">
        <f>ROUND(I55*1000000*K55/10000000,2)</f>
        <v>53.78</v>
      </c>
      <c r="N55" s="1167"/>
      <c r="O55" s="1167"/>
    </row>
    <row r="56" spans="1:18" ht="16.5" x14ac:dyDescent="0.2">
      <c r="A56" s="1197" t="s">
        <v>18</v>
      </c>
      <c r="B56" s="1159"/>
      <c r="C56" s="1160"/>
      <c r="D56" s="1160" t="s">
        <v>569</v>
      </c>
      <c r="E56" s="1160">
        <f>ROUND(E60*43.795%,0)</f>
        <v>57258</v>
      </c>
      <c r="F56" s="1160">
        <f>ROUND(F60*43.795%,0)</f>
        <v>56293</v>
      </c>
      <c r="G56" s="1160">
        <f>ROUND(F56*10.5,0)</f>
        <v>591077</v>
      </c>
      <c r="H56" s="1162" t="s">
        <v>574</v>
      </c>
      <c r="I56" s="1167">
        <f>ROUND(I60*15%,2)</f>
        <v>66.67</v>
      </c>
      <c r="J56" s="1167">
        <v>100</v>
      </c>
      <c r="K56" s="1167">
        <v>7.35</v>
      </c>
      <c r="L56" s="1167">
        <f>ROUND(G56*J56*12/10000000,2)</f>
        <v>70.930000000000007</v>
      </c>
      <c r="M56" s="1167">
        <f>ROUND(I56*1000000*K56/10000000,2)</f>
        <v>49</v>
      </c>
      <c r="N56" s="1167"/>
      <c r="O56" s="1167"/>
    </row>
    <row r="57" spans="1:18" ht="16.5" x14ac:dyDescent="0.2">
      <c r="A57" s="1197" t="s">
        <v>18</v>
      </c>
      <c r="B57" s="1159"/>
      <c r="C57" s="1160"/>
      <c r="D57" s="1160" t="s">
        <v>570</v>
      </c>
      <c r="E57" s="1160">
        <f>ROUND(E60*6.1035%,0)</f>
        <v>7980</v>
      </c>
      <c r="F57" s="1160">
        <f>ROUND(F60*6.1035%,0)</f>
        <v>7845</v>
      </c>
      <c r="G57" s="1160">
        <f>ROUND(F57*46,0)</f>
        <v>360870</v>
      </c>
      <c r="H57" s="1162" t="s">
        <v>575</v>
      </c>
      <c r="I57" s="1167">
        <f>I60-I55-I56</f>
        <v>288.89999999999992</v>
      </c>
      <c r="J57" s="1167">
        <v>125</v>
      </c>
      <c r="K57" s="1167">
        <v>7.35</v>
      </c>
      <c r="L57" s="1167">
        <f>ROUND(G57*J57*12/10000000,2)</f>
        <v>54.13</v>
      </c>
      <c r="M57" s="1167">
        <f>ROUND(I57*1000000*K57/10000000,2)</f>
        <v>212.34</v>
      </c>
      <c r="N57" s="1167"/>
      <c r="O57" s="1167"/>
    </row>
    <row r="58" spans="1:18" ht="16.5" x14ac:dyDescent="0.2">
      <c r="A58" s="1197" t="s">
        <v>18</v>
      </c>
      <c r="B58" s="1159"/>
      <c r="C58" s="1160"/>
      <c r="D58" s="1160" t="s">
        <v>571</v>
      </c>
      <c r="E58" s="1160">
        <f>ROUND(E60*0.43948%,0)</f>
        <v>575</v>
      </c>
      <c r="F58" s="1160">
        <f>ROUND(F60*0.43948%,0)</f>
        <v>565</v>
      </c>
      <c r="G58" s="1160">
        <f>ROUND(F58*72,0)</f>
        <v>40680</v>
      </c>
      <c r="H58" s="1162"/>
      <c r="I58" s="1167"/>
      <c r="J58" s="1167">
        <v>190</v>
      </c>
      <c r="K58" s="1167"/>
      <c r="L58" s="1167">
        <f>ROUND(G58*J58*12/10000000,2)</f>
        <v>9.2799999999999994</v>
      </c>
      <c r="M58" s="1167"/>
      <c r="N58" s="1167"/>
      <c r="O58" s="1167"/>
    </row>
    <row r="59" spans="1:18" ht="16.5" x14ac:dyDescent="0.2">
      <c r="A59" s="1197" t="s">
        <v>18</v>
      </c>
      <c r="B59" s="1159"/>
      <c r="C59" s="1160"/>
      <c r="D59" s="1160" t="s">
        <v>572</v>
      </c>
      <c r="E59" s="1160">
        <f>E60-E55-E56-E57-E58</f>
        <v>91</v>
      </c>
      <c r="F59" s="1160">
        <f>F60-F55-F56-F57-F58</f>
        <v>90</v>
      </c>
      <c r="G59" s="1160">
        <f>ROUND(F59*126,0)</f>
        <v>11340</v>
      </c>
      <c r="H59" s="1162"/>
      <c r="I59" s="1167"/>
      <c r="J59" s="1167">
        <v>225</v>
      </c>
      <c r="K59" s="1167"/>
      <c r="L59" s="1167">
        <f>ROUND(G59*J59*12/10000000,2)</f>
        <v>3.06</v>
      </c>
      <c r="M59" s="1167"/>
      <c r="N59" s="1167"/>
      <c r="O59" s="1167"/>
    </row>
    <row r="60" spans="1:18" ht="16.5" x14ac:dyDescent="0.2">
      <c r="A60" s="1197" t="s">
        <v>18</v>
      </c>
      <c r="B60" s="1164"/>
      <c r="C60" s="1165"/>
      <c r="D60" s="1166" t="s">
        <v>486</v>
      </c>
      <c r="E60" s="1169">
        <f>E61-E53</f>
        <v>130742</v>
      </c>
      <c r="F60" s="1169">
        <f>F61-F53</f>
        <v>128537</v>
      </c>
      <c r="G60" s="1165">
        <f>SUM(G55:G59)</f>
        <v>1115519</v>
      </c>
      <c r="H60" s="1165"/>
      <c r="I60" s="1170">
        <f>I61-I53</f>
        <v>444.45999999999992</v>
      </c>
      <c r="J60" s="1170"/>
      <c r="K60" s="1170"/>
      <c r="L60" s="1170">
        <f>SUM(L55:L59)</f>
        <v>149.45000000000002</v>
      </c>
      <c r="M60" s="1170">
        <f>SUM(M55:M59)</f>
        <v>315.12</v>
      </c>
      <c r="N60" s="1170">
        <f>L60+M60</f>
        <v>464.57000000000005</v>
      </c>
      <c r="O60" s="1177">
        <f>ROUND(N60/I60*10,2)</f>
        <v>10.45</v>
      </c>
      <c r="R60" s="1224" t="e">
        <f>+N60-#REF!</f>
        <v>#REF!</v>
      </c>
    </row>
    <row r="61" spans="1:18" ht="16.5" x14ac:dyDescent="0.2">
      <c r="A61" s="1197" t="s">
        <v>18</v>
      </c>
      <c r="B61" s="1164">
        <v>6</v>
      </c>
      <c r="C61" s="1165" t="s">
        <v>567</v>
      </c>
      <c r="D61" s="1165"/>
      <c r="E61" s="1169">
        <f>Sales_FY24!$P$18</f>
        <v>250368</v>
      </c>
      <c r="F61" s="1169">
        <f>Sales_FY24!$V$18</f>
        <v>246145</v>
      </c>
      <c r="G61" s="1169">
        <f>G53+G60</f>
        <v>2705746</v>
      </c>
      <c r="H61" s="1165"/>
      <c r="I61" s="1170">
        <f>Sales_FY24!$Q$18</f>
        <v>1356.31</v>
      </c>
      <c r="J61" s="1170"/>
      <c r="K61" s="1170"/>
      <c r="L61" s="1170" t="e">
        <f>L53+L60</f>
        <v>#REF!</v>
      </c>
      <c r="M61" s="1170" t="e">
        <f>M53+M60</f>
        <v>#REF!</v>
      </c>
      <c r="N61" s="1170" t="e">
        <f>L61+M61</f>
        <v>#REF!</v>
      </c>
      <c r="O61" s="1177" t="e">
        <f>ROUND(N61/I61*10,2)</f>
        <v>#REF!</v>
      </c>
    </row>
    <row r="62" spans="1:18" ht="16.5" x14ac:dyDescent="0.2">
      <c r="A62" s="1197" t="s">
        <v>18</v>
      </c>
      <c r="B62" s="1163"/>
      <c r="C62" s="1163"/>
      <c r="D62" s="1163"/>
      <c r="E62" s="1163"/>
      <c r="F62" s="1163"/>
      <c r="G62" s="1163"/>
      <c r="H62" s="1163"/>
      <c r="I62" s="1176"/>
      <c r="J62" s="1176"/>
      <c r="K62" s="1176"/>
      <c r="L62" s="1176"/>
      <c r="M62" s="1176"/>
      <c r="N62" s="1176"/>
      <c r="O62" s="1176"/>
    </row>
    <row r="63" spans="1:18" ht="16.5" x14ac:dyDescent="0.2">
      <c r="A63" s="1197" t="s">
        <v>18</v>
      </c>
      <c r="B63" s="1159"/>
      <c r="C63" s="1160" t="s">
        <v>512</v>
      </c>
      <c r="D63" s="1160" t="s">
        <v>578</v>
      </c>
      <c r="E63" s="1168">
        <f>Sales_FY24!$P$19</f>
        <v>97187</v>
      </c>
      <c r="F63" s="1168">
        <f>Sales_FY24!$V$19</f>
        <v>95247</v>
      </c>
      <c r="G63" s="1160">
        <f>ROUND(F63*19.5,0)</f>
        <v>1857317</v>
      </c>
      <c r="H63" s="1162" t="s">
        <v>561</v>
      </c>
      <c r="I63" s="1167">
        <f>Sales_FY24!$Q$19</f>
        <v>1626.41</v>
      </c>
      <c r="J63" s="1167" t="e">
        <f>+#REF!</f>
        <v>#REF!</v>
      </c>
      <c r="K63" s="1167" t="e">
        <f>+#REF!</f>
        <v>#REF!</v>
      </c>
      <c r="L63" s="1167" t="e">
        <f t="shared" ref="L63:L69" si="0">ROUND(G63*J63*12/10000000,2)</f>
        <v>#REF!</v>
      </c>
      <c r="M63" s="1167" t="e">
        <f t="shared" ref="M63:M69" si="1">ROUND(I63*1000000*K63/10000000,2)</f>
        <v>#REF!</v>
      </c>
      <c r="N63" s="1167" t="e">
        <f>L63+M63</f>
        <v>#REF!</v>
      </c>
      <c r="O63" s="1192"/>
    </row>
    <row r="64" spans="1:18" ht="16.5" x14ac:dyDescent="0.2">
      <c r="A64" s="1197" t="s">
        <v>18</v>
      </c>
      <c r="B64" s="1159"/>
      <c r="C64" s="1160"/>
      <c r="D64" s="1160" t="s">
        <v>579</v>
      </c>
      <c r="E64" s="1168"/>
      <c r="F64" s="1168"/>
      <c r="G64" s="1160"/>
      <c r="H64" s="1162"/>
      <c r="I64" s="1167"/>
      <c r="J64" s="1167" t="e">
        <f>+#REF!</f>
        <v>#REF!</v>
      </c>
      <c r="K64" s="1167"/>
      <c r="L64" s="1167"/>
      <c r="M64" s="1167"/>
      <c r="N64" s="1167"/>
      <c r="O64" s="1192"/>
    </row>
    <row r="65" spans="1:15" ht="16.5" x14ac:dyDescent="0.2">
      <c r="A65" s="1197" t="s">
        <v>18</v>
      </c>
      <c r="B65" s="1164"/>
      <c r="C65" s="1165"/>
      <c r="D65" s="1166" t="s">
        <v>486</v>
      </c>
      <c r="E65" s="1169">
        <f>SUM(E63:E64)</f>
        <v>97187</v>
      </c>
      <c r="F65" s="1169">
        <f>SUM(F63:F64)</f>
        <v>95247</v>
      </c>
      <c r="G65" s="1169">
        <f>SUM(G63:G64)</f>
        <v>1857317</v>
      </c>
      <c r="H65" s="1165"/>
      <c r="I65" s="1170">
        <f>SUM(I63:I64)</f>
        <v>1626.41</v>
      </c>
      <c r="J65" s="1170"/>
      <c r="K65" s="1170"/>
      <c r="L65" s="1170" t="e">
        <f>SUM(L63:L64)</f>
        <v>#REF!</v>
      </c>
      <c r="M65" s="1170" t="e">
        <f>SUM(M63:M64)</f>
        <v>#REF!</v>
      </c>
      <c r="N65" s="1170" t="e">
        <f>L65+M65</f>
        <v>#REF!</v>
      </c>
      <c r="O65" s="1177" t="e">
        <f>ROUND(N65/I65*10,2)</f>
        <v>#REF!</v>
      </c>
    </row>
    <row r="66" spans="1:15" ht="16.5" x14ac:dyDescent="0.2">
      <c r="A66" s="1197" t="s">
        <v>18</v>
      </c>
      <c r="B66" s="1163"/>
      <c r="C66" s="1163"/>
      <c r="D66" s="1163"/>
      <c r="E66" s="1163"/>
      <c r="F66" s="1163"/>
      <c r="G66" s="1163"/>
      <c r="H66" s="1163"/>
      <c r="I66" s="1176"/>
      <c r="J66" s="1176"/>
      <c r="K66" s="1176"/>
      <c r="L66" s="1176"/>
      <c r="M66" s="1176"/>
      <c r="N66" s="1176"/>
      <c r="O66" s="1176"/>
    </row>
    <row r="67" spans="1:15" ht="16.5" x14ac:dyDescent="0.2">
      <c r="A67" s="1197" t="s">
        <v>18</v>
      </c>
      <c r="B67" s="1159"/>
      <c r="C67" s="1160" t="s">
        <v>513</v>
      </c>
      <c r="D67" s="1160" t="s">
        <v>580</v>
      </c>
      <c r="E67" s="1168">
        <f>Sales_FY24!$P$20</f>
        <v>88814</v>
      </c>
      <c r="F67" s="1168">
        <f>Sales_FY24!$V$20</f>
        <v>86076</v>
      </c>
      <c r="G67" s="1160">
        <f>ROUND(F67*6.5,0)</f>
        <v>559494</v>
      </c>
      <c r="H67" s="1162" t="s">
        <v>561</v>
      </c>
      <c r="I67" s="1167">
        <f>Sales_FY24!$Q$20</f>
        <v>676.6</v>
      </c>
      <c r="J67" s="1167" t="e">
        <f>+#REF!</f>
        <v>#REF!</v>
      </c>
      <c r="K67" s="1167" t="e">
        <f>+#REF!</f>
        <v>#REF!</v>
      </c>
      <c r="L67" s="1167" t="e">
        <f t="shared" si="0"/>
        <v>#REF!</v>
      </c>
      <c r="M67" s="1167" t="e">
        <f t="shared" si="1"/>
        <v>#REF!</v>
      </c>
      <c r="N67" s="1167" t="e">
        <f>L67+M67</f>
        <v>#REF!</v>
      </c>
      <c r="O67" s="1192" t="e">
        <f>ROUND(N67/I67*10,2)</f>
        <v>#REF!</v>
      </c>
    </row>
    <row r="68" spans="1:15" ht="16.5" x14ac:dyDescent="0.2">
      <c r="A68" s="1197" t="s">
        <v>18</v>
      </c>
      <c r="B68" s="1163"/>
      <c r="C68" s="1163"/>
      <c r="D68" s="1163"/>
      <c r="E68" s="1163"/>
      <c r="F68" s="1163"/>
      <c r="G68" s="1163"/>
      <c r="H68" s="1163"/>
      <c r="I68" s="1176"/>
      <c r="J68" s="1176"/>
      <c r="K68" s="1176"/>
      <c r="L68" s="1176"/>
      <c r="M68" s="1176"/>
      <c r="N68" s="1176"/>
      <c r="O68" s="1176"/>
    </row>
    <row r="69" spans="1:15" ht="16.5" x14ac:dyDescent="0.2">
      <c r="A69" s="1197" t="s">
        <v>18</v>
      </c>
      <c r="B69" s="1159"/>
      <c r="C69" s="1160" t="s">
        <v>526</v>
      </c>
      <c r="D69" s="1160" t="s">
        <v>581</v>
      </c>
      <c r="E69" s="1168">
        <f>Sales_FY24!$P$21</f>
        <v>510</v>
      </c>
      <c r="F69" s="1168">
        <f>Sales_FY24!$V$21</f>
        <v>383</v>
      </c>
      <c r="G69" s="1160">
        <f>ROUND(F69*6.21,0)</f>
        <v>2378</v>
      </c>
      <c r="H69" s="1162" t="s">
        <v>561</v>
      </c>
      <c r="I69" s="1167">
        <f>Sales_FY24!$Q$21</f>
        <v>11.72</v>
      </c>
      <c r="J69" s="1167" t="e">
        <f>+#REF!</f>
        <v>#REF!</v>
      </c>
      <c r="K69" s="1167" t="e">
        <f>+#REF!</f>
        <v>#REF!</v>
      </c>
      <c r="L69" s="1167" t="e">
        <f t="shared" si="0"/>
        <v>#REF!</v>
      </c>
      <c r="M69" s="1167" t="e">
        <f t="shared" si="1"/>
        <v>#REF!</v>
      </c>
      <c r="N69" s="1167" t="e">
        <f>L69+M69</f>
        <v>#REF!</v>
      </c>
      <c r="O69" s="1192"/>
    </row>
    <row r="70" spans="1:15" ht="16.5" x14ac:dyDescent="0.2">
      <c r="A70" s="1197" t="s">
        <v>18</v>
      </c>
      <c r="B70" s="1159"/>
      <c r="C70" s="1160"/>
      <c r="D70" s="1160" t="s">
        <v>582</v>
      </c>
      <c r="E70" s="1168"/>
      <c r="F70" s="1168"/>
      <c r="G70" s="1160"/>
      <c r="H70" s="1162"/>
      <c r="I70" s="1167"/>
      <c r="J70" s="1167" t="e">
        <f>+#REF!</f>
        <v>#REF!</v>
      </c>
      <c r="K70" s="1167"/>
      <c r="L70" s="1167"/>
      <c r="M70" s="1167"/>
      <c r="N70" s="1167"/>
      <c r="O70" s="1192"/>
    </row>
    <row r="71" spans="1:15" ht="16.5" x14ac:dyDescent="0.2">
      <c r="A71" s="1197" t="s">
        <v>18</v>
      </c>
      <c r="B71" s="1159"/>
      <c r="C71" s="1160"/>
      <c r="D71" s="1160" t="s">
        <v>583</v>
      </c>
      <c r="E71" s="1168"/>
      <c r="F71" s="1168"/>
      <c r="G71" s="1160"/>
      <c r="H71" s="1162"/>
      <c r="I71" s="1167"/>
      <c r="J71" s="1167" t="e">
        <f>+#REF!</f>
        <v>#REF!</v>
      </c>
      <c r="K71" s="1167"/>
      <c r="L71" s="1167"/>
      <c r="M71" s="1167"/>
      <c r="N71" s="1167"/>
      <c r="O71" s="1192"/>
    </row>
    <row r="72" spans="1:15" ht="16.5" x14ac:dyDescent="0.2">
      <c r="A72" s="1197" t="s">
        <v>18</v>
      </c>
      <c r="B72" s="1164"/>
      <c r="C72" s="1165"/>
      <c r="D72" s="1166" t="s">
        <v>486</v>
      </c>
      <c r="E72" s="1169">
        <f>SUM(E69:E71)</f>
        <v>510</v>
      </c>
      <c r="F72" s="1169">
        <f>SUM(F69:F71)</f>
        <v>383</v>
      </c>
      <c r="G72" s="1169">
        <f>SUM(G69:G71)</f>
        <v>2378</v>
      </c>
      <c r="H72" s="1165"/>
      <c r="I72" s="1170">
        <f>SUM(I69:I71)</f>
        <v>11.72</v>
      </c>
      <c r="J72" s="1170"/>
      <c r="K72" s="1170"/>
      <c r="L72" s="1170" t="e">
        <f>SUM(L69:L71)</f>
        <v>#REF!</v>
      </c>
      <c r="M72" s="1170" t="e">
        <f>SUM(M69:M71)</f>
        <v>#REF!</v>
      </c>
      <c r="N72" s="1170" t="e">
        <f>L72+M72</f>
        <v>#REF!</v>
      </c>
      <c r="O72" s="1177" t="e">
        <f>ROUND(N72/I72*10,2)</f>
        <v>#REF!</v>
      </c>
    </row>
    <row r="73" spans="1:15" ht="16.5" x14ac:dyDescent="0.2">
      <c r="A73" s="1197" t="s">
        <v>18</v>
      </c>
      <c r="B73" s="1164">
        <v>7</v>
      </c>
      <c r="C73" s="1165" t="s">
        <v>577</v>
      </c>
      <c r="D73" s="1165"/>
      <c r="E73" s="1169">
        <f>E65+E67+E72</f>
        <v>186511</v>
      </c>
      <c r="F73" s="1169">
        <f>F65+F67+F72</f>
        <v>181706</v>
      </c>
      <c r="G73" s="1169">
        <f>G65+G67+G72</f>
        <v>2419189</v>
      </c>
      <c r="H73" s="1165"/>
      <c r="I73" s="1170">
        <f>I65+I67+I72</f>
        <v>2314.73</v>
      </c>
      <c r="J73" s="1170"/>
      <c r="K73" s="1170"/>
      <c r="L73" s="1170" t="e">
        <f>L65+L67+L72</f>
        <v>#REF!</v>
      </c>
      <c r="M73" s="1170" t="e">
        <f>M65+M67+M72</f>
        <v>#REF!</v>
      </c>
      <c r="N73" s="1170" t="e">
        <f>L73+M73</f>
        <v>#REF!</v>
      </c>
      <c r="O73" s="1177" t="e">
        <f>ROUND(N73/I73*10,2)</f>
        <v>#REF!</v>
      </c>
    </row>
    <row r="74" spans="1:15" ht="16.5" x14ac:dyDescent="0.2">
      <c r="A74" s="1197" t="s">
        <v>18</v>
      </c>
      <c r="B74" s="1163"/>
      <c r="C74" s="1163"/>
      <c r="D74" s="1163"/>
      <c r="E74" s="1163"/>
      <c r="F74" s="1163"/>
      <c r="G74" s="1163"/>
      <c r="H74" s="1163"/>
      <c r="I74" s="1176"/>
      <c r="J74" s="1176"/>
      <c r="K74" s="1176"/>
      <c r="L74" s="1176"/>
      <c r="M74" s="1176"/>
      <c r="N74" s="1176"/>
      <c r="O74" s="1176"/>
    </row>
    <row r="75" spans="1:15" ht="16.5" x14ac:dyDescent="0.2">
      <c r="A75" s="1197" t="s">
        <v>18</v>
      </c>
      <c r="B75" s="1159"/>
      <c r="C75" s="1160" t="s">
        <v>584</v>
      </c>
      <c r="D75" s="1160" t="s">
        <v>586</v>
      </c>
      <c r="E75" s="1160">
        <f>ROUND(E77*99.54274%,0)</f>
        <v>1078507</v>
      </c>
      <c r="F75" s="1160">
        <f>ROUND(F77*99.54274%,0)</f>
        <v>1034476</v>
      </c>
      <c r="G75" s="1160">
        <f>ROUND(F75*6.355,0)</f>
        <v>6574095</v>
      </c>
      <c r="H75" s="1162" t="s">
        <v>561</v>
      </c>
      <c r="I75" s="1167">
        <f>ROUND(I77*99.62112%,2)</f>
        <v>345.23</v>
      </c>
      <c r="J75" s="1167" t="e">
        <f>+#REF!</f>
        <v>#REF!</v>
      </c>
      <c r="K75" s="1167" t="e">
        <f>+#REF!</f>
        <v>#REF!</v>
      </c>
      <c r="L75" s="1167" t="e">
        <f>ROUND(G75*J75*4/10000000,2)</f>
        <v>#REF!</v>
      </c>
      <c r="M75" s="1198" t="e">
        <f>ROUND(I75*1000000*K75/10000000,2)-ROUND(I75*1000000*K75/10000000,2)</f>
        <v>#REF!</v>
      </c>
      <c r="N75" s="1167" t="e">
        <f>L75+M75</f>
        <v>#REF!</v>
      </c>
      <c r="O75" s="1192"/>
    </row>
    <row r="76" spans="1:15" ht="16.5" x14ac:dyDescent="0.2">
      <c r="A76" s="1197" t="s">
        <v>18</v>
      </c>
      <c r="B76" s="1159"/>
      <c r="C76" s="1160" t="s">
        <v>585</v>
      </c>
      <c r="D76" s="1160" t="s">
        <v>586</v>
      </c>
      <c r="E76" s="1168">
        <f>E77-E75</f>
        <v>4954</v>
      </c>
      <c r="F76" s="1168">
        <f>F77-F75</f>
        <v>4752</v>
      </c>
      <c r="G76" s="1160">
        <f>ROUND(F76*6.35,0)</f>
        <v>30175</v>
      </c>
      <c r="H76" s="1162" t="s">
        <v>561</v>
      </c>
      <c r="I76" s="1167">
        <f>I77-I75</f>
        <v>1.3100000000000023</v>
      </c>
      <c r="J76" s="1167" t="e">
        <f>+#REF!</f>
        <v>#REF!</v>
      </c>
      <c r="K76" s="1167" t="e">
        <f>+#REF!</f>
        <v>#REF!</v>
      </c>
      <c r="L76" s="1167" t="e">
        <f>ROUND(G76*J76*12/10000000,2)</f>
        <v>#REF!</v>
      </c>
      <c r="M76" s="1167" t="e">
        <f>ROUND(I76*1000000*K76/10000000,2)</f>
        <v>#REF!</v>
      </c>
      <c r="N76" s="1167" t="e">
        <f>L76+M76</f>
        <v>#REF!</v>
      </c>
      <c r="O76" s="1192"/>
    </row>
    <row r="77" spans="1:15" ht="16.5" x14ac:dyDescent="0.2">
      <c r="A77" s="1197" t="s">
        <v>18</v>
      </c>
      <c r="B77" s="1164">
        <v>8</v>
      </c>
      <c r="C77" s="1165" t="s">
        <v>587</v>
      </c>
      <c r="D77" s="1165"/>
      <c r="E77" s="1169">
        <f>Sales_FY24!$P$22</f>
        <v>1083461</v>
      </c>
      <c r="F77" s="1169">
        <f>Sales_FY24!$V$22</f>
        <v>1039228</v>
      </c>
      <c r="G77" s="1169">
        <f>SUM(G75:G76)</f>
        <v>6604270</v>
      </c>
      <c r="H77" s="1165"/>
      <c r="I77" s="1170">
        <f>Sales_FY24!$Q$22</f>
        <v>346.54</v>
      </c>
      <c r="J77" s="1170"/>
      <c r="K77" s="1170"/>
      <c r="L77" s="1170" t="e">
        <f>SUM(L75:L76)</f>
        <v>#REF!</v>
      </c>
      <c r="M77" s="1170" t="e">
        <f>SUM(M75:M76)</f>
        <v>#REF!</v>
      </c>
      <c r="N77" s="1170" t="e">
        <f>L77+M77</f>
        <v>#REF!</v>
      </c>
      <c r="O77" s="1177" t="e">
        <f>ROUND(N77/I77*10,2)</f>
        <v>#REF!</v>
      </c>
    </row>
    <row r="78" spans="1:15" ht="16.5" x14ac:dyDescent="0.2">
      <c r="A78" s="1197" t="s">
        <v>18</v>
      </c>
      <c r="B78" s="1163"/>
      <c r="C78" s="1163"/>
      <c r="D78" s="1163"/>
      <c r="E78" s="1163"/>
      <c r="F78" s="1163"/>
      <c r="G78" s="1163"/>
      <c r="H78" s="1163"/>
      <c r="I78" s="1176"/>
      <c r="J78" s="1176"/>
      <c r="K78" s="1176"/>
      <c r="L78" s="1176"/>
      <c r="M78" s="1176"/>
      <c r="N78" s="1176"/>
      <c r="O78" s="1176"/>
    </row>
    <row r="79" spans="1:15" ht="16.5" x14ac:dyDescent="0.2">
      <c r="A79" s="1197" t="s">
        <v>18</v>
      </c>
      <c r="B79" s="1194"/>
      <c r="C79" s="1195" t="s">
        <v>588</v>
      </c>
      <c r="D79" s="1195"/>
      <c r="E79" s="1196">
        <f>E8+E21+E32+E41+E46+E61+E73+E77</f>
        <v>14424722</v>
      </c>
      <c r="F79" s="1196">
        <f>F8+F21+F32+F41+F46+F61+F73+F77</f>
        <v>14144977</v>
      </c>
      <c r="G79" s="1196">
        <f>G8+G21+G32+G41+G46+G61+G73+G77</f>
        <v>37243072</v>
      </c>
      <c r="H79" s="1195"/>
      <c r="I79" s="1193">
        <f>I8+I21+I32+I41+I46+I61+I73+I77</f>
        <v>20853.480000000003</v>
      </c>
      <c r="J79" s="1193"/>
      <c r="K79" s="1193"/>
      <c r="L79" s="1193" t="e">
        <f>L8+L21+L32+L41+L46+L61+L73+L77</f>
        <v>#REF!</v>
      </c>
      <c r="M79" s="1193" t="e">
        <f>M8+M21+M32+M41+M46+M61+M73+M77</f>
        <v>#REF!</v>
      </c>
      <c r="N79" s="1193" t="e">
        <f>L79+M79</f>
        <v>#REF!</v>
      </c>
      <c r="O79" s="1193" t="e">
        <f>ROUND(N79/I79*10,2)</f>
        <v>#REF!</v>
      </c>
    </row>
    <row r="80" spans="1:15" ht="16.5" x14ac:dyDescent="0.2">
      <c r="A80" s="1197" t="s">
        <v>18</v>
      </c>
      <c r="B80" s="1163"/>
      <c r="C80" s="1163"/>
      <c r="D80" s="1163"/>
      <c r="E80" s="1163"/>
      <c r="F80" s="1163"/>
      <c r="G80" s="1163"/>
      <c r="H80" s="1163"/>
      <c r="I80" s="1176"/>
      <c r="J80" s="1176"/>
      <c r="K80" s="1176"/>
      <c r="L80" s="1176"/>
      <c r="M80" s="1176"/>
      <c r="N80" s="1176"/>
      <c r="O80" s="1176"/>
    </row>
    <row r="81" spans="1:18" ht="16.5" x14ac:dyDescent="0.2">
      <c r="A81" s="1197" t="s">
        <v>18</v>
      </c>
      <c r="B81" s="1159">
        <v>9</v>
      </c>
      <c r="C81" s="1160" t="s">
        <v>16</v>
      </c>
      <c r="D81" s="1160" t="s">
        <v>589</v>
      </c>
      <c r="E81" s="1168">
        <f>Sales_FY24!$P$25</f>
        <v>320</v>
      </c>
      <c r="F81" s="1168">
        <f>Sales_FY24!$V$25</f>
        <v>312</v>
      </c>
      <c r="G81" s="1160">
        <f>ROUND(F81*714,0)</f>
        <v>222768</v>
      </c>
      <c r="H81" s="1162" t="s">
        <v>561</v>
      </c>
      <c r="I81" s="1167">
        <f>Sales_FY24!$Q$25</f>
        <v>916.09</v>
      </c>
      <c r="J81" s="1167" t="e">
        <f>+#REF!</f>
        <v>#REF!</v>
      </c>
      <c r="K81" s="1167" t="e">
        <f>+#REF!</f>
        <v>#REF!</v>
      </c>
      <c r="L81" s="1167" t="e">
        <f>ROUND((G81*85%)*J81*12/10000000,2)</f>
        <v>#REF!</v>
      </c>
      <c r="M81" s="1167" t="e">
        <f>ROUND(I81*1000000*K81/10000000,2)</f>
        <v>#REF!</v>
      </c>
      <c r="N81" s="1167" t="e">
        <f>L81+M81</f>
        <v>#REF!</v>
      </c>
      <c r="O81" s="1192" t="e">
        <f>ROUND(N81/I81*10,2)</f>
        <v>#REF!</v>
      </c>
    </row>
    <row r="82" spans="1:18" ht="16.5" x14ac:dyDescent="0.2">
      <c r="A82" s="1197" t="s">
        <v>18</v>
      </c>
      <c r="B82" s="1163"/>
      <c r="C82" s="1163"/>
      <c r="D82" s="1163"/>
      <c r="E82" s="1163"/>
      <c r="F82" s="1163"/>
      <c r="G82" s="1163"/>
      <c r="H82" s="1163"/>
      <c r="I82" s="1176"/>
      <c r="J82" s="1176"/>
      <c r="K82" s="1176"/>
      <c r="L82" s="1176"/>
      <c r="M82" s="1176"/>
      <c r="N82" s="1176"/>
      <c r="O82" s="1176"/>
    </row>
    <row r="83" spans="1:18" ht="16.5" x14ac:dyDescent="0.2">
      <c r="A83" s="1197" t="s">
        <v>18</v>
      </c>
      <c r="B83" s="1159"/>
      <c r="C83" s="1160" t="s">
        <v>593</v>
      </c>
      <c r="D83" s="1160" t="s">
        <v>589</v>
      </c>
      <c r="E83" s="1168">
        <f>E85</f>
        <v>4500</v>
      </c>
      <c r="F83" s="1168">
        <f>F85</f>
        <v>4410</v>
      </c>
      <c r="G83" s="1160">
        <f>ROUND(F83*450,0)</f>
        <v>1984500</v>
      </c>
      <c r="H83" s="1162" t="s">
        <v>591</v>
      </c>
      <c r="I83" s="1167">
        <f>ROUND(I85*36.7%,2)</f>
        <v>1023.81</v>
      </c>
      <c r="J83" s="1167" t="e">
        <f>+#REF!</f>
        <v>#REF!</v>
      </c>
      <c r="K83" s="1167" t="e">
        <f>+#REF!</f>
        <v>#REF!</v>
      </c>
      <c r="L83" s="1167" t="e">
        <f>ROUND((G83*85%)*J83*12/10000000,2)</f>
        <v>#REF!</v>
      </c>
      <c r="M83" s="1167" t="e">
        <f t="shared" ref="M83:M88" si="2">ROUND(I83*1000000*K83/10000000,2)</f>
        <v>#REF!</v>
      </c>
      <c r="N83" s="1167"/>
      <c r="O83" s="1192"/>
    </row>
    <row r="84" spans="1:18" ht="16.5" x14ac:dyDescent="0.2">
      <c r="A84" s="1197" t="s">
        <v>18</v>
      </c>
      <c r="B84" s="1159"/>
      <c r="C84" s="1160"/>
      <c r="D84" s="1160"/>
      <c r="E84" s="1168"/>
      <c r="F84" s="1168"/>
      <c r="G84" s="1160"/>
      <c r="H84" s="1162" t="s">
        <v>590</v>
      </c>
      <c r="I84" s="1167">
        <f>I85-I83</f>
        <v>1765.8600000000001</v>
      </c>
      <c r="J84" s="1167"/>
      <c r="K84" s="1167" t="e">
        <f>+#REF!</f>
        <v>#REF!</v>
      </c>
      <c r="L84" s="1167"/>
      <c r="M84" s="1167" t="e">
        <f t="shared" si="2"/>
        <v>#REF!</v>
      </c>
      <c r="N84" s="1167"/>
      <c r="O84" s="1192"/>
    </row>
    <row r="85" spans="1:18" ht="16.5" x14ac:dyDescent="0.2">
      <c r="A85" s="1197" t="s">
        <v>18</v>
      </c>
      <c r="B85" s="1164"/>
      <c r="C85" s="1165"/>
      <c r="D85" s="1166" t="s">
        <v>486</v>
      </c>
      <c r="E85" s="1169">
        <f>ROUND(E90*52.1%,0)</f>
        <v>4500</v>
      </c>
      <c r="F85" s="1169">
        <f>ROUND(F90*52.1%,0)</f>
        <v>4410</v>
      </c>
      <c r="G85" s="1169">
        <f>SUM(G83:G84)</f>
        <v>1984500</v>
      </c>
      <c r="H85" s="1165"/>
      <c r="I85" s="1170">
        <f>ROUND(I90*54.5%,2)</f>
        <v>2789.67</v>
      </c>
      <c r="J85" s="1170"/>
      <c r="K85" s="1170"/>
      <c r="L85" s="1170" t="e">
        <f>SUM(L83:L84)</f>
        <v>#REF!</v>
      </c>
      <c r="M85" s="1170" t="e">
        <f>SUM(M83:M84)</f>
        <v>#REF!</v>
      </c>
      <c r="N85" s="1170" t="e">
        <f>L85+M85</f>
        <v>#REF!</v>
      </c>
      <c r="O85" s="1177" t="e">
        <f>ROUND(N85/I85*10,2)</f>
        <v>#REF!</v>
      </c>
      <c r="R85" s="1224" t="e">
        <f>+N85-#REF!</f>
        <v>#REF!</v>
      </c>
    </row>
    <row r="86" spans="1:18" ht="16.5" x14ac:dyDescent="0.2">
      <c r="A86" s="1197" t="s">
        <v>18</v>
      </c>
      <c r="B86" s="1163"/>
      <c r="C86" s="1163"/>
      <c r="D86" s="1163"/>
      <c r="E86" s="1163"/>
      <c r="F86" s="1163"/>
      <c r="G86" s="1163"/>
      <c r="H86" s="1163"/>
      <c r="I86" s="1176"/>
      <c r="J86" s="1176"/>
      <c r="K86" s="1176"/>
      <c r="L86" s="1176"/>
      <c r="M86" s="1176"/>
      <c r="N86" s="1176"/>
      <c r="O86" s="1176"/>
    </row>
    <row r="87" spans="1:18" ht="16.5" x14ac:dyDescent="0.2">
      <c r="A87" s="1197" t="s">
        <v>18</v>
      </c>
      <c r="B87" s="1159"/>
      <c r="C87" s="1160" t="s">
        <v>594</v>
      </c>
      <c r="D87" s="1160" t="s">
        <v>589</v>
      </c>
      <c r="E87" s="1168">
        <f>E89</f>
        <v>4137</v>
      </c>
      <c r="F87" s="1168">
        <f>F89</f>
        <v>4055</v>
      </c>
      <c r="G87" s="1160">
        <f>ROUND(F87*456,0)</f>
        <v>1849080</v>
      </c>
      <c r="H87" s="1162" t="s">
        <v>591</v>
      </c>
      <c r="I87" s="1167">
        <f>ROUND(I89*39.5%,2)</f>
        <v>919.95</v>
      </c>
      <c r="J87" s="1167">
        <v>275</v>
      </c>
      <c r="K87" s="1167">
        <v>7.5</v>
      </c>
      <c r="L87" s="1167">
        <f>ROUND((G87*85%)*J87*12/10000000,2)</f>
        <v>518.66999999999996</v>
      </c>
      <c r="M87" s="1167">
        <f t="shared" si="2"/>
        <v>689.96</v>
      </c>
      <c r="N87" s="1167"/>
      <c r="O87" s="1192"/>
    </row>
    <row r="88" spans="1:18" ht="16.5" x14ac:dyDescent="0.2">
      <c r="A88" s="1197" t="s">
        <v>18</v>
      </c>
      <c r="B88" s="1159"/>
      <c r="C88" s="1160"/>
      <c r="D88" s="1160"/>
      <c r="E88" s="1168"/>
      <c r="F88" s="1168"/>
      <c r="G88" s="1160"/>
      <c r="H88" s="1162" t="s">
        <v>590</v>
      </c>
      <c r="I88" s="1167">
        <f>I89-I87</f>
        <v>1409.0399999999997</v>
      </c>
      <c r="J88" s="1167"/>
      <c r="K88" s="1167">
        <v>7.8</v>
      </c>
      <c r="L88" s="1167"/>
      <c r="M88" s="1167">
        <f t="shared" si="2"/>
        <v>1099.05</v>
      </c>
      <c r="N88" s="1167"/>
      <c r="O88" s="1192"/>
    </row>
    <row r="89" spans="1:18" ht="16.5" x14ac:dyDescent="0.2">
      <c r="A89" s="1197" t="s">
        <v>18</v>
      </c>
      <c r="B89" s="1164"/>
      <c r="C89" s="1165"/>
      <c r="D89" s="1166" t="s">
        <v>486</v>
      </c>
      <c r="E89" s="1169">
        <f>E90-E85</f>
        <v>4137</v>
      </c>
      <c r="F89" s="1169">
        <f>F90-F85</f>
        <v>4055</v>
      </c>
      <c r="G89" s="1169">
        <f>SUM(G87:G88)</f>
        <v>1849080</v>
      </c>
      <c r="H89" s="1165"/>
      <c r="I89" s="1170">
        <f>I90-I85</f>
        <v>2328.9899999999998</v>
      </c>
      <c r="J89" s="1170"/>
      <c r="K89" s="1170"/>
      <c r="L89" s="1170">
        <f>SUM(L87:L88)</f>
        <v>518.66999999999996</v>
      </c>
      <c r="M89" s="1170">
        <f>SUM(M87:M88)</f>
        <v>1789.01</v>
      </c>
      <c r="N89" s="1170">
        <f>L89+M89</f>
        <v>2307.6799999999998</v>
      </c>
      <c r="O89" s="1177">
        <f>ROUND(N89/I89*10,2)</f>
        <v>9.91</v>
      </c>
      <c r="R89" s="1224" t="e">
        <f>+N89-#REF!</f>
        <v>#REF!</v>
      </c>
    </row>
    <row r="90" spans="1:18" ht="16.5" x14ac:dyDescent="0.2">
      <c r="A90" s="1197" t="s">
        <v>18</v>
      </c>
      <c r="B90" s="1164">
        <v>10</v>
      </c>
      <c r="C90" s="1165" t="s">
        <v>592</v>
      </c>
      <c r="D90" s="1165"/>
      <c r="E90" s="1169">
        <f>Sales_FY24!$P$26</f>
        <v>8637</v>
      </c>
      <c r="F90" s="1169">
        <f>Sales_FY24!$V$26</f>
        <v>8465</v>
      </c>
      <c r="G90" s="1169">
        <f>G85+G89</f>
        <v>3833580</v>
      </c>
      <c r="H90" s="1165"/>
      <c r="I90" s="1170">
        <f>Sales_FY24!$Q$26</f>
        <v>5118.66</v>
      </c>
      <c r="J90" s="1170"/>
      <c r="K90" s="1170"/>
      <c r="L90" s="1169" t="e">
        <f>L85+L89</f>
        <v>#REF!</v>
      </c>
      <c r="M90" s="1169" t="e">
        <f>M85+M89</f>
        <v>#REF!</v>
      </c>
      <c r="N90" s="1170" t="e">
        <f>L90+M90</f>
        <v>#REF!</v>
      </c>
      <c r="O90" s="1177" t="e">
        <f>ROUND(N90/I90*10,2)</f>
        <v>#REF!</v>
      </c>
    </row>
    <row r="91" spans="1:18" ht="16.5" x14ac:dyDescent="0.2">
      <c r="A91" s="1197" t="s">
        <v>18</v>
      </c>
      <c r="B91" s="1163"/>
      <c r="C91" s="1163"/>
      <c r="D91" s="1163"/>
      <c r="E91" s="1163"/>
      <c r="F91" s="1163"/>
      <c r="G91" s="1163"/>
      <c r="H91" s="1163"/>
      <c r="I91" s="1176"/>
      <c r="J91" s="1176"/>
      <c r="K91" s="1176"/>
      <c r="L91" s="1176"/>
      <c r="M91" s="1176"/>
      <c r="N91" s="1176"/>
      <c r="O91" s="1176"/>
    </row>
    <row r="92" spans="1:18" ht="16.5" x14ac:dyDescent="0.2">
      <c r="A92" s="1197" t="s">
        <v>18</v>
      </c>
      <c r="B92" s="1159"/>
      <c r="C92" s="1160" t="s">
        <v>596</v>
      </c>
      <c r="D92" s="1160" t="s">
        <v>589</v>
      </c>
      <c r="E92" s="1168">
        <f>E94</f>
        <v>8183</v>
      </c>
      <c r="F92" s="1168">
        <f>F94</f>
        <v>7994</v>
      </c>
      <c r="G92" s="1160">
        <f>ROUND(F92*335,0)</f>
        <v>2677990</v>
      </c>
      <c r="H92" s="1162" t="s">
        <v>598</v>
      </c>
      <c r="I92" s="1167">
        <f>ROUND(I94*65.5%,2)</f>
        <v>1327.28</v>
      </c>
      <c r="J92" s="1167" t="e">
        <f>+#REF!</f>
        <v>#REF!</v>
      </c>
      <c r="K92" s="1167" t="e">
        <f>+#REF!</f>
        <v>#REF!</v>
      </c>
      <c r="L92" s="1167" t="e">
        <f>ROUND((G92*85%)*J92*12/10000000,2)</f>
        <v>#REF!</v>
      </c>
      <c r="M92" s="1167" t="e">
        <f>ROUND(I92*1000000*K92/10000000,2)</f>
        <v>#REF!</v>
      </c>
      <c r="N92" s="1167"/>
      <c r="O92" s="1192"/>
    </row>
    <row r="93" spans="1:18" ht="16.5" x14ac:dyDescent="0.2">
      <c r="A93" s="1197" t="s">
        <v>18</v>
      </c>
      <c r="B93" s="1159"/>
      <c r="C93" s="1160"/>
      <c r="D93" s="1160"/>
      <c r="E93" s="1168"/>
      <c r="F93" s="1168"/>
      <c r="G93" s="1160"/>
      <c r="H93" s="1162" t="s">
        <v>599</v>
      </c>
      <c r="I93" s="1167">
        <f>I94-I92</f>
        <v>699.10000000000014</v>
      </c>
      <c r="J93" s="1167"/>
      <c r="K93" s="1167" t="e">
        <f>+#REF!</f>
        <v>#REF!</v>
      </c>
      <c r="L93" s="1167"/>
      <c r="M93" s="1167" t="e">
        <f>ROUND(I93*1000000*K93/10000000,2)</f>
        <v>#REF!</v>
      </c>
      <c r="N93" s="1167"/>
      <c r="O93" s="1192"/>
    </row>
    <row r="94" spans="1:18" ht="16.5" x14ac:dyDescent="0.2">
      <c r="A94" s="1197" t="s">
        <v>18</v>
      </c>
      <c r="B94" s="1164"/>
      <c r="C94" s="1165"/>
      <c r="D94" s="1166" t="s">
        <v>486</v>
      </c>
      <c r="E94" s="1169">
        <f>ROUND(E99*90.68%,0)</f>
        <v>8183</v>
      </c>
      <c r="F94" s="1169">
        <f>ROUND(F99*90.68%,0)</f>
        <v>7994</v>
      </c>
      <c r="G94" s="1169">
        <f>SUM(G92:G93)</f>
        <v>2677990</v>
      </c>
      <c r="H94" s="1165"/>
      <c r="I94" s="1170">
        <f>ROUND(I99*91.75%,2)</f>
        <v>2026.38</v>
      </c>
      <c r="J94" s="1170"/>
      <c r="K94" s="1170"/>
      <c r="L94" s="1170" t="e">
        <f>SUM(L92:L93)</f>
        <v>#REF!</v>
      </c>
      <c r="M94" s="1170" t="e">
        <f>SUM(M92:M93)</f>
        <v>#REF!</v>
      </c>
      <c r="N94" s="1170" t="e">
        <f>L94+M94</f>
        <v>#REF!</v>
      </c>
      <c r="O94" s="1177" t="e">
        <f>ROUND(N94/I94*10,2)</f>
        <v>#REF!</v>
      </c>
      <c r="R94" s="1224" t="e">
        <f>+N94-#REF!</f>
        <v>#REF!</v>
      </c>
    </row>
    <row r="95" spans="1:18" ht="16.5" x14ac:dyDescent="0.2">
      <c r="A95" s="1197" t="s">
        <v>18</v>
      </c>
      <c r="B95" s="1163"/>
      <c r="C95" s="1163"/>
      <c r="D95" s="1163"/>
      <c r="E95" s="1163"/>
      <c r="F95" s="1163"/>
      <c r="G95" s="1163"/>
      <c r="H95" s="1163"/>
      <c r="I95" s="1176"/>
      <c r="J95" s="1176"/>
      <c r="K95" s="1176"/>
      <c r="L95" s="1176"/>
      <c r="M95" s="1176"/>
      <c r="N95" s="1176"/>
      <c r="O95" s="1176"/>
    </row>
    <row r="96" spans="1:18" ht="16.5" x14ac:dyDescent="0.2">
      <c r="A96" s="1197" t="s">
        <v>18</v>
      </c>
      <c r="B96" s="1159"/>
      <c r="C96" s="1160" t="s">
        <v>597</v>
      </c>
      <c r="D96" s="1160" t="s">
        <v>589</v>
      </c>
      <c r="E96" s="1168">
        <f>E98</f>
        <v>841</v>
      </c>
      <c r="F96" s="1168">
        <f>F98</f>
        <v>822</v>
      </c>
      <c r="G96" s="1160">
        <f>ROUND(F96*205,0)</f>
        <v>168510</v>
      </c>
      <c r="H96" s="1162" t="s">
        <v>598</v>
      </c>
      <c r="I96" s="1167">
        <f>ROUND(I98*87%,2)</f>
        <v>158.52000000000001</v>
      </c>
      <c r="J96" s="1167">
        <v>300</v>
      </c>
      <c r="K96" s="1167">
        <v>9.3000000000000007</v>
      </c>
      <c r="L96" s="1167">
        <f>ROUND((G96*85%)*J96*12/10000000,2)</f>
        <v>51.56</v>
      </c>
      <c r="M96" s="1167">
        <f>ROUND(I96*1000000*K96/10000000,2)</f>
        <v>147.41999999999999</v>
      </c>
      <c r="N96" s="1167"/>
      <c r="O96" s="1192"/>
    </row>
    <row r="97" spans="1:18" ht="16.5" x14ac:dyDescent="0.2">
      <c r="A97" s="1197" t="s">
        <v>18</v>
      </c>
      <c r="B97" s="1159"/>
      <c r="C97" s="1160"/>
      <c r="D97" s="1160"/>
      <c r="E97" s="1168"/>
      <c r="F97" s="1168"/>
      <c r="G97" s="1160"/>
      <c r="H97" s="1162" t="s">
        <v>599</v>
      </c>
      <c r="I97" s="1167">
        <f>I98-I96</f>
        <v>23.690000000000026</v>
      </c>
      <c r="J97" s="1167"/>
      <c r="K97" s="1167">
        <v>9.4</v>
      </c>
      <c r="L97" s="1167"/>
      <c r="M97" s="1167">
        <f>ROUND(I97*1000000*K97/10000000,2)</f>
        <v>22.27</v>
      </c>
      <c r="N97" s="1167"/>
      <c r="O97" s="1192"/>
    </row>
    <row r="98" spans="1:18" ht="16.5" x14ac:dyDescent="0.2">
      <c r="A98" s="1197" t="s">
        <v>18</v>
      </c>
      <c r="B98" s="1164"/>
      <c r="C98" s="1165"/>
      <c r="D98" s="1166" t="s">
        <v>486</v>
      </c>
      <c r="E98" s="1169">
        <f>E99-E94</f>
        <v>841</v>
      </c>
      <c r="F98" s="1169">
        <f>F99-F94</f>
        <v>822</v>
      </c>
      <c r="G98" s="1169">
        <f>SUM(G96:G97)</f>
        <v>168510</v>
      </c>
      <c r="H98" s="1165"/>
      <c r="I98" s="1170">
        <f>I99-I94</f>
        <v>182.21000000000004</v>
      </c>
      <c r="J98" s="1170"/>
      <c r="K98" s="1170"/>
      <c r="L98" s="1170">
        <f>SUM(L96:L97)</f>
        <v>51.56</v>
      </c>
      <c r="M98" s="1170">
        <f>SUM(M96:M97)</f>
        <v>169.69</v>
      </c>
      <c r="N98" s="1170">
        <f>L98+M98</f>
        <v>221.25</v>
      </c>
      <c r="O98" s="1177">
        <f>ROUND(N98/I98*10,2)</f>
        <v>12.14</v>
      </c>
      <c r="R98" s="1224" t="e">
        <f>+N98-#REF!</f>
        <v>#REF!</v>
      </c>
    </row>
    <row r="99" spans="1:18" ht="16.5" x14ac:dyDescent="0.2">
      <c r="A99" s="1197" t="s">
        <v>18</v>
      </c>
      <c r="B99" s="1164">
        <v>11</v>
      </c>
      <c r="C99" s="1165" t="s">
        <v>595</v>
      </c>
      <c r="D99" s="1165"/>
      <c r="E99" s="1169">
        <f>Sales_FY24!$P$27</f>
        <v>9024</v>
      </c>
      <c r="F99" s="1169">
        <f>Sales_FY24!$V$27</f>
        <v>8816</v>
      </c>
      <c r="G99" s="1169">
        <f>G94+G98</f>
        <v>2846500</v>
      </c>
      <c r="H99" s="1165"/>
      <c r="I99" s="1170">
        <f>Sales_FY24!$Q$27</f>
        <v>2208.59</v>
      </c>
      <c r="J99" s="1170"/>
      <c r="K99" s="1170"/>
      <c r="L99" s="1170" t="e">
        <f>L94+L98</f>
        <v>#REF!</v>
      </c>
      <c r="M99" s="1170" t="e">
        <f>M94+M98</f>
        <v>#REF!</v>
      </c>
      <c r="N99" s="1170" t="e">
        <f>L99+M99</f>
        <v>#REF!</v>
      </c>
      <c r="O99" s="1177" t="e">
        <f>ROUND(N99/I99*10,2)</f>
        <v>#REF!</v>
      </c>
    </row>
    <row r="100" spans="1:18" ht="16.5" x14ac:dyDescent="0.2">
      <c r="A100" s="1197" t="s">
        <v>18</v>
      </c>
      <c r="B100" s="1163"/>
      <c r="C100" s="1163"/>
      <c r="D100" s="1163"/>
      <c r="E100" s="1163"/>
      <c r="F100" s="1163"/>
      <c r="G100" s="1163"/>
      <c r="H100" s="1163"/>
      <c r="I100" s="1176"/>
      <c r="J100" s="1176"/>
      <c r="K100" s="1176"/>
      <c r="L100" s="1176"/>
      <c r="M100" s="1176"/>
      <c r="N100" s="1176"/>
      <c r="O100" s="1176"/>
    </row>
    <row r="101" spans="1:18" ht="16.5" x14ac:dyDescent="0.2">
      <c r="A101" s="1197" t="s">
        <v>18</v>
      </c>
      <c r="B101" s="1159"/>
      <c r="C101" s="1160" t="s">
        <v>601</v>
      </c>
      <c r="D101" s="1160" t="s">
        <v>589</v>
      </c>
      <c r="E101" s="1168">
        <f>E103</f>
        <v>457</v>
      </c>
      <c r="F101" s="1168">
        <f>F103</f>
        <v>438</v>
      </c>
      <c r="G101" s="1160">
        <f>ROUND(F101*195,0)</f>
        <v>85410</v>
      </c>
      <c r="H101" s="1162" t="s">
        <v>591</v>
      </c>
      <c r="I101" s="1167">
        <f>ROUND(I103*32%,2)</f>
        <v>59.1</v>
      </c>
      <c r="J101" s="1167" t="e">
        <f>+#REF!</f>
        <v>#REF!</v>
      </c>
      <c r="K101" s="1167" t="e">
        <f>+#REF!</f>
        <v>#REF!</v>
      </c>
      <c r="L101" s="1167" t="e">
        <f>ROUND((G101*85%)*J101*12/10000000,2)</f>
        <v>#REF!</v>
      </c>
      <c r="M101" s="1167" t="e">
        <f>ROUND(I101*1000000*K101/10000000,2)</f>
        <v>#REF!</v>
      </c>
      <c r="N101" s="1167"/>
      <c r="O101" s="1192"/>
    </row>
    <row r="102" spans="1:18" ht="16.5" x14ac:dyDescent="0.2">
      <c r="A102" s="1197" t="s">
        <v>18</v>
      </c>
      <c r="B102" s="1159"/>
      <c r="C102" s="1160"/>
      <c r="D102" s="1160"/>
      <c r="E102" s="1168"/>
      <c r="F102" s="1168"/>
      <c r="G102" s="1160"/>
      <c r="H102" s="1162" t="s">
        <v>590</v>
      </c>
      <c r="I102" s="1167">
        <f>I103-I101</f>
        <v>125.58000000000001</v>
      </c>
      <c r="J102" s="1167"/>
      <c r="K102" s="1167" t="e">
        <f>+#REF!</f>
        <v>#REF!</v>
      </c>
      <c r="L102" s="1167"/>
      <c r="M102" s="1167" t="e">
        <f>ROUND(I102*1000000*K102/10000000,2)</f>
        <v>#REF!</v>
      </c>
      <c r="N102" s="1167"/>
      <c r="O102" s="1192"/>
    </row>
    <row r="103" spans="1:18" ht="16.5" x14ac:dyDescent="0.2">
      <c r="A103" s="1197" t="s">
        <v>18</v>
      </c>
      <c r="B103" s="1164"/>
      <c r="C103" s="1165"/>
      <c r="D103" s="1166" t="s">
        <v>486</v>
      </c>
      <c r="E103" s="1169">
        <f>ROUND(E108*39.75%,0)</f>
        <v>457</v>
      </c>
      <c r="F103" s="1169">
        <f>ROUND(F108*39.75%,0)</f>
        <v>438</v>
      </c>
      <c r="G103" s="1169">
        <f>SUM(G101:G102)</f>
        <v>85410</v>
      </c>
      <c r="H103" s="1165"/>
      <c r="I103" s="1170">
        <f>ROUND(I108*50.1%,2)</f>
        <v>184.68</v>
      </c>
      <c r="J103" s="1170"/>
      <c r="K103" s="1170"/>
      <c r="L103" s="1170" t="e">
        <f>SUM(L101:L102)</f>
        <v>#REF!</v>
      </c>
      <c r="M103" s="1170" t="e">
        <f>SUM(M101:M102)</f>
        <v>#REF!</v>
      </c>
      <c r="N103" s="1170" t="e">
        <f>L103+M103</f>
        <v>#REF!</v>
      </c>
      <c r="O103" s="1177" t="e">
        <f>ROUND(N103/I103*10,2)</f>
        <v>#REF!</v>
      </c>
    </row>
    <row r="104" spans="1:18" ht="16.5" x14ac:dyDescent="0.2">
      <c r="A104" s="1197" t="s">
        <v>18</v>
      </c>
      <c r="B104" s="1163"/>
      <c r="C104" s="1163"/>
      <c r="D104" s="1163"/>
      <c r="E104" s="1163"/>
      <c r="F104" s="1163"/>
      <c r="G104" s="1163"/>
      <c r="H104" s="1163"/>
      <c r="I104" s="1176"/>
      <c r="J104" s="1176"/>
      <c r="K104" s="1176"/>
      <c r="L104" s="1176"/>
      <c r="M104" s="1176"/>
      <c r="N104" s="1176"/>
      <c r="O104" s="1176"/>
    </row>
    <row r="105" spans="1:18" ht="16.5" x14ac:dyDescent="0.2">
      <c r="A105" s="1197" t="s">
        <v>18</v>
      </c>
      <c r="B105" s="1159"/>
      <c r="C105" s="1160" t="s">
        <v>602</v>
      </c>
      <c r="D105" s="1160" t="s">
        <v>589</v>
      </c>
      <c r="E105" s="1168">
        <f>E107</f>
        <v>692</v>
      </c>
      <c r="F105" s="1168">
        <f>F107</f>
        <v>665</v>
      </c>
      <c r="G105" s="1160">
        <f>ROUND(F105*230,0)</f>
        <v>152950</v>
      </c>
      <c r="H105" s="1162" t="s">
        <v>591</v>
      </c>
      <c r="I105" s="1167">
        <f>ROUND(I107*65%,2)</f>
        <v>119.56</v>
      </c>
      <c r="J105" s="1167" t="e">
        <f>+#REF!</f>
        <v>#REF!</v>
      </c>
      <c r="K105" s="1167" t="e">
        <f>+#REF!</f>
        <v>#REF!</v>
      </c>
      <c r="L105" s="1167" t="e">
        <f>ROUND((G105*85%)*J105*12/10000000,2)</f>
        <v>#REF!</v>
      </c>
      <c r="M105" s="1167" t="e">
        <f>ROUND(I105*1000000*K105/10000000,2)</f>
        <v>#REF!</v>
      </c>
      <c r="N105" s="1167"/>
      <c r="O105" s="1192"/>
    </row>
    <row r="106" spans="1:18" ht="16.5" x14ac:dyDescent="0.2">
      <c r="A106" s="1197" t="s">
        <v>18</v>
      </c>
      <c r="B106" s="1159"/>
      <c r="C106" s="1160"/>
      <c r="D106" s="1160"/>
      <c r="E106" s="1168"/>
      <c r="F106" s="1168"/>
      <c r="G106" s="1160"/>
      <c r="H106" s="1162" t="s">
        <v>590</v>
      </c>
      <c r="I106" s="1167">
        <f>I107-I105</f>
        <v>64.38</v>
      </c>
      <c r="J106" s="1167"/>
      <c r="K106" s="1167" t="e">
        <f>+#REF!</f>
        <v>#REF!</v>
      </c>
      <c r="L106" s="1167"/>
      <c r="M106" s="1167" t="e">
        <f>ROUND(I106*1000000*K106/10000000,2)</f>
        <v>#REF!</v>
      </c>
      <c r="N106" s="1167"/>
      <c r="O106" s="1192"/>
    </row>
    <row r="107" spans="1:18" ht="16.5" x14ac:dyDescent="0.2">
      <c r="A107" s="1197" t="s">
        <v>18</v>
      </c>
      <c r="B107" s="1164"/>
      <c r="C107" s="1165"/>
      <c r="D107" s="1166" t="s">
        <v>486</v>
      </c>
      <c r="E107" s="1169">
        <f>E108-E103</f>
        <v>692</v>
      </c>
      <c r="F107" s="1169">
        <f>F108-F103</f>
        <v>665</v>
      </c>
      <c r="G107" s="1169">
        <f>SUM(G105:G106)</f>
        <v>152950</v>
      </c>
      <c r="H107" s="1165"/>
      <c r="I107" s="1170">
        <f>I108-I103</f>
        <v>183.94</v>
      </c>
      <c r="J107" s="1170"/>
      <c r="K107" s="1170"/>
      <c r="L107" s="1170" t="e">
        <f>SUM(L105:L106)</f>
        <v>#REF!</v>
      </c>
      <c r="M107" s="1170" t="e">
        <f>SUM(M105:M106)</f>
        <v>#REF!</v>
      </c>
      <c r="N107" s="1170" t="e">
        <f>L107+M107</f>
        <v>#REF!</v>
      </c>
      <c r="O107" s="1177" t="e">
        <f>ROUND(N107/I107*10,2)</f>
        <v>#REF!</v>
      </c>
    </row>
    <row r="108" spans="1:18" ht="16.5" x14ac:dyDescent="0.2">
      <c r="A108" s="1197" t="s">
        <v>18</v>
      </c>
      <c r="B108" s="1164">
        <v>12</v>
      </c>
      <c r="C108" s="1165" t="s">
        <v>600</v>
      </c>
      <c r="D108" s="1165"/>
      <c r="E108" s="1169">
        <f>Sales_FY24!$P$28</f>
        <v>1149</v>
      </c>
      <c r="F108" s="1169">
        <f>Sales_FY24!$V$28</f>
        <v>1103</v>
      </c>
      <c r="G108" s="1169">
        <f>G103+G107</f>
        <v>238360</v>
      </c>
      <c r="H108" s="1165"/>
      <c r="I108" s="1170">
        <f>Sales_FY24!$Q$28</f>
        <v>368.62</v>
      </c>
      <c r="J108" s="1170"/>
      <c r="K108" s="1170"/>
      <c r="L108" s="1170" t="e">
        <f>L103+L107</f>
        <v>#REF!</v>
      </c>
      <c r="M108" s="1170" t="e">
        <f>M103+M107</f>
        <v>#REF!</v>
      </c>
      <c r="N108" s="1170" t="e">
        <f>L108+M108</f>
        <v>#REF!</v>
      </c>
      <c r="O108" s="1177" t="e">
        <f>ROUND(N108/I108*10,2)</f>
        <v>#REF!</v>
      </c>
    </row>
    <row r="109" spans="1:18" ht="16.5" x14ac:dyDescent="0.2">
      <c r="A109" s="1197" t="s">
        <v>18</v>
      </c>
      <c r="B109" s="1163"/>
      <c r="C109" s="1163"/>
      <c r="D109" s="1163"/>
      <c r="E109" s="1163"/>
      <c r="F109" s="1163"/>
      <c r="G109" s="1163"/>
      <c r="H109" s="1163"/>
      <c r="I109" s="1176"/>
      <c r="J109" s="1176"/>
      <c r="K109" s="1176"/>
      <c r="L109" s="1176"/>
      <c r="M109" s="1176"/>
      <c r="N109" s="1176"/>
      <c r="O109" s="1176"/>
    </row>
    <row r="110" spans="1:18" ht="16.5" x14ac:dyDescent="0.2">
      <c r="A110" s="1197" t="s">
        <v>18</v>
      </c>
      <c r="B110" s="1159"/>
      <c r="C110" s="1160" t="s">
        <v>612</v>
      </c>
      <c r="D110" s="1160" t="s">
        <v>604</v>
      </c>
      <c r="E110" s="1168">
        <f>ROUND(E114*76.4045%,0)</f>
        <v>72</v>
      </c>
      <c r="F110" s="1168">
        <f>ROUND(F114*76.4045%,0)</f>
        <v>68</v>
      </c>
      <c r="G110" s="1160">
        <f>ROUND(F110*1365,0)</f>
        <v>92820</v>
      </c>
      <c r="H110" s="1162" t="s">
        <v>561</v>
      </c>
      <c r="I110" s="1167">
        <f>ROUND(I114*99.22522%,2)</f>
        <v>202.35</v>
      </c>
      <c r="J110" s="1167" t="e">
        <f>+#REF!</f>
        <v>#REF!</v>
      </c>
      <c r="K110" s="1167" t="e">
        <f>+#REF!</f>
        <v>#REF!</v>
      </c>
      <c r="L110" s="1167" t="e">
        <f>IF((ROUND(G110*J110*1/10000000,2))&gt;(ROUND(I110*1000000*K110/10000000,2)),(ROUND(G110*J110*1/10000000,2)),0)</f>
        <v>#REF!</v>
      </c>
      <c r="M110" s="1167" t="e">
        <f>IF((ROUND(I110*1000000*K110/10000000,2))&gt;(ROUND(G110*J110*1/10000000,2)),(ROUND(I110*1000000*K110/10000000,2)),0)</f>
        <v>#REF!</v>
      </c>
      <c r="N110" s="1167" t="e">
        <f>L110+M110</f>
        <v>#REF!</v>
      </c>
      <c r="O110" s="1192" t="e">
        <f>ROUND(N110/I110*10,2)</f>
        <v>#REF!</v>
      </c>
    </row>
    <row r="111" spans="1:18" ht="16.5" x14ac:dyDescent="0.2">
      <c r="A111" s="1197" t="s">
        <v>18</v>
      </c>
      <c r="B111" s="1159"/>
      <c r="C111" s="1160" t="s">
        <v>613</v>
      </c>
      <c r="D111" s="1160" t="s">
        <v>604</v>
      </c>
      <c r="E111" s="1168">
        <f>ROUND(E114*2.24719%,0)</f>
        <v>2</v>
      </c>
      <c r="F111" s="1168">
        <f>ROUND(F114*2.24719%,0)</f>
        <v>2</v>
      </c>
      <c r="G111" s="1160">
        <f>ROUND(F111*895,0)</f>
        <v>1790</v>
      </c>
      <c r="H111" s="1162" t="s">
        <v>561</v>
      </c>
      <c r="I111" s="1167">
        <f>ROUND(I114*0.0245%,2)</f>
        <v>0.05</v>
      </c>
      <c r="J111" s="1167" t="e">
        <f>+#REF!</f>
        <v>#REF!</v>
      </c>
      <c r="K111" s="1167" t="e">
        <f>+#REF!</f>
        <v>#REF!</v>
      </c>
      <c r="L111" s="1167" t="e">
        <f>ROUND(G111*J111*12/10000000,2)</f>
        <v>#REF!</v>
      </c>
      <c r="M111" s="1167" t="e">
        <f>ROUND(I111*1000000*K111/10000000,2)</f>
        <v>#REF!</v>
      </c>
      <c r="N111" s="1167" t="e">
        <f>L111+M111</f>
        <v>#REF!</v>
      </c>
      <c r="O111" s="1192" t="e">
        <f>ROUND(N111/I111*10,2)</f>
        <v>#REF!</v>
      </c>
    </row>
    <row r="112" spans="1:18" ht="16.5" x14ac:dyDescent="0.2">
      <c r="A112" s="1197" t="s">
        <v>18</v>
      </c>
      <c r="B112" s="1159"/>
      <c r="C112" s="1160" t="s">
        <v>614</v>
      </c>
      <c r="D112" s="1160" t="s">
        <v>604</v>
      </c>
      <c r="E112" s="1168">
        <f>ROUND(E114*1.1236%,0)</f>
        <v>1</v>
      </c>
      <c r="F112" s="1168">
        <f>ROUND(F114*1.1236%,0)</f>
        <v>1</v>
      </c>
      <c r="G112" s="1160">
        <f>ROUND(F112*500,0)</f>
        <v>500</v>
      </c>
      <c r="H112" s="1162" t="s">
        <v>561</v>
      </c>
      <c r="I112" s="1167">
        <f>ROUND(I114*0.00409036%,2)</f>
        <v>0.01</v>
      </c>
      <c r="J112" s="1167" t="e">
        <f>+#REF!</f>
        <v>#REF!</v>
      </c>
      <c r="K112" s="1167" t="e">
        <f>+#REF!</f>
        <v>#REF!</v>
      </c>
      <c r="L112" s="1167" t="e">
        <f>ROUND(G112*J112*12/10000000,2)</f>
        <v>#REF!</v>
      </c>
      <c r="M112" s="1167" t="e">
        <f>ROUND(I112*1000000*K112/10000000,2)</f>
        <v>#REF!</v>
      </c>
      <c r="N112" s="1167" t="e">
        <f>L112+M112</f>
        <v>#REF!</v>
      </c>
      <c r="O112" s="1192" t="e">
        <f>ROUND(N112/I112*10,2)</f>
        <v>#REF!</v>
      </c>
    </row>
    <row r="113" spans="1:15" ht="16.5" x14ac:dyDescent="0.2">
      <c r="A113" s="1197" t="s">
        <v>18</v>
      </c>
      <c r="B113" s="1159"/>
      <c r="C113" s="1160" t="s">
        <v>615</v>
      </c>
      <c r="D113" s="1160" t="s">
        <v>604</v>
      </c>
      <c r="E113" s="1168">
        <f>+E114-E110-E111-E112</f>
        <v>19</v>
      </c>
      <c r="F113" s="1168">
        <f>+F114-F110-F111-F112</f>
        <v>18</v>
      </c>
      <c r="G113" s="1160">
        <f>ROUND(F113*75,0)</f>
        <v>1350</v>
      </c>
      <c r="H113" s="1162" t="s">
        <v>561</v>
      </c>
      <c r="I113" s="1167">
        <f>+I114-I110-I111-I112</f>
        <v>1.5200000000000125</v>
      </c>
      <c r="J113" s="1167" t="e">
        <f>+#REF!</f>
        <v>#REF!</v>
      </c>
      <c r="K113" s="1167" t="e">
        <f>+#REF!</f>
        <v>#REF!</v>
      </c>
      <c r="L113" s="1167" t="e">
        <f>IF((ROUND(G113*J113*1/10000000,2))&gt;(ROUND(I113*1000000*K113/10000000,2)),(ROUND(G113*J113*1/10000000,2)),0)</f>
        <v>#REF!</v>
      </c>
      <c r="M113" s="1167" t="e">
        <f>IF((ROUND(I113*1000000*K113/10000000,2))&gt;(ROUND(G113*J113*1/10000000,2)),(ROUND(I113*1000000*K113/10000000,2)),0)</f>
        <v>#REF!</v>
      </c>
      <c r="N113" s="1167" t="e">
        <f>L113+M113</f>
        <v>#REF!</v>
      </c>
      <c r="O113" s="1192" t="e">
        <f>ROUND(N113/I113*10,2)</f>
        <v>#REF!</v>
      </c>
    </row>
    <row r="114" spans="1:15" ht="16.5" x14ac:dyDescent="0.2">
      <c r="A114" s="1197" t="s">
        <v>18</v>
      </c>
      <c r="B114" s="1164">
        <v>13</v>
      </c>
      <c r="C114" s="1165" t="s">
        <v>603</v>
      </c>
      <c r="D114" s="1165"/>
      <c r="E114" s="1169">
        <f>Sales_FY24!$P$29</f>
        <v>94</v>
      </c>
      <c r="F114" s="1169">
        <f>Sales_FY24!$V$29</f>
        <v>89</v>
      </c>
      <c r="G114" s="1169">
        <f>SUM(G110:G113)</f>
        <v>96460</v>
      </c>
      <c r="H114" s="1165"/>
      <c r="I114" s="1170">
        <f>Sales_FY24!$Q$29</f>
        <v>203.93</v>
      </c>
      <c r="J114" s="1170"/>
      <c r="K114" s="1170"/>
      <c r="L114" s="1170" t="e">
        <f>SUM(L110:L113)</f>
        <v>#REF!</v>
      </c>
      <c r="M114" s="1170" t="e">
        <f>SUM(M110:M113)</f>
        <v>#REF!</v>
      </c>
      <c r="N114" s="1170" t="e">
        <f>L114+M114</f>
        <v>#REF!</v>
      </c>
      <c r="O114" s="1177" t="e">
        <f>ROUND(N114/I114*10,2)</f>
        <v>#REF!</v>
      </c>
    </row>
    <row r="115" spans="1:15" ht="16.5" x14ac:dyDescent="0.2">
      <c r="A115" s="1197" t="s">
        <v>18</v>
      </c>
      <c r="B115" s="1163"/>
      <c r="C115" s="1163"/>
      <c r="D115" s="1163"/>
      <c r="E115" s="1163"/>
      <c r="F115" s="1163"/>
      <c r="G115" s="1163"/>
      <c r="H115" s="1163"/>
      <c r="I115" s="1176"/>
      <c r="J115" s="1176"/>
      <c r="K115" s="1176"/>
      <c r="L115" s="1176"/>
      <c r="M115" s="1176"/>
      <c r="N115" s="1176"/>
      <c r="O115" s="1176"/>
    </row>
    <row r="116" spans="1:15" ht="16.5" x14ac:dyDescent="0.2">
      <c r="A116" s="1197" t="s">
        <v>18</v>
      </c>
      <c r="B116" s="1159">
        <v>14</v>
      </c>
      <c r="C116" s="1160" t="s">
        <v>312</v>
      </c>
      <c r="D116" s="1160" t="s">
        <v>589</v>
      </c>
      <c r="E116" s="1168">
        <f>Sales_FY24!$P$30</f>
        <v>608</v>
      </c>
      <c r="F116" s="1168">
        <f>Sales_FY24!$V$30</f>
        <v>565</v>
      </c>
      <c r="G116" s="1160">
        <f>ROUND(F116*147,0)</f>
        <v>83055</v>
      </c>
      <c r="H116" s="1162" t="s">
        <v>561</v>
      </c>
      <c r="I116" s="1167">
        <f>Sales_FY24!$Q$30</f>
        <v>99.48</v>
      </c>
      <c r="J116" s="1167" t="e">
        <f>+#REF!</f>
        <v>#REF!</v>
      </c>
      <c r="K116" s="1167" t="e">
        <f>+#REF!</f>
        <v>#REF!</v>
      </c>
      <c r="L116" s="1167" t="e">
        <f>ROUND((G116*85%)*J116*12/10000000,2)</f>
        <v>#REF!</v>
      </c>
      <c r="M116" s="1167" t="e">
        <f>ROUND(I116*1000000*K116/10000000,2)</f>
        <v>#REF!</v>
      </c>
      <c r="N116" s="1167" t="e">
        <f>L116+M116</f>
        <v>#REF!</v>
      </c>
      <c r="O116" s="1192" t="e">
        <f>ROUND(N116/I116*10,2)</f>
        <v>#REF!</v>
      </c>
    </row>
    <row r="117" spans="1:15" ht="16.5" x14ac:dyDescent="0.2">
      <c r="A117" s="1197" t="s">
        <v>18</v>
      </c>
      <c r="B117" s="1163"/>
      <c r="C117" s="1163"/>
      <c r="D117" s="1163"/>
      <c r="E117" s="1163"/>
      <c r="F117" s="1163"/>
      <c r="G117" s="1163"/>
      <c r="H117" s="1163"/>
      <c r="I117" s="1176"/>
      <c r="J117" s="1176"/>
      <c r="K117" s="1176"/>
      <c r="L117" s="1176"/>
      <c r="M117" s="1176"/>
      <c r="N117" s="1176"/>
      <c r="O117" s="1176"/>
    </row>
    <row r="118" spans="1:15" ht="16.5" x14ac:dyDescent="0.2">
      <c r="A118" s="1197" t="s">
        <v>18</v>
      </c>
      <c r="B118" s="1159">
        <v>15</v>
      </c>
      <c r="C118" s="1160" t="s">
        <v>313</v>
      </c>
      <c r="D118" s="1160" t="s">
        <v>589</v>
      </c>
      <c r="E118" s="1168">
        <f>Sales_FY24!$P$31</f>
        <v>2675</v>
      </c>
      <c r="F118" s="1168">
        <f>Sales_FY24!$V$31</f>
        <v>2475</v>
      </c>
      <c r="G118" s="1160">
        <f>ROUND(F118*90,0)</f>
        <v>222750</v>
      </c>
      <c r="H118" s="1162" t="s">
        <v>561</v>
      </c>
      <c r="I118" s="1167">
        <f>Sales_FY24!$Q$31</f>
        <v>245.06</v>
      </c>
      <c r="J118" s="1167" t="e">
        <f>+#REF!</f>
        <v>#REF!</v>
      </c>
      <c r="K118" s="1167" t="e">
        <f>+#REF!</f>
        <v>#REF!</v>
      </c>
      <c r="L118" s="1167" t="e">
        <f>ROUND((G118*100%)*J118*12/10000000,2)</f>
        <v>#REF!</v>
      </c>
      <c r="M118" s="1167" t="e">
        <f>ROUND(I118*1000000*K118/10000000,2)</f>
        <v>#REF!</v>
      </c>
      <c r="N118" s="1167" t="e">
        <f>L118+M118</f>
        <v>#REF!</v>
      </c>
      <c r="O118" s="1192" t="e">
        <f>ROUND(N118/I118*10,2)</f>
        <v>#REF!</v>
      </c>
    </row>
    <row r="119" spans="1:15" ht="16.5" x14ac:dyDescent="0.2">
      <c r="A119" s="1197" t="s">
        <v>18</v>
      </c>
      <c r="B119" s="1163"/>
      <c r="C119" s="1163"/>
      <c r="D119" s="1163"/>
      <c r="E119" s="1163"/>
      <c r="F119" s="1163"/>
      <c r="G119" s="1163"/>
      <c r="H119" s="1163"/>
      <c r="I119" s="1176"/>
      <c r="J119" s="1176"/>
      <c r="K119" s="1176"/>
      <c r="L119" s="1176"/>
      <c r="M119" s="1176"/>
      <c r="N119" s="1176"/>
      <c r="O119" s="1176"/>
    </row>
    <row r="120" spans="1:15" ht="16.5" x14ac:dyDescent="0.2">
      <c r="A120" s="1197" t="s">
        <v>18</v>
      </c>
      <c r="B120" s="1194"/>
      <c r="C120" s="1195" t="s">
        <v>605</v>
      </c>
      <c r="D120" s="1195"/>
      <c r="E120" s="1196">
        <f>E81+E90+E99+E108+E114+E116+E118</f>
        <v>22507</v>
      </c>
      <c r="F120" s="1196">
        <f>F81+F90+F99+F108+F114+F116+F118</f>
        <v>21825</v>
      </c>
      <c r="G120" s="1196">
        <f>G81+G90+G99+G108+G114+G116+G118</f>
        <v>7543473</v>
      </c>
      <c r="H120" s="1195"/>
      <c r="I120" s="1193">
        <f>I81+I90+I99+I108+I114+I116+I118</f>
        <v>9160.43</v>
      </c>
      <c r="J120" s="1193"/>
      <c r="K120" s="1193"/>
      <c r="L120" s="1193" t="e">
        <f>L81+L90+L99+L108+L114+L116+L118</f>
        <v>#REF!</v>
      </c>
      <c r="M120" s="1193" t="e">
        <f>M81+M90+M99+M108+M114+M116+M118</f>
        <v>#REF!</v>
      </c>
      <c r="N120" s="1193" t="e">
        <f>L120+M120</f>
        <v>#REF!</v>
      </c>
      <c r="O120" s="1193" t="e">
        <f>ROUND(N120/I120*10,2)</f>
        <v>#REF!</v>
      </c>
    </row>
    <row r="121" spans="1:15" ht="16.5" x14ac:dyDescent="0.2">
      <c r="A121" s="1197" t="s">
        <v>18</v>
      </c>
      <c r="B121" s="1163"/>
      <c r="C121" s="1163"/>
      <c r="D121" s="1163"/>
      <c r="E121" s="1163"/>
      <c r="F121" s="1163"/>
      <c r="G121" s="1163"/>
      <c r="H121" s="1163"/>
      <c r="I121" s="1176"/>
      <c r="J121" s="1176"/>
      <c r="K121" s="1176"/>
      <c r="L121" s="1176"/>
      <c r="M121" s="1176"/>
      <c r="N121" s="1176"/>
      <c r="O121" s="1176"/>
    </row>
    <row r="122" spans="1:15" ht="16.5" x14ac:dyDescent="0.2">
      <c r="A122" s="1197" t="s">
        <v>18</v>
      </c>
      <c r="B122" s="1194"/>
      <c r="C122" s="1195" t="s">
        <v>606</v>
      </c>
      <c r="D122" s="1195"/>
      <c r="E122" s="1196">
        <f>E79+E120</f>
        <v>14447229</v>
      </c>
      <c r="F122" s="1196">
        <f>F79+F120</f>
        <v>14166802</v>
      </c>
      <c r="G122" s="1196">
        <f>G79+G120</f>
        <v>44786545</v>
      </c>
      <c r="H122" s="1195"/>
      <c r="I122" s="1193">
        <f>I79+I120</f>
        <v>30013.910000000003</v>
      </c>
      <c r="J122" s="1193"/>
      <c r="K122" s="1193"/>
      <c r="L122" s="1193" t="e">
        <f>L79+L120</f>
        <v>#REF!</v>
      </c>
      <c r="M122" s="1193" t="e">
        <f>M79+M120</f>
        <v>#REF!</v>
      </c>
      <c r="N122" s="1193" t="e">
        <f>L122+M122</f>
        <v>#REF!</v>
      </c>
      <c r="O122" s="1193" t="e">
        <f>ROUND(N122/I122*10,2)</f>
        <v>#REF!</v>
      </c>
    </row>
    <row r="123" spans="1:15" ht="16.5" x14ac:dyDescent="0.2">
      <c r="A123" s="1197" t="s">
        <v>18</v>
      </c>
      <c r="B123" s="1163"/>
      <c r="C123" s="1163"/>
      <c r="D123" s="1163"/>
      <c r="E123" s="1163"/>
      <c r="F123" s="1163"/>
      <c r="G123" s="1163"/>
      <c r="H123" s="1163"/>
      <c r="I123" s="1176"/>
      <c r="J123" s="1176"/>
      <c r="K123" s="1176"/>
      <c r="L123" s="1176"/>
      <c r="M123" s="1176"/>
      <c r="N123" s="1176"/>
      <c r="O123" s="1176"/>
    </row>
    <row r="124" spans="1:15" ht="16.5" x14ac:dyDescent="0.2">
      <c r="A124" s="1197" t="s">
        <v>18</v>
      </c>
      <c r="B124" s="1159">
        <v>16</v>
      </c>
      <c r="C124" s="1160"/>
      <c r="D124" s="1160"/>
      <c r="E124" s="1168"/>
      <c r="F124" s="1168"/>
      <c r="G124" s="1160"/>
      <c r="H124" s="1162"/>
      <c r="I124" s="1167"/>
      <c r="J124" s="1167"/>
      <c r="K124" s="1167"/>
      <c r="L124" s="1167"/>
      <c r="M124" s="1167"/>
      <c r="N124" s="1167"/>
      <c r="O124" s="1192"/>
    </row>
    <row r="125" spans="1:15" ht="16.5" x14ac:dyDescent="0.2">
      <c r="A125" s="1197" t="s">
        <v>18</v>
      </c>
      <c r="B125" s="1163"/>
      <c r="C125" s="1163"/>
      <c r="D125" s="1163"/>
      <c r="E125" s="1163"/>
      <c r="F125" s="1163"/>
      <c r="G125" s="1163"/>
      <c r="H125" s="1163"/>
      <c r="I125" s="1176"/>
      <c r="J125" s="1176"/>
      <c r="K125" s="1176"/>
      <c r="L125" s="1176"/>
      <c r="M125" s="1176"/>
      <c r="N125" s="1176"/>
      <c r="O125" s="1176"/>
    </row>
    <row r="126" spans="1:15" ht="16.5" x14ac:dyDescent="0.2">
      <c r="A126" s="1197" t="s">
        <v>18</v>
      </c>
      <c r="B126" s="1159">
        <v>17</v>
      </c>
      <c r="C126" s="1160"/>
      <c r="D126" s="1160"/>
      <c r="E126" s="1168"/>
      <c r="F126" s="1168"/>
      <c r="G126" s="1160"/>
      <c r="H126" s="1162"/>
      <c r="I126" s="1167"/>
      <c r="J126" s="1167"/>
      <c r="K126" s="1167"/>
      <c r="L126" s="1167"/>
      <c r="M126" s="1167"/>
      <c r="N126" s="1167"/>
      <c r="O126" s="1192"/>
    </row>
    <row r="127" spans="1:15" ht="16.5" x14ac:dyDescent="0.2">
      <c r="A127" s="1197" t="s">
        <v>18</v>
      </c>
      <c r="B127" s="1163"/>
      <c r="C127" s="1163"/>
      <c r="D127" s="1163"/>
      <c r="E127" s="1163"/>
      <c r="F127" s="1163"/>
      <c r="G127" s="1163"/>
      <c r="H127" s="1163"/>
      <c r="I127" s="1176"/>
      <c r="J127" s="1176"/>
      <c r="K127" s="1176"/>
      <c r="L127" s="1176"/>
      <c r="M127" s="1176"/>
      <c r="N127" s="1176"/>
      <c r="O127" s="1176"/>
    </row>
    <row r="128" spans="1:15" ht="16.5" x14ac:dyDescent="0.2">
      <c r="A128" s="1197" t="s">
        <v>18</v>
      </c>
      <c r="B128" s="1159">
        <v>18</v>
      </c>
      <c r="C128" s="1160"/>
      <c r="D128" s="1160" t="s">
        <v>305</v>
      </c>
      <c r="E128" s="1168"/>
      <c r="F128" s="1168"/>
      <c r="G128" s="1160"/>
      <c r="H128" s="1162"/>
      <c r="I128" s="1167"/>
      <c r="J128" s="1167"/>
      <c r="K128" s="1167"/>
      <c r="L128" s="1167">
        <v>0</v>
      </c>
      <c r="M128" s="1167">
        <f>ROUND((440.79+(440.79*13.90805%))+52.84+348.71,2)</f>
        <v>903.65</v>
      </c>
      <c r="N128" s="1167">
        <f>L128+M128</f>
        <v>903.65</v>
      </c>
      <c r="O128" s="1192"/>
    </row>
    <row r="129" spans="1:19" ht="16.5" x14ac:dyDescent="0.2">
      <c r="A129" s="1197" t="s">
        <v>18</v>
      </c>
      <c r="B129" s="1163"/>
      <c r="C129" s="1163"/>
      <c r="D129" s="1163"/>
      <c r="E129" s="1163"/>
      <c r="F129" s="1163"/>
      <c r="G129" s="1163"/>
      <c r="H129" s="1163"/>
      <c r="I129" s="1176"/>
      <c r="J129" s="1176"/>
      <c r="K129" s="1176"/>
      <c r="L129" s="1176"/>
      <c r="M129" s="1176"/>
      <c r="N129" s="1176"/>
      <c r="O129" s="1176"/>
    </row>
    <row r="130" spans="1:19" ht="16.5" x14ac:dyDescent="0.2">
      <c r="A130" s="1197" t="s">
        <v>18</v>
      </c>
      <c r="B130" s="1194"/>
      <c r="C130" s="1195" t="s">
        <v>607</v>
      </c>
      <c r="D130" s="1195"/>
      <c r="E130" s="1196">
        <f>E122+E128+E124+E126</f>
        <v>14447229</v>
      </c>
      <c r="F130" s="1196">
        <f>F122+F128+F124+F126</f>
        <v>14166802</v>
      </c>
      <c r="G130" s="1196">
        <f>G122+G128+G124+G126</f>
        <v>44786545</v>
      </c>
      <c r="H130" s="1195"/>
      <c r="I130" s="1193">
        <f>I122+I128+I124+I126</f>
        <v>30013.910000000003</v>
      </c>
      <c r="J130" s="1193"/>
      <c r="K130" s="1193"/>
      <c r="L130" s="1193" t="e">
        <f>L122+L128+L124+L126</f>
        <v>#REF!</v>
      </c>
      <c r="M130" s="1193" t="e">
        <f>M122+M128+M124+M126</f>
        <v>#REF!</v>
      </c>
      <c r="N130" s="1193" t="e">
        <f>L130+M130</f>
        <v>#REF!</v>
      </c>
      <c r="O130" s="1193" t="e">
        <f>ROUND(N130/I130*10,2)</f>
        <v>#REF!</v>
      </c>
      <c r="R130" s="1224" t="e">
        <f>+#REF!</f>
        <v>#REF!</v>
      </c>
      <c r="S130" s="1224" t="e">
        <f>+N130-R130</f>
        <v>#REF!</v>
      </c>
    </row>
    <row r="134" spans="1:19" x14ac:dyDescent="0.15">
      <c r="B134" s="1172" t="s">
        <v>609</v>
      </c>
      <c r="D134" s="1173" t="s">
        <v>608</v>
      </c>
    </row>
    <row r="135" spans="1:19" x14ac:dyDescent="0.15">
      <c r="B135" s="1187" t="s">
        <v>472</v>
      </c>
      <c r="C135" s="1187" t="s">
        <v>474</v>
      </c>
      <c r="D135" s="1188" t="s">
        <v>3</v>
      </c>
      <c r="E135" s="1187" t="s">
        <v>49</v>
      </c>
      <c r="F135" s="1187" t="s">
        <v>469</v>
      </c>
      <c r="G135" s="1187" t="s">
        <v>467</v>
      </c>
      <c r="H135" s="1188" t="s">
        <v>475</v>
      </c>
      <c r="I135" s="1188" t="s">
        <v>475</v>
      </c>
      <c r="J135" s="1187" t="s">
        <v>477</v>
      </c>
      <c r="K135" s="1187" t="s">
        <v>480</v>
      </c>
      <c r="L135" s="1189" t="s">
        <v>610</v>
      </c>
      <c r="M135" s="1189" t="s">
        <v>611</v>
      </c>
      <c r="N135" s="1189" t="s">
        <v>488</v>
      </c>
      <c r="O135" s="1189" t="s">
        <v>489</v>
      </c>
    </row>
    <row r="136" spans="1:19" x14ac:dyDescent="0.15">
      <c r="B136" s="1190" t="s">
        <v>473</v>
      </c>
      <c r="C136" s="1190" t="s">
        <v>31</v>
      </c>
      <c r="D136" s="1191"/>
      <c r="E136" s="1190" t="s">
        <v>33</v>
      </c>
      <c r="F136" s="1190" t="s">
        <v>33</v>
      </c>
      <c r="G136" s="1190" t="s">
        <v>468</v>
      </c>
      <c r="H136" s="1191" t="s">
        <v>487</v>
      </c>
      <c r="I136" s="1191" t="s">
        <v>476</v>
      </c>
      <c r="J136" s="1190" t="s">
        <v>479</v>
      </c>
      <c r="K136" s="1190" t="s">
        <v>478</v>
      </c>
      <c r="L136" s="1190" t="s">
        <v>481</v>
      </c>
      <c r="M136" s="1190" t="s">
        <v>481</v>
      </c>
      <c r="N136" s="1190" t="s">
        <v>481</v>
      </c>
      <c r="O136" s="1190" t="s">
        <v>478</v>
      </c>
    </row>
    <row r="137" spans="1:19" ht="16.5" x14ac:dyDescent="0.2">
      <c r="A137" s="1197" t="s">
        <v>525</v>
      </c>
      <c r="B137" s="1159"/>
      <c r="C137" s="1160" t="s">
        <v>38</v>
      </c>
      <c r="D137" s="1160" t="s">
        <v>482</v>
      </c>
      <c r="E137" s="1168">
        <f>Sales_FY24!$P$47</f>
        <v>149171</v>
      </c>
      <c r="F137" s="1168">
        <f>Sales_FY24!$V$47</f>
        <v>149171</v>
      </c>
      <c r="G137" s="1160">
        <f>ROUND(E137*0.0517,0)</f>
        <v>7712</v>
      </c>
      <c r="H137" s="1167"/>
      <c r="I137" s="1167">
        <f>Sales_FY24!$Q$47</f>
        <v>33.549999999999997</v>
      </c>
      <c r="J137" s="1167" t="e">
        <f>+#REF!</f>
        <v>#REF!</v>
      </c>
      <c r="K137" s="1167" t="e">
        <f>+#REF!</f>
        <v>#REF!</v>
      </c>
      <c r="L137" s="1167"/>
      <c r="M137" s="1167" t="e">
        <f>ROUND(I137*1000000*K137/10000000,2)</f>
        <v>#REF!</v>
      </c>
      <c r="N137" s="1175" t="e">
        <f>+L137+M137</f>
        <v>#REF!</v>
      </c>
      <c r="O137" s="1171" t="e">
        <f>ROUND(N137/I137*10,2)</f>
        <v>#REF!</v>
      </c>
    </row>
    <row r="138" spans="1:19" ht="16.5" x14ac:dyDescent="0.2">
      <c r="A138" s="1197" t="s">
        <v>525</v>
      </c>
      <c r="B138" s="1159"/>
      <c r="C138" s="1160" t="s">
        <v>38</v>
      </c>
      <c r="D138" s="1161" t="s">
        <v>483</v>
      </c>
      <c r="E138" s="1168">
        <f>Sales_FY24!$P$48</f>
        <v>21939</v>
      </c>
      <c r="F138" s="1168">
        <f>Sales_FY24!$V$48</f>
        <v>21939</v>
      </c>
      <c r="G138" s="1160">
        <f>ROUND(E138*0.0517,0)</f>
        <v>1134</v>
      </c>
      <c r="H138" s="1162" t="s">
        <v>426</v>
      </c>
      <c r="I138" s="1167">
        <f>ROUND(F138*50*12/1000000,2)</f>
        <v>13.16</v>
      </c>
      <c r="J138" s="1167">
        <v>100</v>
      </c>
      <c r="K138" s="1167">
        <f>+K149</f>
        <v>4.0999999999999996</v>
      </c>
      <c r="L138" s="1167">
        <f>ROUND((F138*J138*12)/10000000,2)</f>
        <v>2.63</v>
      </c>
      <c r="M138" s="1167">
        <f>ROUND(I138*1000000*K138/10000000,2)</f>
        <v>5.4</v>
      </c>
      <c r="N138" s="1167"/>
      <c r="O138" s="1167"/>
    </row>
    <row r="139" spans="1:19" ht="16.5" x14ac:dyDescent="0.2">
      <c r="A139" s="1197" t="s">
        <v>525</v>
      </c>
      <c r="B139" s="1159"/>
      <c r="C139" s="1160"/>
      <c r="D139" s="1161"/>
      <c r="E139" s="1160"/>
      <c r="F139" s="1160"/>
      <c r="G139" s="1160"/>
      <c r="H139" s="1162" t="s">
        <v>432</v>
      </c>
      <c r="I139" s="1167">
        <f>I140-I138</f>
        <v>7.43</v>
      </c>
      <c r="J139" s="1167"/>
      <c r="K139" s="1167">
        <f>+K150</f>
        <v>5.6</v>
      </c>
      <c r="L139" s="1167"/>
      <c r="M139" s="1167">
        <f>ROUND(I139*1000000*K139/10000000,2)</f>
        <v>4.16</v>
      </c>
      <c r="N139" s="1167"/>
      <c r="O139" s="1167"/>
    </row>
    <row r="140" spans="1:19" ht="16.5" x14ac:dyDescent="0.2">
      <c r="A140" s="1197" t="s">
        <v>525</v>
      </c>
      <c r="B140" s="1172"/>
      <c r="C140" s="1173"/>
      <c r="D140" s="1174" t="s">
        <v>486</v>
      </c>
      <c r="E140" s="1173">
        <f>SUM(E138:E139)</f>
        <v>21939</v>
      </c>
      <c r="F140" s="1173">
        <f>SUM(F138:F139)</f>
        <v>21939</v>
      </c>
      <c r="G140" s="1173">
        <f>SUM(G138:G139)</f>
        <v>1134</v>
      </c>
      <c r="H140" s="1173"/>
      <c r="I140" s="1175">
        <f>Sales_FY24!$Q$48</f>
        <v>20.59</v>
      </c>
      <c r="J140" s="1175"/>
      <c r="K140" s="1175"/>
      <c r="L140" s="1175">
        <f>SUM(L138:L139)</f>
        <v>2.63</v>
      </c>
      <c r="M140" s="1175">
        <f>SUM(M138:M139)</f>
        <v>9.56</v>
      </c>
      <c r="N140" s="1175">
        <f>+L140+M140</f>
        <v>12.190000000000001</v>
      </c>
      <c r="O140" s="1171">
        <f>ROUND(N140/I140*10,2)</f>
        <v>5.92</v>
      </c>
    </row>
    <row r="141" spans="1:19" ht="16.5" x14ac:dyDescent="0.2">
      <c r="A141" s="1197" t="s">
        <v>525</v>
      </c>
      <c r="B141" s="1164">
        <v>1</v>
      </c>
      <c r="C141" s="1165" t="s">
        <v>484</v>
      </c>
      <c r="D141" s="1165"/>
      <c r="E141" s="1169">
        <f>+E137+E140</f>
        <v>171110</v>
      </c>
      <c r="F141" s="1169">
        <f>+F137+F140</f>
        <v>171110</v>
      </c>
      <c r="G141" s="1169">
        <f>+G137+G140</f>
        <v>8846</v>
      </c>
      <c r="H141" s="1165"/>
      <c r="I141" s="1170">
        <f>+I137+I140</f>
        <v>54.14</v>
      </c>
      <c r="J141" s="1170"/>
      <c r="K141" s="1170"/>
      <c r="L141" s="1170">
        <f>+L137+L140</f>
        <v>2.63</v>
      </c>
      <c r="M141" s="1170" t="e">
        <f>+M137+M140</f>
        <v>#REF!</v>
      </c>
      <c r="N141" s="1170" t="e">
        <f>L141+M141</f>
        <v>#REF!</v>
      </c>
      <c r="O141" s="1170"/>
      <c r="R141" s="1224" t="e">
        <f>+N141-#REF!</f>
        <v>#REF!</v>
      </c>
    </row>
    <row r="142" spans="1:19" ht="16.5" x14ac:dyDescent="0.2">
      <c r="A142" s="1197" t="s">
        <v>525</v>
      </c>
      <c r="B142" s="1163"/>
      <c r="C142" s="1163"/>
      <c r="D142" s="1163"/>
      <c r="E142" s="1163"/>
      <c r="F142" s="1163"/>
      <c r="G142" s="1163"/>
      <c r="H142" s="1163"/>
      <c r="I142" s="1176"/>
      <c r="J142" s="1176"/>
      <c r="K142" s="1176"/>
      <c r="L142" s="1176"/>
      <c r="M142" s="1176"/>
      <c r="N142" s="1176"/>
      <c r="O142" s="1176"/>
    </row>
    <row r="143" spans="1:19" ht="16.5" x14ac:dyDescent="0.2">
      <c r="A143" s="1197" t="s">
        <v>525</v>
      </c>
      <c r="B143" s="1159"/>
      <c r="C143" s="1160" t="s">
        <v>485</v>
      </c>
      <c r="D143" s="1160" t="s">
        <v>43</v>
      </c>
      <c r="E143" s="1160">
        <f>ROUND(E147*27.59%,0)</f>
        <v>205864</v>
      </c>
      <c r="F143" s="1160">
        <f>ROUND(F147*27.59%,0)</f>
        <v>203751</v>
      </c>
      <c r="G143" s="1160">
        <f>ROUND(F143*0.63,0)</f>
        <v>128363</v>
      </c>
      <c r="H143" s="1162" t="s">
        <v>426</v>
      </c>
      <c r="I143" s="1167">
        <f>ROUND(I147*36.13%,2)</f>
        <v>328.04</v>
      </c>
      <c r="J143" s="1167" t="e">
        <f>+#REF!</f>
        <v>#REF!</v>
      </c>
      <c r="K143" s="1167" t="e">
        <f>+#REF!</f>
        <v>#REF!</v>
      </c>
      <c r="L143" s="1167" t="e">
        <f>ROUND((F143*J143*12)/10000000,2)</f>
        <v>#REF!</v>
      </c>
      <c r="M143" s="1167" t="e">
        <f>ROUND(I143*1000000*K143/10000000,2)</f>
        <v>#REF!</v>
      </c>
      <c r="N143" s="1167"/>
      <c r="O143" s="1171"/>
    </row>
    <row r="144" spans="1:19" ht="16.5" x14ac:dyDescent="0.2">
      <c r="A144" s="1197" t="s">
        <v>525</v>
      </c>
      <c r="B144" s="1159"/>
      <c r="C144" s="1160"/>
      <c r="D144" s="1160" t="s">
        <v>451</v>
      </c>
      <c r="E144" s="1160">
        <f>ROUND(E147*72.41%,0)</f>
        <v>540290</v>
      </c>
      <c r="F144" s="1160">
        <f>ROUND(F147*72.41%,0)</f>
        <v>534746</v>
      </c>
      <c r="G144" s="1160">
        <f>ROUND(F144*2.45,0)</f>
        <v>1310128</v>
      </c>
      <c r="H144" s="1162" t="s">
        <v>432</v>
      </c>
      <c r="I144" s="1167">
        <f>ROUND(I147*24.42%,2)</f>
        <v>221.72</v>
      </c>
      <c r="J144" s="1167" t="e">
        <f>+#REF!</f>
        <v>#REF!</v>
      </c>
      <c r="K144" s="1167" t="e">
        <f>+#REF!</f>
        <v>#REF!</v>
      </c>
      <c r="L144" s="1167" t="e">
        <f>ROUND(((F144*J143*12)+((G144-F144)*J144*12))/10000000,2)</f>
        <v>#REF!</v>
      </c>
      <c r="M144" s="1167" t="e">
        <f>ROUND(I144*1000000*K144/10000000,2)</f>
        <v>#REF!</v>
      </c>
      <c r="N144" s="1167"/>
      <c r="O144" s="1167"/>
    </row>
    <row r="145" spans="1:18" ht="16.5" x14ac:dyDescent="0.2">
      <c r="A145" s="1197" t="s">
        <v>525</v>
      </c>
      <c r="B145" s="1159"/>
      <c r="C145" s="1160"/>
      <c r="D145" s="1160" t="s">
        <v>444</v>
      </c>
      <c r="E145" s="1160">
        <f>+E147-E143-E144</f>
        <v>0</v>
      </c>
      <c r="F145" s="1160">
        <f>+F147-F143-F144</f>
        <v>0</v>
      </c>
      <c r="G145" s="1160">
        <f>ROUND(F145*0,0)</f>
        <v>0</v>
      </c>
      <c r="H145" s="1162" t="s">
        <v>380</v>
      </c>
      <c r="I145" s="1167">
        <f>ROUND(I147*23.94%,2)</f>
        <v>217.36</v>
      </c>
      <c r="J145" s="1167" t="e">
        <f>+#REF!</f>
        <v>#REF!</v>
      </c>
      <c r="K145" s="1167" t="e">
        <f>+#REF!</f>
        <v>#REF!</v>
      </c>
      <c r="L145" s="1167" t="e">
        <f>ROUND(((F145*J143*12)+(F145*49*12*J144)+((G145-(F145*50))*12*J145))/10000000,2)</f>
        <v>#REF!</v>
      </c>
      <c r="M145" s="1167" t="e">
        <f>ROUND(I145*1000000*K145/10000000,2)</f>
        <v>#REF!</v>
      </c>
      <c r="N145" s="1167"/>
      <c r="O145" s="1167"/>
    </row>
    <row r="146" spans="1:18" ht="16.5" x14ac:dyDescent="0.2">
      <c r="A146" s="1197" t="s">
        <v>525</v>
      </c>
      <c r="B146" s="1159"/>
      <c r="C146" s="1160"/>
      <c r="D146" s="1160"/>
      <c r="E146" s="1160"/>
      <c r="F146" s="1160"/>
      <c r="G146" s="1160"/>
      <c r="H146" s="1162" t="s">
        <v>411</v>
      </c>
      <c r="I146" s="1167">
        <f>+I147-I143-I144-I145</f>
        <v>140.82000000000005</v>
      </c>
      <c r="J146" s="1167"/>
      <c r="K146" s="1167" t="e">
        <f>+#REF!</f>
        <v>#REF!</v>
      </c>
      <c r="L146" s="1167"/>
      <c r="M146" s="1167" t="e">
        <f>ROUND(I146*1000000*K146/10000000,2)</f>
        <v>#REF!</v>
      </c>
      <c r="N146" s="1167"/>
      <c r="O146" s="1167"/>
    </row>
    <row r="147" spans="1:18" ht="16.5" x14ac:dyDescent="0.2">
      <c r="A147" s="1197" t="s">
        <v>525</v>
      </c>
      <c r="B147" s="1164"/>
      <c r="C147" s="1165"/>
      <c r="D147" s="1166" t="s">
        <v>486</v>
      </c>
      <c r="E147" s="1165">
        <f>ROUND(E154*42.89435%,0)</f>
        <v>746154</v>
      </c>
      <c r="F147" s="1165">
        <f>ROUND(F154*42.89435%,0)</f>
        <v>738497</v>
      </c>
      <c r="G147" s="1165">
        <f>SUM(G143:G146)</f>
        <v>1438491</v>
      </c>
      <c r="H147" s="1165"/>
      <c r="I147" s="1170">
        <f>ROUND(I154*53.45%,2)</f>
        <v>907.94</v>
      </c>
      <c r="J147" s="1170"/>
      <c r="K147" s="1170"/>
      <c r="L147" s="1170" t="e">
        <f>SUM(L143:L146)</f>
        <v>#REF!</v>
      </c>
      <c r="M147" s="1170" t="e">
        <f>SUM(M143:M146)</f>
        <v>#REF!</v>
      </c>
      <c r="N147" s="1170" t="e">
        <f>L147+M147</f>
        <v>#REF!</v>
      </c>
      <c r="O147" s="1177" t="e">
        <f>ROUND(N147/I147*10,2)</f>
        <v>#REF!</v>
      </c>
      <c r="R147" s="1224" t="e">
        <f>+N147-#REF!</f>
        <v>#REF!</v>
      </c>
    </row>
    <row r="148" spans="1:18" ht="16.5" x14ac:dyDescent="0.2">
      <c r="A148" s="1197" t="s">
        <v>525</v>
      </c>
      <c r="B148" s="1163"/>
      <c r="C148" s="1163"/>
      <c r="D148" s="1163"/>
      <c r="E148" s="1163"/>
      <c r="F148" s="1163"/>
      <c r="G148" s="1163"/>
      <c r="H148" s="1163"/>
      <c r="I148" s="1176"/>
      <c r="J148" s="1176"/>
      <c r="K148" s="1176"/>
      <c r="L148" s="1176"/>
      <c r="M148" s="1176"/>
      <c r="N148" s="1176"/>
      <c r="O148" s="1176"/>
    </row>
    <row r="149" spans="1:18" ht="16.5" x14ac:dyDescent="0.2">
      <c r="A149" s="1197" t="s">
        <v>525</v>
      </c>
      <c r="B149" s="1159"/>
      <c r="C149" s="1160" t="s">
        <v>555</v>
      </c>
      <c r="D149" s="1160" t="s">
        <v>43</v>
      </c>
      <c r="E149" s="1160">
        <f>ROUND(E153*29.585%,0)</f>
        <v>293886</v>
      </c>
      <c r="F149" s="1160">
        <f>ROUND(F153*29.585%,0)</f>
        <v>290870</v>
      </c>
      <c r="G149" s="1160">
        <f>ROUND(F149*0.62,0)</f>
        <v>180339</v>
      </c>
      <c r="H149" s="1162" t="s">
        <v>426</v>
      </c>
      <c r="I149" s="1167">
        <f>ROUND(I153*46.08%,2)</f>
        <v>364.37</v>
      </c>
      <c r="J149" s="1167">
        <v>100</v>
      </c>
      <c r="K149" s="1167">
        <v>4.0999999999999996</v>
      </c>
      <c r="L149" s="1167">
        <f>ROUND((F149*J149*12)/10000000,2)</f>
        <v>34.9</v>
      </c>
      <c r="M149" s="1167">
        <f>ROUND(I149*1000000*K149/10000000,2)</f>
        <v>149.38999999999999</v>
      </c>
      <c r="N149" s="1167"/>
      <c r="O149" s="1167"/>
    </row>
    <row r="150" spans="1:18" ht="16.5" x14ac:dyDescent="0.2">
      <c r="A150" s="1197" t="s">
        <v>525</v>
      </c>
      <c r="B150" s="1159"/>
      <c r="C150" s="1160"/>
      <c r="D150" s="1160" t="s">
        <v>451</v>
      </c>
      <c r="E150" s="1160">
        <f>ROUND(E153*70.415%,0)</f>
        <v>699476</v>
      </c>
      <c r="F150" s="1160">
        <f>ROUND(F153*70.415%,0)</f>
        <v>692298</v>
      </c>
      <c r="G150" s="1160">
        <f>ROUND(F150*1.55,0)</f>
        <v>1073062</v>
      </c>
      <c r="H150" s="1162" t="s">
        <v>432</v>
      </c>
      <c r="I150" s="1167">
        <f>ROUND(I153*25.24%,2)</f>
        <v>199.58</v>
      </c>
      <c r="J150" s="1167">
        <v>110</v>
      </c>
      <c r="K150" s="1167">
        <v>5.6</v>
      </c>
      <c r="L150" s="1167">
        <f>ROUND(((F150*J149*12)+((G150-F150)*J150*12))/10000000,2)</f>
        <v>133.34</v>
      </c>
      <c r="M150" s="1167">
        <f>ROUND(I150*1000000*K150/10000000,2)</f>
        <v>111.76</v>
      </c>
      <c r="N150" s="1167"/>
      <c r="O150" s="1167"/>
    </row>
    <row r="151" spans="1:18" ht="16.5" x14ac:dyDescent="0.2">
      <c r="A151" s="1197" t="s">
        <v>525</v>
      </c>
      <c r="B151" s="1159"/>
      <c r="C151" s="1160"/>
      <c r="D151" s="1160" t="s">
        <v>444</v>
      </c>
      <c r="E151" s="1160">
        <f>+E153-E149-E150</f>
        <v>0</v>
      </c>
      <c r="F151" s="1160">
        <f>+F153-F149-F150</f>
        <v>0</v>
      </c>
      <c r="G151" s="1160">
        <f>ROUND(F151*0,0)</f>
        <v>0</v>
      </c>
      <c r="H151" s="1162" t="s">
        <v>380</v>
      </c>
      <c r="I151" s="1167">
        <f>ROUND(I153*18.93%,2)</f>
        <v>149.69</v>
      </c>
      <c r="J151" s="1167">
        <v>175</v>
      </c>
      <c r="K151" s="1167">
        <v>7.15</v>
      </c>
      <c r="L151" s="1167">
        <f>ROUND(((F151*J149*12)+(F151*49*12*J150)+((G151-(F151*50))*12*J151))/10000000,2)</f>
        <v>0</v>
      </c>
      <c r="M151" s="1167">
        <f>ROUND(I151*1000000*K151/10000000,2)</f>
        <v>107.03</v>
      </c>
      <c r="N151" s="1167"/>
      <c r="O151" s="1167"/>
    </row>
    <row r="152" spans="1:18" ht="16.5" x14ac:dyDescent="0.2">
      <c r="A152" s="1197" t="s">
        <v>525</v>
      </c>
      <c r="B152" s="1159"/>
      <c r="C152" s="1160"/>
      <c r="D152" s="1160"/>
      <c r="E152" s="1160"/>
      <c r="F152" s="1160"/>
      <c r="G152" s="1160"/>
      <c r="H152" s="1162" t="s">
        <v>411</v>
      </c>
      <c r="I152" s="1167">
        <f>+I153-I149-I150-I151</f>
        <v>77.09</v>
      </c>
      <c r="J152" s="1167"/>
      <c r="K152" s="1167">
        <v>8.1999999999999993</v>
      </c>
      <c r="L152" s="1167"/>
      <c r="M152" s="1167">
        <f>ROUND(I152*1000000*K152/10000000,2)</f>
        <v>63.21</v>
      </c>
      <c r="N152" s="1167"/>
      <c r="O152" s="1167"/>
    </row>
    <row r="153" spans="1:18" ht="16.5" x14ac:dyDescent="0.2">
      <c r="A153" s="1197" t="s">
        <v>525</v>
      </c>
      <c r="B153" s="1164"/>
      <c r="C153" s="1165"/>
      <c r="D153" s="1166" t="s">
        <v>486</v>
      </c>
      <c r="E153" s="1169">
        <f>E154-E147</f>
        <v>993362</v>
      </c>
      <c r="F153" s="1169">
        <f>F154-F147</f>
        <v>983168</v>
      </c>
      <c r="G153" s="1165">
        <f>SUM(G149:G152)</f>
        <v>1253401</v>
      </c>
      <c r="H153" s="1165"/>
      <c r="I153" s="1170">
        <f>I154-I147</f>
        <v>790.73</v>
      </c>
      <c r="J153" s="1170"/>
      <c r="K153" s="1170"/>
      <c r="L153" s="1170">
        <f>SUM(L149:L152)</f>
        <v>168.24</v>
      </c>
      <c r="M153" s="1170">
        <f>SUM(M149:M152)</f>
        <v>431.38999999999993</v>
      </c>
      <c r="N153" s="1170">
        <f>L153+M153</f>
        <v>599.62999999999988</v>
      </c>
      <c r="O153" s="1177">
        <f>ROUND(N153/I153*10,2)</f>
        <v>7.58</v>
      </c>
      <c r="R153" s="1224" t="e">
        <f>+N153-#REF!</f>
        <v>#REF!</v>
      </c>
    </row>
    <row r="154" spans="1:18" ht="16.5" x14ac:dyDescent="0.2">
      <c r="A154" s="1197" t="s">
        <v>525</v>
      </c>
      <c r="B154" s="1164">
        <v>2</v>
      </c>
      <c r="C154" s="1165" t="s">
        <v>490</v>
      </c>
      <c r="D154" s="1165"/>
      <c r="E154" s="1169">
        <f>Sales_FY24!$P$49</f>
        <v>1739516</v>
      </c>
      <c r="F154" s="1169">
        <f>Sales_FY24!$V$49</f>
        <v>1721665</v>
      </c>
      <c r="G154" s="1169">
        <f>G147+G153</f>
        <v>2691892</v>
      </c>
      <c r="H154" s="1165"/>
      <c r="I154" s="1170">
        <f>Sales_FY24!$Q$49</f>
        <v>1698.67</v>
      </c>
      <c r="J154" s="1170"/>
      <c r="K154" s="1170"/>
      <c r="L154" s="1170" t="e">
        <f>L147+L153</f>
        <v>#REF!</v>
      </c>
      <c r="M154" s="1170" t="e">
        <f>M147+M153</f>
        <v>#REF!</v>
      </c>
      <c r="N154" s="1170" t="e">
        <f>L154+M154</f>
        <v>#REF!</v>
      </c>
      <c r="O154" s="1177" t="e">
        <f>ROUND(N154/I154*10,2)</f>
        <v>#REF!</v>
      </c>
      <c r="R154" s="1224"/>
    </row>
    <row r="155" spans="1:18" ht="16.5" x14ac:dyDescent="0.2">
      <c r="A155" s="1197" t="s">
        <v>525</v>
      </c>
      <c r="B155" s="1163"/>
      <c r="C155" s="1163"/>
      <c r="D155" s="1163"/>
      <c r="E155" s="1163"/>
      <c r="F155" s="1163"/>
      <c r="G155" s="1163"/>
      <c r="H155" s="1163"/>
      <c r="I155" s="1176"/>
      <c r="J155" s="1176"/>
      <c r="K155" s="1176"/>
      <c r="L155" s="1176"/>
      <c r="M155" s="1176"/>
      <c r="N155" s="1176"/>
      <c r="O155" s="1176"/>
    </row>
    <row r="156" spans="1:18" ht="16.5" x14ac:dyDescent="0.2">
      <c r="A156" s="1197" t="s">
        <v>525</v>
      </c>
      <c r="B156" s="1159"/>
      <c r="C156" s="1160" t="s">
        <v>491</v>
      </c>
      <c r="D156" s="1160" t="s">
        <v>492</v>
      </c>
      <c r="E156" s="1160">
        <f>ROUND(E159*100%,0)</f>
        <v>1977</v>
      </c>
      <c r="F156" s="1160">
        <f>ROUND(F159*100%,0)</f>
        <v>1960</v>
      </c>
      <c r="G156" s="1160">
        <f>ROUND(F156*6.91,0)</f>
        <v>13544</v>
      </c>
      <c r="H156" s="1162" t="s">
        <v>493</v>
      </c>
      <c r="I156" s="1167">
        <f>ROUND(I159*67.9%,2)</f>
        <v>4.51</v>
      </c>
      <c r="J156" s="1167" t="e">
        <f>+#REF!</f>
        <v>#REF!</v>
      </c>
      <c r="K156" s="1167" t="e">
        <f>+#REF!</f>
        <v>#REF!</v>
      </c>
      <c r="L156" s="1167" t="e">
        <f>ROUND(G156*J156*12/10000000,2)</f>
        <v>#REF!</v>
      </c>
      <c r="M156" s="1167" t="e">
        <f>ROUND(I156*1000000*K156/10000000,2)</f>
        <v>#REF!</v>
      </c>
      <c r="N156" s="1167"/>
      <c r="O156" s="1167"/>
    </row>
    <row r="157" spans="1:18" ht="16.5" x14ac:dyDescent="0.2">
      <c r="A157" s="1197" t="s">
        <v>525</v>
      </c>
      <c r="B157" s="1159"/>
      <c r="C157" s="1160"/>
      <c r="D157" s="1160" t="s">
        <v>444</v>
      </c>
      <c r="E157" s="1160">
        <f>E159-E156</f>
        <v>0</v>
      </c>
      <c r="F157" s="1160">
        <f>F159-F156</f>
        <v>0</v>
      </c>
      <c r="G157" s="1160">
        <f>ROUND(F157*0,0)</f>
        <v>0</v>
      </c>
      <c r="H157" s="1162" t="s">
        <v>411</v>
      </c>
      <c r="I157" s="1167">
        <f>I159-I156</f>
        <v>2.13</v>
      </c>
      <c r="J157" s="1167" t="e">
        <f>+#REF!</f>
        <v>#REF!</v>
      </c>
      <c r="K157" s="1167" t="e">
        <f>+#REF!</f>
        <v>#REF!</v>
      </c>
      <c r="L157" s="1167" t="e">
        <f>ROUND(((F157*J156*50*12)+((G157-(F157*50))*J157*12))/10000000,2)</f>
        <v>#REF!</v>
      </c>
      <c r="M157" s="1167" t="e">
        <f>ROUND(I157*1000000*K157/10000000,2)</f>
        <v>#REF!</v>
      </c>
      <c r="N157" s="1167"/>
      <c r="O157" s="1167"/>
    </row>
    <row r="158" spans="1:18" ht="16.5" x14ac:dyDescent="0.2">
      <c r="A158" s="1197" t="s">
        <v>525</v>
      </c>
      <c r="B158" s="1159"/>
      <c r="C158" s="1160"/>
      <c r="D158" s="1160" t="s">
        <v>556</v>
      </c>
      <c r="E158" s="1160"/>
      <c r="F158" s="1160"/>
      <c r="G158" s="1160"/>
      <c r="H158" s="1162"/>
      <c r="I158" s="1167"/>
      <c r="J158" s="1186" t="e">
        <f>+#REF!</f>
        <v>#REF!</v>
      </c>
      <c r="K158" s="1167"/>
      <c r="L158" s="1167"/>
      <c r="M158" s="1167"/>
      <c r="N158" s="1167"/>
      <c r="O158" s="1167"/>
    </row>
    <row r="159" spans="1:18" ht="16.5" x14ac:dyDescent="0.2">
      <c r="A159" s="1197" t="s">
        <v>525</v>
      </c>
      <c r="B159" s="1164"/>
      <c r="C159" s="1165"/>
      <c r="D159" s="1166" t="s">
        <v>486</v>
      </c>
      <c r="E159" s="1165">
        <f>ROUND(E165*52.11%,0)</f>
        <v>1977</v>
      </c>
      <c r="F159" s="1165">
        <f>ROUND(F165*52.11%,0)</f>
        <v>1960</v>
      </c>
      <c r="G159" s="1165">
        <f>SUM(G156:G157)</f>
        <v>13544</v>
      </c>
      <c r="H159" s="1165"/>
      <c r="I159" s="1170">
        <f>ROUND(I165*57.75%,2)</f>
        <v>6.64</v>
      </c>
      <c r="J159" s="1170"/>
      <c r="K159" s="1170"/>
      <c r="L159" s="1170" t="e">
        <f>SUM(L156:L157)</f>
        <v>#REF!</v>
      </c>
      <c r="M159" s="1170" t="e">
        <f>SUM(M156:M157)</f>
        <v>#REF!</v>
      </c>
      <c r="N159" s="1170" t="e">
        <f>L159+M159</f>
        <v>#REF!</v>
      </c>
      <c r="O159" s="1177" t="e">
        <f>ROUND(N159/I159*10,2)</f>
        <v>#REF!</v>
      </c>
      <c r="R159" s="1224" t="e">
        <f>+N159-#REF!</f>
        <v>#REF!</v>
      </c>
    </row>
    <row r="160" spans="1:18" ht="16.5" x14ac:dyDescent="0.2">
      <c r="A160" s="1197" t="s">
        <v>525</v>
      </c>
      <c r="B160" s="1163"/>
      <c r="C160" s="1163"/>
      <c r="D160" s="1163"/>
      <c r="E160" s="1163"/>
      <c r="F160" s="1163"/>
      <c r="G160" s="1163"/>
      <c r="H160" s="1163"/>
      <c r="I160" s="1176"/>
      <c r="J160" s="1176"/>
      <c r="K160" s="1176"/>
      <c r="L160" s="1176"/>
      <c r="M160" s="1176"/>
      <c r="N160" s="1176"/>
      <c r="O160" s="1176"/>
    </row>
    <row r="161" spans="1:18" ht="16.5" x14ac:dyDescent="0.2">
      <c r="A161" s="1197" t="s">
        <v>525</v>
      </c>
      <c r="B161" s="1159"/>
      <c r="C161" s="1160" t="s">
        <v>554</v>
      </c>
      <c r="D161" s="1160" t="s">
        <v>492</v>
      </c>
      <c r="E161" s="1160">
        <f>ROUND(E164*100%,0)</f>
        <v>1817</v>
      </c>
      <c r="F161" s="1160">
        <f>ROUND(F164*100%,0)</f>
        <v>1801</v>
      </c>
      <c r="G161" s="1160">
        <f>ROUND(F161*4.99,0)</f>
        <v>8987</v>
      </c>
      <c r="H161" s="1162" t="s">
        <v>493</v>
      </c>
      <c r="I161" s="1167">
        <f>ROUND(I164*87%,2)</f>
        <v>4.2300000000000004</v>
      </c>
      <c r="J161" s="1167" t="e">
        <f>+#REF!</f>
        <v>#REF!</v>
      </c>
      <c r="K161" s="1167" t="e">
        <f>+#REF!</f>
        <v>#REF!</v>
      </c>
      <c r="L161" s="1167" t="e">
        <f>ROUND(G161*J161*12/10000000,2)</f>
        <v>#REF!</v>
      </c>
      <c r="M161" s="1167" t="e">
        <f>ROUND(I161*1000000*K161/10000000,2)</f>
        <v>#REF!</v>
      </c>
      <c r="N161" s="1167"/>
      <c r="O161" s="1167"/>
    </row>
    <row r="162" spans="1:18" ht="16.5" x14ac:dyDescent="0.2">
      <c r="A162" s="1197" t="s">
        <v>525</v>
      </c>
      <c r="B162" s="1159"/>
      <c r="C162" s="1160"/>
      <c r="D162" s="1160" t="s">
        <v>444</v>
      </c>
      <c r="E162" s="1160">
        <f>E164-E161</f>
        <v>0</v>
      </c>
      <c r="F162" s="1160">
        <f>F164-F161</f>
        <v>0</v>
      </c>
      <c r="G162" s="1160">
        <f>ROUND(F162*0,0)</f>
        <v>0</v>
      </c>
      <c r="H162" s="1162" t="s">
        <v>411</v>
      </c>
      <c r="I162" s="1167">
        <f>I164-I161</f>
        <v>0.62999999999999989</v>
      </c>
      <c r="J162" s="1167" t="e">
        <f>+#REF!</f>
        <v>#REF!</v>
      </c>
      <c r="K162" s="1167" t="e">
        <f>+#REF!</f>
        <v>#REF!</v>
      </c>
      <c r="L162" s="1167" t="e">
        <f>ROUND(((F162*J161*50*12)+((G162-(F162*50))*J162*12))/10000000,2)</f>
        <v>#REF!</v>
      </c>
      <c r="M162" s="1167" t="e">
        <f>ROUND(I162*1000000*K162/10000000,2)</f>
        <v>#REF!</v>
      </c>
      <c r="N162" s="1167"/>
      <c r="O162" s="1167"/>
    </row>
    <row r="163" spans="1:18" ht="16.5" x14ac:dyDescent="0.2">
      <c r="A163" s="1197" t="s">
        <v>525</v>
      </c>
      <c r="B163" s="1159"/>
      <c r="C163" s="1160"/>
      <c r="D163" s="1160" t="s">
        <v>556</v>
      </c>
      <c r="E163" s="1160"/>
      <c r="F163" s="1160"/>
      <c r="G163" s="1160"/>
      <c r="H163" s="1162"/>
      <c r="I163" s="1167"/>
      <c r="J163" s="1186" t="e">
        <f>+#REF!</f>
        <v>#REF!</v>
      </c>
      <c r="K163" s="1167"/>
      <c r="L163" s="1167"/>
      <c r="M163" s="1167"/>
      <c r="N163" s="1167"/>
      <c r="O163" s="1167"/>
    </row>
    <row r="164" spans="1:18" ht="16.5" x14ac:dyDescent="0.2">
      <c r="A164" s="1197" t="s">
        <v>525</v>
      </c>
      <c r="B164" s="1164"/>
      <c r="C164" s="1165"/>
      <c r="D164" s="1166" t="s">
        <v>486</v>
      </c>
      <c r="E164" s="1169">
        <f>E165-E159</f>
        <v>1817</v>
      </c>
      <c r="F164" s="1169">
        <f>F165-F159</f>
        <v>1801</v>
      </c>
      <c r="G164" s="1165">
        <f>SUM(G161:G162)</f>
        <v>8987</v>
      </c>
      <c r="H164" s="1165"/>
      <c r="I164" s="1170">
        <f>I165-I159</f>
        <v>4.8600000000000003</v>
      </c>
      <c r="J164" s="1170"/>
      <c r="K164" s="1170"/>
      <c r="L164" s="1170" t="e">
        <f>SUM(L161:L162)</f>
        <v>#REF!</v>
      </c>
      <c r="M164" s="1170" t="e">
        <f>SUM(M161:M162)</f>
        <v>#REF!</v>
      </c>
      <c r="N164" s="1170" t="e">
        <f>L164+M164</f>
        <v>#REF!</v>
      </c>
      <c r="O164" s="1177" t="e">
        <f>ROUND(N164/I164*10,2)</f>
        <v>#REF!</v>
      </c>
      <c r="R164" s="1224" t="e">
        <f>+N164-#REF!</f>
        <v>#REF!</v>
      </c>
    </row>
    <row r="165" spans="1:18" ht="16.5" x14ac:dyDescent="0.2">
      <c r="A165" s="1197" t="s">
        <v>525</v>
      </c>
      <c r="B165" s="1164">
        <v>3</v>
      </c>
      <c r="C165" s="1165" t="s">
        <v>553</v>
      </c>
      <c r="D165" s="1165"/>
      <c r="E165" s="1169">
        <f>Sales_FY24!$P$50</f>
        <v>3794</v>
      </c>
      <c r="F165" s="1169">
        <f>Sales_FY24!$V$50</f>
        <v>3761</v>
      </c>
      <c r="G165" s="1169">
        <f>G156+G164</f>
        <v>22531</v>
      </c>
      <c r="H165" s="1165"/>
      <c r="I165" s="1170">
        <f>Sales_FY24!$Q$50</f>
        <v>11.5</v>
      </c>
      <c r="J165" s="1170"/>
      <c r="K165" s="1170"/>
      <c r="L165" s="1170" t="e">
        <f>L159+L164</f>
        <v>#REF!</v>
      </c>
      <c r="M165" s="1170" t="e">
        <f>M159+M164</f>
        <v>#REF!</v>
      </c>
      <c r="N165" s="1170" t="e">
        <f>L165+M165</f>
        <v>#REF!</v>
      </c>
      <c r="O165" s="1177" t="e">
        <f>ROUND(N165/I165*10,2)</f>
        <v>#REF!</v>
      </c>
    </row>
    <row r="166" spans="1:18" ht="16.5" x14ac:dyDescent="0.2">
      <c r="A166" s="1197" t="s">
        <v>525</v>
      </c>
      <c r="B166" s="1163"/>
      <c r="C166" s="1163"/>
      <c r="D166" s="1163"/>
      <c r="E166" s="1163"/>
      <c r="F166" s="1163"/>
      <c r="G166" s="1163"/>
      <c r="H166" s="1163"/>
      <c r="I166" s="1176"/>
      <c r="J166" s="1176"/>
      <c r="K166" s="1176"/>
      <c r="L166" s="1176"/>
      <c r="M166" s="1176"/>
      <c r="N166" s="1176"/>
      <c r="O166" s="1176"/>
    </row>
    <row r="167" spans="1:18" ht="16.5" x14ac:dyDescent="0.2">
      <c r="A167" s="1197" t="s">
        <v>525</v>
      </c>
      <c r="B167" s="1159"/>
      <c r="C167" s="1160" t="s">
        <v>69</v>
      </c>
      <c r="D167" s="1160" t="s">
        <v>492</v>
      </c>
      <c r="E167" s="1160">
        <f>ROUND(E169*100%,0)</f>
        <v>152462</v>
      </c>
      <c r="F167" s="1160">
        <f>ROUND(F169*100%,0)</f>
        <v>149839</v>
      </c>
      <c r="G167" s="1160">
        <f>ROUND(F167*2.25,0)</f>
        <v>337138</v>
      </c>
      <c r="H167" s="1162" t="s">
        <v>426</v>
      </c>
      <c r="I167" s="1167">
        <f>ROUND(I169*8.23%,2)</f>
        <v>20.23</v>
      </c>
      <c r="J167" s="1167" t="e">
        <f>+#REF!</f>
        <v>#REF!</v>
      </c>
      <c r="K167" s="1167" t="e">
        <f>+#REF!</f>
        <v>#REF!</v>
      </c>
      <c r="L167" s="1167" t="e">
        <f>ROUND(G167*J167*12/10000000,2)</f>
        <v>#REF!</v>
      </c>
      <c r="M167" s="1167" t="e">
        <f>ROUND(I167*1000000*K167/10000000,2)</f>
        <v>#REF!</v>
      </c>
      <c r="N167" s="1167"/>
      <c r="O167" s="1167"/>
    </row>
    <row r="168" spans="1:18" ht="16.5" x14ac:dyDescent="0.2">
      <c r="A168" s="1197" t="s">
        <v>525</v>
      </c>
      <c r="B168" s="1159"/>
      <c r="C168" s="1160"/>
      <c r="D168" s="1160" t="s">
        <v>444</v>
      </c>
      <c r="E168" s="1160">
        <f>E169-E167</f>
        <v>0</v>
      </c>
      <c r="F168" s="1160">
        <f>F169-F167</f>
        <v>0</v>
      </c>
      <c r="G168" s="1160">
        <f>ROUND(F168*0,0)</f>
        <v>0</v>
      </c>
      <c r="H168" s="1162" t="s">
        <v>558</v>
      </c>
      <c r="I168" s="1167">
        <f>I169-I167</f>
        <v>225.59</v>
      </c>
      <c r="J168" s="1167" t="e">
        <f>+#REF!</f>
        <v>#REF!</v>
      </c>
      <c r="K168" s="1167" t="e">
        <f>+#REF!</f>
        <v>#REF!</v>
      </c>
      <c r="L168" s="1167" t="e">
        <f>ROUND(((F168*J167*50*12)+((G168-(F168*50))*J168*12))/10000000,2)</f>
        <v>#REF!</v>
      </c>
      <c r="M168" s="1167" t="e">
        <f>ROUND(I168*1000000*K168/10000000,2)</f>
        <v>#REF!</v>
      </c>
      <c r="N168" s="1167"/>
      <c r="O168" s="1167"/>
    </row>
    <row r="169" spans="1:18" ht="16.5" x14ac:dyDescent="0.2">
      <c r="A169" s="1197" t="s">
        <v>525</v>
      </c>
      <c r="B169" s="1164"/>
      <c r="C169" s="1165"/>
      <c r="D169" s="1166" t="s">
        <v>486</v>
      </c>
      <c r="E169" s="1165">
        <f>ROUND(E174*60.41%,0)</f>
        <v>152462</v>
      </c>
      <c r="F169" s="1165">
        <f>ROUND(F174*60.41%,0)</f>
        <v>149839</v>
      </c>
      <c r="G169" s="1165">
        <f>SUM(G167:G168)</f>
        <v>337138</v>
      </c>
      <c r="H169" s="1165"/>
      <c r="I169" s="1170">
        <f>ROUND(I174*61.65%,2)</f>
        <v>245.82</v>
      </c>
      <c r="J169" s="1170"/>
      <c r="K169" s="1170"/>
      <c r="L169" s="1170" t="e">
        <f>SUM(L167:L168)</f>
        <v>#REF!</v>
      </c>
      <c r="M169" s="1170" t="e">
        <f>SUM(M167:M168)</f>
        <v>#REF!</v>
      </c>
      <c r="N169" s="1170" t="e">
        <f>L169+M169</f>
        <v>#REF!</v>
      </c>
      <c r="O169" s="1177" t="e">
        <f>ROUND(N169/I169*10,2)</f>
        <v>#REF!</v>
      </c>
      <c r="R169" s="1224" t="e">
        <f>+N169-#REF!</f>
        <v>#REF!</v>
      </c>
    </row>
    <row r="170" spans="1:18" ht="16.5" x14ac:dyDescent="0.2">
      <c r="A170" s="1197" t="s">
        <v>525</v>
      </c>
      <c r="B170" s="1163"/>
      <c r="C170" s="1163"/>
      <c r="D170" s="1163"/>
      <c r="E170" s="1163"/>
      <c r="F170" s="1163"/>
      <c r="G170" s="1163"/>
      <c r="H170" s="1163"/>
      <c r="I170" s="1176"/>
      <c r="J170" s="1176"/>
      <c r="K170" s="1176"/>
      <c r="L170" s="1176"/>
      <c r="M170" s="1176"/>
      <c r="N170" s="1176"/>
      <c r="O170" s="1176"/>
    </row>
    <row r="171" spans="1:18" ht="16.5" x14ac:dyDescent="0.2">
      <c r="A171" s="1197" t="s">
        <v>525</v>
      </c>
      <c r="B171" s="1159"/>
      <c r="C171" s="1160" t="s">
        <v>76</v>
      </c>
      <c r="D171" s="1160" t="s">
        <v>492</v>
      </c>
      <c r="E171" s="1160">
        <f>ROUND(E173*100%,0)</f>
        <v>99916</v>
      </c>
      <c r="F171" s="1160">
        <f>ROUND(F173*100%,0)</f>
        <v>98197</v>
      </c>
      <c r="G171" s="1160">
        <f>ROUND(F171*1.78,0)</f>
        <v>174791</v>
      </c>
      <c r="H171" s="1162" t="s">
        <v>426</v>
      </c>
      <c r="I171" s="1167">
        <f>ROUND(I173*7.48%,2)</f>
        <v>11.44</v>
      </c>
      <c r="J171" s="1167" t="e">
        <f>+#REF!</f>
        <v>#REF!</v>
      </c>
      <c r="K171" s="1167" t="e">
        <f>+#REF!</f>
        <v>#REF!</v>
      </c>
      <c r="L171" s="1167" t="e">
        <f>ROUND(G171*J171*12/10000000,2)</f>
        <v>#REF!</v>
      </c>
      <c r="M171" s="1167" t="e">
        <f>ROUND(I171*1000000*K171/10000000,2)</f>
        <v>#REF!</v>
      </c>
      <c r="N171" s="1167"/>
      <c r="O171" s="1167"/>
    </row>
    <row r="172" spans="1:18" ht="16.5" x14ac:dyDescent="0.2">
      <c r="A172" s="1197" t="s">
        <v>525</v>
      </c>
      <c r="B172" s="1159"/>
      <c r="C172" s="1160"/>
      <c r="D172" s="1160" t="s">
        <v>444</v>
      </c>
      <c r="E172" s="1160">
        <f>E173-E171</f>
        <v>0</v>
      </c>
      <c r="F172" s="1160">
        <f>F173-F171</f>
        <v>0</v>
      </c>
      <c r="G172" s="1160">
        <f>ROUND(F172*0,0)</f>
        <v>0</v>
      </c>
      <c r="H172" s="1162" t="s">
        <v>558</v>
      </c>
      <c r="I172" s="1167">
        <f>I173-I171</f>
        <v>141.48000000000002</v>
      </c>
      <c r="J172" s="1167" t="e">
        <f>+#REF!</f>
        <v>#REF!</v>
      </c>
      <c r="K172" s="1167" t="e">
        <f>+#REF!</f>
        <v>#REF!</v>
      </c>
      <c r="L172" s="1167" t="e">
        <f>ROUND(((F172*J171*50*12)+((G172-(F172*50))*J172*12))/10000000,2)</f>
        <v>#REF!</v>
      </c>
      <c r="M172" s="1167" t="e">
        <f>ROUND(I172*1000000*K172/10000000,2)</f>
        <v>#REF!</v>
      </c>
      <c r="N172" s="1167"/>
      <c r="O172" s="1167"/>
    </row>
    <row r="173" spans="1:18" ht="16.5" x14ac:dyDescent="0.2">
      <c r="A173" s="1197" t="s">
        <v>525</v>
      </c>
      <c r="B173" s="1164"/>
      <c r="C173" s="1165"/>
      <c r="D173" s="1166" t="s">
        <v>486</v>
      </c>
      <c r="E173" s="1169">
        <f>E174-E169</f>
        <v>99916</v>
      </c>
      <c r="F173" s="1169">
        <f>F174-F169</f>
        <v>98197</v>
      </c>
      <c r="G173" s="1165">
        <f>SUM(G171:G172)</f>
        <v>174791</v>
      </c>
      <c r="H173" s="1165"/>
      <c r="I173" s="1170">
        <f>I174-I169</f>
        <v>152.92000000000002</v>
      </c>
      <c r="J173" s="1170"/>
      <c r="K173" s="1170"/>
      <c r="L173" s="1170" t="e">
        <f>SUM(L171:L172)</f>
        <v>#REF!</v>
      </c>
      <c r="M173" s="1170" t="e">
        <f>SUM(M171:M172)</f>
        <v>#REF!</v>
      </c>
      <c r="N173" s="1170" t="e">
        <f>L173+M173</f>
        <v>#REF!</v>
      </c>
      <c r="O173" s="1177" t="e">
        <f>ROUND(N173/I173*10,2)</f>
        <v>#REF!</v>
      </c>
      <c r="R173" s="1224" t="e">
        <f>+N173-#REF!</f>
        <v>#REF!</v>
      </c>
    </row>
    <row r="174" spans="1:18" ht="16.5" x14ac:dyDescent="0.2">
      <c r="A174" s="1197" t="s">
        <v>525</v>
      </c>
      <c r="B174" s="1164">
        <v>4</v>
      </c>
      <c r="C174" s="1165" t="s">
        <v>557</v>
      </c>
      <c r="D174" s="1165"/>
      <c r="E174" s="1169">
        <f>Sales_FY24!$P$51</f>
        <v>252378</v>
      </c>
      <c r="F174" s="1169">
        <f>Sales_FY24!$V$51</f>
        <v>248036</v>
      </c>
      <c r="G174" s="1169">
        <f>G169+G173</f>
        <v>511929</v>
      </c>
      <c r="H174" s="1165"/>
      <c r="I174" s="1170">
        <f>Sales_FY24!$Q$51</f>
        <v>398.74</v>
      </c>
      <c r="J174" s="1170"/>
      <c r="K174" s="1170"/>
      <c r="L174" s="1170" t="e">
        <f>L169+L173</f>
        <v>#REF!</v>
      </c>
      <c r="M174" s="1170" t="e">
        <f>M169+M173</f>
        <v>#REF!</v>
      </c>
      <c r="N174" s="1170" t="e">
        <f>L174+M174</f>
        <v>#REF!</v>
      </c>
      <c r="O174" s="1177" t="e">
        <f>ROUND(N174/I174*10,2)</f>
        <v>#REF!</v>
      </c>
    </row>
    <row r="175" spans="1:18" ht="16.5" x14ac:dyDescent="0.2">
      <c r="A175" s="1197" t="s">
        <v>525</v>
      </c>
      <c r="B175" s="1163"/>
      <c r="C175" s="1163"/>
      <c r="D175" s="1163"/>
      <c r="E175" s="1163"/>
      <c r="F175" s="1163"/>
      <c r="G175" s="1163"/>
      <c r="H175" s="1163"/>
      <c r="I175" s="1176"/>
      <c r="J175" s="1176"/>
      <c r="K175" s="1176"/>
      <c r="L175" s="1176"/>
      <c r="M175" s="1176"/>
      <c r="N175" s="1176"/>
      <c r="O175" s="1176"/>
    </row>
    <row r="176" spans="1:18" ht="16.5" x14ac:dyDescent="0.2">
      <c r="A176" s="1197" t="s">
        <v>525</v>
      </c>
      <c r="B176" s="1159"/>
      <c r="C176" s="1160" t="s">
        <v>559</v>
      </c>
      <c r="D176" s="1160" t="s">
        <v>560</v>
      </c>
      <c r="E176" s="1160">
        <f>Sales_FY24!$P$52</f>
        <v>415739</v>
      </c>
      <c r="F176" s="1160">
        <f>Sales_FY24!$V$52</f>
        <v>405685</v>
      </c>
      <c r="G176" s="1160">
        <f>ROUND(F176*3.553,0)</f>
        <v>1441399</v>
      </c>
      <c r="H176" s="1162" t="s">
        <v>561</v>
      </c>
      <c r="I176" s="1167">
        <f>Sales_FY24!$Q$52</f>
        <v>1634.91</v>
      </c>
      <c r="J176" s="1167"/>
      <c r="K176" s="1167" t="e">
        <f>+#REF!</f>
        <v>#REF!</v>
      </c>
      <c r="L176" s="1167">
        <f>ROUND(G176*J176*12/10000000,2)</f>
        <v>0</v>
      </c>
      <c r="M176" s="1167" t="e">
        <f>ROUND(I176*1000000*K176/10000000,2)</f>
        <v>#REF!</v>
      </c>
      <c r="N176" s="1167" t="e">
        <f>L176+M176</f>
        <v>#REF!</v>
      </c>
      <c r="O176" s="1192" t="e">
        <f>ROUND(N176/I176*10,2)</f>
        <v>#REF!</v>
      </c>
    </row>
    <row r="177" spans="1:18" ht="16.5" x14ac:dyDescent="0.2">
      <c r="A177" s="1197" t="s">
        <v>525</v>
      </c>
      <c r="B177" s="1159"/>
      <c r="C177" s="1160" t="s">
        <v>562</v>
      </c>
      <c r="D177" s="1160" t="s">
        <v>563</v>
      </c>
      <c r="E177" s="1168">
        <f>Sales_FY24!$P$53</f>
        <v>143</v>
      </c>
      <c r="F177" s="1160">
        <f>Sales_FY24!$V$53</f>
        <v>143</v>
      </c>
      <c r="G177" s="1160">
        <f>ROUND(F177*33.36,0)</f>
        <v>4770</v>
      </c>
      <c r="H177" s="1162" t="s">
        <v>561</v>
      </c>
      <c r="I177" s="1167">
        <f>Sales_FY24!$Q$53</f>
        <v>0.66</v>
      </c>
      <c r="J177" s="1167" t="e">
        <f>+#REF!</f>
        <v>#REF!</v>
      </c>
      <c r="K177" s="1167" t="e">
        <f>+#REF!</f>
        <v>#REF!</v>
      </c>
      <c r="L177" s="1167" t="e">
        <f>ROUND(G177*J177*12/10000000,2)</f>
        <v>#REF!</v>
      </c>
      <c r="M177" s="1167" t="e">
        <f>ROUND(I177*1000000*K177/10000000,2)</f>
        <v>#REF!</v>
      </c>
      <c r="N177" s="1167" t="e">
        <f>L177+M177</f>
        <v>#REF!</v>
      </c>
      <c r="O177" s="1192" t="e">
        <f>ROUND(N177/I177*10,2)</f>
        <v>#REF!</v>
      </c>
    </row>
    <row r="178" spans="1:18" ht="16.5" x14ac:dyDescent="0.2">
      <c r="A178" s="1197" t="s">
        <v>525</v>
      </c>
      <c r="B178" s="1159"/>
      <c r="C178" s="1160" t="s">
        <v>564</v>
      </c>
      <c r="D178" s="1160" t="s">
        <v>565</v>
      </c>
      <c r="E178" s="1168">
        <f>Sales_FY24!$P$54</f>
        <v>5803</v>
      </c>
      <c r="F178" s="1160">
        <f>Sales_FY24!$V$54</f>
        <v>5623</v>
      </c>
      <c r="G178" s="1160">
        <f>ROUND(F178*8.25,0)</f>
        <v>46390</v>
      </c>
      <c r="H178" s="1162" t="s">
        <v>561</v>
      </c>
      <c r="I178" s="1167">
        <f>Sales_FY24!$Q$54</f>
        <v>7.5</v>
      </c>
      <c r="J178" s="1167" t="e">
        <f>+#REF!</f>
        <v>#REF!</v>
      </c>
      <c r="K178" s="1167" t="e">
        <f>+#REF!</f>
        <v>#REF!</v>
      </c>
      <c r="L178" s="1167" t="e">
        <f>ROUND(G178*J178*12/10000000,2)</f>
        <v>#REF!</v>
      </c>
      <c r="M178" s="1167" t="e">
        <f>ROUND(I178*1000000*K178/10000000,2)</f>
        <v>#REF!</v>
      </c>
      <c r="N178" s="1167" t="e">
        <f>L178+M178</f>
        <v>#REF!</v>
      </c>
      <c r="O178" s="1192" t="e">
        <f>ROUND(N178/I178*10,2)</f>
        <v>#REF!</v>
      </c>
    </row>
    <row r="179" spans="1:18" ht="16.5" x14ac:dyDescent="0.2">
      <c r="A179" s="1197" t="s">
        <v>525</v>
      </c>
      <c r="B179" s="1164">
        <v>5</v>
      </c>
      <c r="C179" s="1165" t="s">
        <v>566</v>
      </c>
      <c r="D179" s="1165"/>
      <c r="E179" s="1169">
        <f>SUM(E176:E178)</f>
        <v>421685</v>
      </c>
      <c r="F179" s="1169">
        <f>SUM(F176:F178)</f>
        <v>411451</v>
      </c>
      <c r="G179" s="1169">
        <f>SUM(G176:G178)</f>
        <v>1492559</v>
      </c>
      <c r="H179" s="1165"/>
      <c r="I179" s="1170">
        <f>SUM(I176:I178)</f>
        <v>1643.0700000000002</v>
      </c>
      <c r="J179" s="1170"/>
      <c r="K179" s="1170"/>
      <c r="L179" s="1170" t="e">
        <f>SUM(L176:L178)</f>
        <v>#REF!</v>
      </c>
      <c r="M179" s="1170" t="e">
        <f>SUM(M176:M178)</f>
        <v>#REF!</v>
      </c>
      <c r="N179" s="1170" t="e">
        <f>SUM(N176:N178)</f>
        <v>#REF!</v>
      </c>
      <c r="O179" s="1177" t="e">
        <f>ROUND(N179/I179*10,2)</f>
        <v>#REF!</v>
      </c>
    </row>
    <row r="180" spans="1:18" ht="16.5" x14ac:dyDescent="0.2">
      <c r="A180" s="1197" t="s">
        <v>525</v>
      </c>
      <c r="B180" s="1163"/>
      <c r="C180" s="1163"/>
      <c r="D180" s="1163"/>
      <c r="E180" s="1163"/>
      <c r="F180" s="1163"/>
      <c r="G180" s="1163"/>
      <c r="H180" s="1163"/>
      <c r="I180" s="1176"/>
      <c r="J180" s="1176"/>
      <c r="K180" s="1176"/>
      <c r="L180" s="1176"/>
      <c r="M180" s="1176"/>
      <c r="N180" s="1176"/>
      <c r="O180" s="1176"/>
    </row>
    <row r="181" spans="1:18" ht="16.5" x14ac:dyDescent="0.2">
      <c r="A181" s="1197" t="s">
        <v>525</v>
      </c>
      <c r="B181" s="1159"/>
      <c r="C181" s="1160" t="s">
        <v>9</v>
      </c>
      <c r="D181" s="1160" t="s">
        <v>568</v>
      </c>
      <c r="E181" s="1160">
        <f>ROUND(E186*28.09%,0)</f>
        <v>1694</v>
      </c>
      <c r="F181" s="1160">
        <f>ROUND(F186*28.09%,0)</f>
        <v>1659</v>
      </c>
      <c r="G181" s="1160">
        <f>ROUND(F181*3.07487,0)</f>
        <v>5101</v>
      </c>
      <c r="H181" s="1162" t="s">
        <v>573</v>
      </c>
      <c r="I181" s="1167">
        <f>ROUND(I186*26%,2)</f>
        <v>11.95</v>
      </c>
      <c r="J181" s="1167" t="e">
        <f>+#REF!</f>
        <v>#REF!</v>
      </c>
      <c r="K181" s="1167" t="e">
        <f>+#REF!</f>
        <v>#REF!</v>
      </c>
      <c r="L181" s="1167" t="e">
        <f>ROUND(G181*J181*12/10000000,2)</f>
        <v>#REF!</v>
      </c>
      <c r="M181" s="1167" t="e">
        <f>ROUND(I181*1000000*K181/10000000,2)</f>
        <v>#REF!</v>
      </c>
      <c r="N181" s="1167"/>
      <c r="O181" s="1167"/>
    </row>
    <row r="182" spans="1:18" ht="16.5" x14ac:dyDescent="0.2">
      <c r="A182" s="1197" t="s">
        <v>525</v>
      </c>
      <c r="B182" s="1159"/>
      <c r="C182" s="1160"/>
      <c r="D182" s="1160" t="s">
        <v>569</v>
      </c>
      <c r="E182" s="1160">
        <f>ROUND(E186*60.5%,0)</f>
        <v>3648</v>
      </c>
      <c r="F182" s="1160">
        <f>ROUND(F186*60.5%,0)</f>
        <v>3573</v>
      </c>
      <c r="G182" s="1160">
        <f>ROUND(F182*12.40911,0)</f>
        <v>44338</v>
      </c>
      <c r="H182" s="1162" t="s">
        <v>574</v>
      </c>
      <c r="I182" s="1167">
        <f>ROUND(I186*42.92%,2)</f>
        <v>19.72</v>
      </c>
      <c r="J182" s="1167" t="e">
        <f>+#REF!</f>
        <v>#REF!</v>
      </c>
      <c r="K182" s="1167" t="e">
        <f>+#REF!</f>
        <v>#REF!</v>
      </c>
      <c r="L182" s="1167" t="e">
        <f>ROUND(G182*J182*12/10000000,2)</f>
        <v>#REF!</v>
      </c>
      <c r="M182" s="1167" t="e">
        <f>ROUND(I182*1000000*K182/10000000,2)</f>
        <v>#REF!</v>
      </c>
      <c r="N182" s="1167"/>
      <c r="O182" s="1167"/>
    </row>
    <row r="183" spans="1:18" ht="16.5" x14ac:dyDescent="0.2">
      <c r="A183" s="1197" t="s">
        <v>525</v>
      </c>
      <c r="B183" s="1159"/>
      <c r="C183" s="1160"/>
      <c r="D183" s="1160" t="s">
        <v>570</v>
      </c>
      <c r="E183" s="1160">
        <f>ROUND(E186*9.9037%,0)</f>
        <v>597</v>
      </c>
      <c r="F183" s="1160">
        <f>ROUND(F186*9.9037%,0)</f>
        <v>585</v>
      </c>
      <c r="G183" s="1160">
        <f>ROUND(F183*40.54432,0)</f>
        <v>23718</v>
      </c>
      <c r="H183" s="1162" t="s">
        <v>575</v>
      </c>
      <c r="I183" s="1167">
        <f>I186-I181-I182</f>
        <v>14.280000000000001</v>
      </c>
      <c r="J183" s="1167" t="e">
        <f>+#REF!</f>
        <v>#REF!</v>
      </c>
      <c r="K183" s="1167" t="e">
        <f>+#REF!</f>
        <v>#REF!</v>
      </c>
      <c r="L183" s="1167" t="e">
        <f>ROUND(G183*J183*12/10000000,2)</f>
        <v>#REF!</v>
      </c>
      <c r="M183" s="1167" t="e">
        <f>ROUND(I183*1000000*K183/10000000,2)</f>
        <v>#REF!</v>
      </c>
      <c r="N183" s="1167"/>
      <c r="O183" s="1167"/>
    </row>
    <row r="184" spans="1:18" ht="16.5" x14ac:dyDescent="0.2">
      <c r="A184" s="1197" t="s">
        <v>525</v>
      </c>
      <c r="B184" s="1159"/>
      <c r="C184" s="1160"/>
      <c r="D184" s="1160" t="s">
        <v>571</v>
      </c>
      <c r="E184" s="1160">
        <f>ROUND(E186*1.405344444444%,0)</f>
        <v>85</v>
      </c>
      <c r="F184" s="1160">
        <f>ROUND(F186*1.405344444444%,0)</f>
        <v>83</v>
      </c>
      <c r="G184" s="1160">
        <f>ROUND(F184*92.77083,0)</f>
        <v>7700</v>
      </c>
      <c r="H184" s="1162"/>
      <c r="I184" s="1167"/>
      <c r="J184" s="1167" t="e">
        <f>+#REF!</f>
        <v>#REF!</v>
      </c>
      <c r="K184" s="1167"/>
      <c r="L184" s="1167" t="e">
        <f>ROUND(G184*J184*12/10000000,2)</f>
        <v>#REF!</v>
      </c>
      <c r="M184" s="1167"/>
      <c r="N184" s="1167"/>
      <c r="O184" s="1167"/>
    </row>
    <row r="185" spans="1:18" ht="16.5" x14ac:dyDescent="0.2">
      <c r="A185" s="1197" t="s">
        <v>525</v>
      </c>
      <c r="B185" s="1159"/>
      <c r="C185" s="1160"/>
      <c r="D185" s="1160" t="s">
        <v>572</v>
      </c>
      <c r="E185" s="1160">
        <f>E186-E181-E182-E183-E184</f>
        <v>5</v>
      </c>
      <c r="F185" s="1160">
        <f>F186-F181-F182-F183-F184</f>
        <v>6</v>
      </c>
      <c r="G185" s="1160">
        <f>ROUND(F185*112,0)</f>
        <v>672</v>
      </c>
      <c r="H185" s="1162"/>
      <c r="I185" s="1167"/>
      <c r="J185" s="1167" t="e">
        <f>+#REF!</f>
        <v>#REF!</v>
      </c>
      <c r="K185" s="1167"/>
      <c r="L185" s="1167" t="e">
        <f>ROUND(G185*J185*12/10000000,2)</f>
        <v>#REF!</v>
      </c>
      <c r="M185" s="1167"/>
      <c r="N185" s="1167"/>
      <c r="O185" s="1167"/>
    </row>
    <row r="186" spans="1:18" ht="16.5" x14ac:dyDescent="0.2">
      <c r="A186" s="1197" t="s">
        <v>525</v>
      </c>
      <c r="B186" s="1164"/>
      <c r="C186" s="1165"/>
      <c r="D186" s="1166" t="s">
        <v>486</v>
      </c>
      <c r="E186" s="1165">
        <f>ROUND(E194*15.8%,0)</f>
        <v>6029</v>
      </c>
      <c r="F186" s="1165">
        <f>ROUND(F194*15.8%,0)</f>
        <v>5906</v>
      </c>
      <c r="G186" s="1165">
        <f>SUM(G181:G185)</f>
        <v>81529</v>
      </c>
      <c r="H186" s="1165"/>
      <c r="I186" s="1170">
        <f>ROUND(I194*30.12%,2)</f>
        <v>45.95</v>
      </c>
      <c r="J186" s="1170"/>
      <c r="K186" s="1170"/>
      <c r="L186" s="1170" t="e">
        <f>SUM(L181:L185)</f>
        <v>#REF!</v>
      </c>
      <c r="M186" s="1170" t="e">
        <f>SUM(M181:M185)</f>
        <v>#REF!</v>
      </c>
      <c r="N186" s="1170" t="e">
        <f>L186+M186</f>
        <v>#REF!</v>
      </c>
      <c r="O186" s="1177" t="e">
        <f>ROUND(N186/I186*10,2)</f>
        <v>#REF!</v>
      </c>
      <c r="R186" s="1224" t="e">
        <f>+N186-#REF!</f>
        <v>#REF!</v>
      </c>
    </row>
    <row r="187" spans="1:18" ht="16.5" x14ac:dyDescent="0.2">
      <c r="A187" s="1197" t="s">
        <v>525</v>
      </c>
      <c r="B187" s="1163"/>
      <c r="C187" s="1163"/>
      <c r="D187" s="1163"/>
      <c r="E187" s="1163"/>
      <c r="F187" s="1163"/>
      <c r="G187" s="1163"/>
      <c r="H187" s="1163"/>
      <c r="I187" s="1176"/>
      <c r="J187" s="1176"/>
      <c r="K187" s="1176"/>
      <c r="L187" s="1176"/>
      <c r="M187" s="1176"/>
      <c r="N187" s="1176"/>
      <c r="O187" s="1176"/>
    </row>
    <row r="188" spans="1:18" ht="16.5" x14ac:dyDescent="0.2">
      <c r="A188" s="1197" t="s">
        <v>525</v>
      </c>
      <c r="B188" s="1159"/>
      <c r="C188" s="1160" t="s">
        <v>11</v>
      </c>
      <c r="D188" s="1160" t="s">
        <v>568</v>
      </c>
      <c r="E188" s="1160">
        <f>ROUND(E193*49.59%,0)</f>
        <v>15932</v>
      </c>
      <c r="F188" s="1160">
        <f>ROUND(F193*49.59%,0)</f>
        <v>15608</v>
      </c>
      <c r="G188" s="1160">
        <f>ROUND(F188*3.1,0)</f>
        <v>48385</v>
      </c>
      <c r="H188" s="1162" t="s">
        <v>573</v>
      </c>
      <c r="I188" s="1167">
        <f>ROUND(I193*48.58%,2)</f>
        <v>51.78</v>
      </c>
      <c r="J188" s="1167" t="e">
        <f>+#REF!</f>
        <v>#REF!</v>
      </c>
      <c r="K188" s="1167" t="e">
        <f>+#REF!</f>
        <v>#REF!</v>
      </c>
      <c r="L188" s="1167" t="e">
        <f>ROUND(G188*J188*12/10000000,2)</f>
        <v>#REF!</v>
      </c>
      <c r="M188" s="1167" t="e">
        <f>ROUND(I188*1000000*K188/10000000,2)</f>
        <v>#REF!</v>
      </c>
      <c r="N188" s="1167"/>
      <c r="O188" s="1167"/>
    </row>
    <row r="189" spans="1:18" ht="16.5" x14ac:dyDescent="0.2">
      <c r="A189" s="1197" t="s">
        <v>525</v>
      </c>
      <c r="B189" s="1159"/>
      <c r="C189" s="1160"/>
      <c r="D189" s="1160" t="s">
        <v>569</v>
      </c>
      <c r="E189" s="1160">
        <f>ROUND(E193*43.948%,0)</f>
        <v>14119</v>
      </c>
      <c r="F189" s="1160">
        <f>ROUND(F193*43.948%,0)</f>
        <v>13832</v>
      </c>
      <c r="G189" s="1160">
        <f>ROUND(F189*12.75,0)</f>
        <v>176358</v>
      </c>
      <c r="H189" s="1162" t="s">
        <v>574</v>
      </c>
      <c r="I189" s="1167">
        <f>ROUND(I193*41.62%,2)</f>
        <v>44.36</v>
      </c>
      <c r="J189" s="1167" t="e">
        <f>+#REF!</f>
        <v>#REF!</v>
      </c>
      <c r="K189" s="1167" t="e">
        <f>+#REF!</f>
        <v>#REF!</v>
      </c>
      <c r="L189" s="1167" t="e">
        <f>ROUND(G189*J189*12/10000000,2)</f>
        <v>#REF!</v>
      </c>
      <c r="M189" s="1167" t="e">
        <f>ROUND(I189*1000000*K189/10000000,2)</f>
        <v>#REF!</v>
      </c>
      <c r="N189" s="1167"/>
      <c r="O189" s="1167"/>
    </row>
    <row r="190" spans="1:18" ht="16.5" x14ac:dyDescent="0.2">
      <c r="A190" s="1197" t="s">
        <v>525</v>
      </c>
      <c r="B190" s="1159"/>
      <c r="C190" s="1160"/>
      <c r="D190" s="1160" t="s">
        <v>570</v>
      </c>
      <c r="E190" s="1160">
        <f>ROUND(E193*5.96%,0)</f>
        <v>1915</v>
      </c>
      <c r="F190" s="1160">
        <f>ROUND(F193*5.96%,0)</f>
        <v>1876</v>
      </c>
      <c r="G190" s="1160">
        <f>ROUND(F190*61.55,0)</f>
        <v>115468</v>
      </c>
      <c r="H190" s="1162" t="s">
        <v>575</v>
      </c>
      <c r="I190" s="1167">
        <f>I193-I188-I189</f>
        <v>10.449999999999989</v>
      </c>
      <c r="J190" s="1167" t="e">
        <f>+#REF!</f>
        <v>#REF!</v>
      </c>
      <c r="K190" s="1167" t="e">
        <f>+#REF!</f>
        <v>#REF!</v>
      </c>
      <c r="L190" s="1167" t="e">
        <f>ROUND(G190*J190*12/10000000,2)</f>
        <v>#REF!</v>
      </c>
      <c r="M190" s="1167" t="e">
        <f>ROUND(I190*1000000*K190/10000000,2)</f>
        <v>#REF!</v>
      </c>
      <c r="N190" s="1167"/>
      <c r="O190" s="1167"/>
    </row>
    <row r="191" spans="1:18" ht="16.5" x14ac:dyDescent="0.2">
      <c r="A191" s="1197" t="s">
        <v>525</v>
      </c>
      <c r="B191" s="1159"/>
      <c r="C191" s="1160"/>
      <c r="D191" s="1160" t="s">
        <v>571</v>
      </c>
      <c r="E191" s="1160">
        <f>ROUND(E193*0.42893%,0)</f>
        <v>138</v>
      </c>
      <c r="F191" s="1160">
        <f>ROUND(F193*0.42893%,0)</f>
        <v>135</v>
      </c>
      <c r="G191" s="1160">
        <f>ROUND(F191*96.65,0)</f>
        <v>13048</v>
      </c>
      <c r="H191" s="1162"/>
      <c r="I191" s="1167"/>
      <c r="J191" s="1167" t="e">
        <f>+#REF!</f>
        <v>#REF!</v>
      </c>
      <c r="K191" s="1167"/>
      <c r="L191" s="1167" t="e">
        <f>ROUND(G191*J191*12/10000000,2)</f>
        <v>#REF!</v>
      </c>
      <c r="M191" s="1167"/>
      <c r="N191" s="1167"/>
      <c r="O191" s="1167"/>
    </row>
    <row r="192" spans="1:18" ht="16.5" x14ac:dyDescent="0.2">
      <c r="A192" s="1197" t="s">
        <v>525</v>
      </c>
      <c r="B192" s="1159"/>
      <c r="C192" s="1160"/>
      <c r="D192" s="1160" t="s">
        <v>572</v>
      </c>
      <c r="E192" s="1160">
        <f>E193-E188-E189-E190-E191</f>
        <v>23</v>
      </c>
      <c r="F192" s="1160">
        <f>F193-F188-F189-F190-F191</f>
        <v>23</v>
      </c>
      <c r="G192" s="1160">
        <f>ROUND(F192*125,0)</f>
        <v>2875</v>
      </c>
      <c r="H192" s="1162"/>
      <c r="I192" s="1167"/>
      <c r="J192" s="1167" t="e">
        <f>+#REF!</f>
        <v>#REF!</v>
      </c>
      <c r="K192" s="1167"/>
      <c r="L192" s="1167" t="e">
        <f>ROUND(G192*J192*12/10000000,2)</f>
        <v>#REF!</v>
      </c>
      <c r="M192" s="1167"/>
      <c r="N192" s="1167"/>
      <c r="O192" s="1167"/>
    </row>
    <row r="193" spans="1:18" ht="16.5" x14ac:dyDescent="0.2">
      <c r="A193" s="1197" t="s">
        <v>525</v>
      </c>
      <c r="B193" s="1164"/>
      <c r="C193" s="1165"/>
      <c r="D193" s="1166" t="s">
        <v>486</v>
      </c>
      <c r="E193" s="1169">
        <f>E194-E186</f>
        <v>32127</v>
      </c>
      <c r="F193" s="1169">
        <f>F194-F186</f>
        <v>31474</v>
      </c>
      <c r="G193" s="1165">
        <f>SUM(G188:G192)</f>
        <v>356134</v>
      </c>
      <c r="H193" s="1165"/>
      <c r="I193" s="1170">
        <f>I194-I186</f>
        <v>106.58999999999999</v>
      </c>
      <c r="J193" s="1170"/>
      <c r="K193" s="1170"/>
      <c r="L193" s="1170" t="e">
        <f>SUM(L188:L192)</f>
        <v>#REF!</v>
      </c>
      <c r="M193" s="1170" t="e">
        <f>SUM(M188:M192)</f>
        <v>#REF!</v>
      </c>
      <c r="N193" s="1170" t="e">
        <f>L193+M193</f>
        <v>#REF!</v>
      </c>
      <c r="O193" s="1177" t="e">
        <f>ROUND(N193/I193*10,2)</f>
        <v>#REF!</v>
      </c>
      <c r="R193" s="1224" t="e">
        <f>+N193-#REF!</f>
        <v>#REF!</v>
      </c>
    </row>
    <row r="194" spans="1:18" ht="16.5" x14ac:dyDescent="0.2">
      <c r="A194" s="1197" t="s">
        <v>525</v>
      </c>
      <c r="B194" s="1164">
        <v>6</v>
      </c>
      <c r="C194" s="1165" t="s">
        <v>567</v>
      </c>
      <c r="D194" s="1165"/>
      <c r="E194" s="1169">
        <f>Sales_FY24!$P$55</f>
        <v>38156</v>
      </c>
      <c r="F194" s="1169">
        <f>Sales_FY24!$V$55</f>
        <v>37380</v>
      </c>
      <c r="G194" s="1169">
        <f>G186+G193</f>
        <v>437663</v>
      </c>
      <c r="H194" s="1165"/>
      <c r="I194" s="1170">
        <f>Sales_FY24!$Q$55</f>
        <v>152.54</v>
      </c>
      <c r="J194" s="1170"/>
      <c r="K194" s="1170"/>
      <c r="L194" s="1170" t="e">
        <f>L186+L193</f>
        <v>#REF!</v>
      </c>
      <c r="M194" s="1170" t="e">
        <f>M186+M193</f>
        <v>#REF!</v>
      </c>
      <c r="N194" s="1170" t="e">
        <f>L194+M194</f>
        <v>#REF!</v>
      </c>
      <c r="O194" s="1177" t="e">
        <f>ROUND(N194/I194*10,2)</f>
        <v>#REF!</v>
      </c>
    </row>
    <row r="195" spans="1:18" ht="16.5" x14ac:dyDescent="0.2">
      <c r="A195" s="1197" t="s">
        <v>525</v>
      </c>
      <c r="B195" s="1163"/>
      <c r="C195" s="1163"/>
      <c r="D195" s="1163"/>
      <c r="E195" s="1163"/>
      <c r="F195" s="1163"/>
      <c r="G195" s="1163"/>
      <c r="H195" s="1163"/>
      <c r="I195" s="1176"/>
      <c r="J195" s="1176"/>
      <c r="K195" s="1176"/>
      <c r="L195" s="1176"/>
      <c r="M195" s="1176"/>
      <c r="N195" s="1176"/>
      <c r="O195" s="1176"/>
    </row>
    <row r="196" spans="1:18" ht="16.5" x14ac:dyDescent="0.2">
      <c r="A196" s="1197" t="s">
        <v>525</v>
      </c>
      <c r="B196" s="1159"/>
      <c r="C196" s="1160" t="s">
        <v>512</v>
      </c>
      <c r="D196" s="1160" t="s">
        <v>578</v>
      </c>
      <c r="E196" s="1168">
        <f>Sales_FY24!$P$56</f>
        <v>18927</v>
      </c>
      <c r="F196" s="1168">
        <f>Sales_FY24!$V$56</f>
        <v>18467</v>
      </c>
      <c r="G196" s="1160">
        <f>ROUND(F196*6.52,0)</f>
        <v>120405</v>
      </c>
      <c r="H196" s="1162" t="s">
        <v>561</v>
      </c>
      <c r="I196" s="1167">
        <f>Sales_FY24!$Q$56</f>
        <v>168.47</v>
      </c>
      <c r="J196" s="1167" t="e">
        <f>+#REF!</f>
        <v>#REF!</v>
      </c>
      <c r="K196" s="1167" t="e">
        <f>+#REF!</f>
        <v>#REF!</v>
      </c>
      <c r="L196" s="1167" t="e">
        <f>ROUND(G196*J196*12/10000000,2)</f>
        <v>#REF!</v>
      </c>
      <c r="M196" s="1167" t="e">
        <f>ROUND(I196*1000000*K196/10000000,2)</f>
        <v>#REF!</v>
      </c>
      <c r="N196" s="1167" t="e">
        <f>L196+M196</f>
        <v>#REF!</v>
      </c>
      <c r="O196" s="1192"/>
    </row>
    <row r="197" spans="1:18" ht="16.5" x14ac:dyDescent="0.2">
      <c r="A197" s="1197" t="s">
        <v>525</v>
      </c>
      <c r="B197" s="1159"/>
      <c r="C197" s="1160"/>
      <c r="D197" s="1160" t="s">
        <v>579</v>
      </c>
      <c r="E197" s="1168"/>
      <c r="F197" s="1168"/>
      <c r="G197" s="1160"/>
      <c r="H197" s="1162"/>
      <c r="I197" s="1167"/>
      <c r="J197" s="1167" t="e">
        <f>+#REF!</f>
        <v>#REF!</v>
      </c>
      <c r="K197" s="1167"/>
      <c r="L197" s="1167"/>
      <c r="M197" s="1167"/>
      <c r="N197" s="1167"/>
      <c r="O197" s="1192"/>
    </row>
    <row r="198" spans="1:18" ht="16.5" x14ac:dyDescent="0.2">
      <c r="A198" s="1197" t="s">
        <v>525</v>
      </c>
      <c r="B198" s="1164"/>
      <c r="C198" s="1165"/>
      <c r="D198" s="1166" t="s">
        <v>486</v>
      </c>
      <c r="E198" s="1169">
        <f>SUM(E196:E197)</f>
        <v>18927</v>
      </c>
      <c r="F198" s="1169">
        <f>SUM(F196:F197)</f>
        <v>18467</v>
      </c>
      <c r="G198" s="1169">
        <f>SUM(G196:G197)</f>
        <v>120405</v>
      </c>
      <c r="H198" s="1165"/>
      <c r="I198" s="1170">
        <f>SUM(I196:I197)</f>
        <v>168.47</v>
      </c>
      <c r="J198" s="1170"/>
      <c r="K198" s="1170"/>
      <c r="L198" s="1170" t="e">
        <f>SUM(L196:L197)</f>
        <v>#REF!</v>
      </c>
      <c r="M198" s="1170" t="e">
        <f>SUM(M196:M197)</f>
        <v>#REF!</v>
      </c>
      <c r="N198" s="1170" t="e">
        <f>L198+M198</f>
        <v>#REF!</v>
      </c>
      <c r="O198" s="1177" t="e">
        <f>ROUND(N198/I198*10,2)</f>
        <v>#REF!</v>
      </c>
    </row>
    <row r="199" spans="1:18" ht="16.5" x14ac:dyDescent="0.2">
      <c r="A199" s="1197" t="s">
        <v>525</v>
      </c>
      <c r="B199" s="1163"/>
      <c r="C199" s="1163"/>
      <c r="D199" s="1163"/>
      <c r="E199" s="1163"/>
      <c r="F199" s="1163"/>
      <c r="G199" s="1163"/>
      <c r="H199" s="1163"/>
      <c r="I199" s="1176"/>
      <c r="J199" s="1176"/>
      <c r="K199" s="1176"/>
      <c r="L199" s="1176"/>
      <c r="M199" s="1176"/>
      <c r="N199" s="1176"/>
      <c r="O199" s="1176"/>
    </row>
    <row r="200" spans="1:18" ht="16.5" x14ac:dyDescent="0.2">
      <c r="A200" s="1197" t="s">
        <v>525</v>
      </c>
      <c r="B200" s="1159"/>
      <c r="C200" s="1160" t="s">
        <v>513</v>
      </c>
      <c r="D200" s="1160" t="s">
        <v>580</v>
      </c>
      <c r="E200" s="1168">
        <f>Sales_FY24!$P$57</f>
        <v>31655</v>
      </c>
      <c r="F200" s="1168">
        <f>Sales_FY24!$V$57</f>
        <v>30561</v>
      </c>
      <c r="G200" s="1160">
        <f>ROUND(F200*1.35,0)</f>
        <v>41257</v>
      </c>
      <c r="H200" s="1162" t="s">
        <v>561</v>
      </c>
      <c r="I200" s="1167">
        <f>Sales_FY24!$Q$57</f>
        <v>66.180000000000007</v>
      </c>
      <c r="J200" s="1167" t="e">
        <f>+#REF!</f>
        <v>#REF!</v>
      </c>
      <c r="K200" s="1167" t="e">
        <f>+#REF!</f>
        <v>#REF!</v>
      </c>
      <c r="L200" s="1167" t="e">
        <f>ROUND(G200*J200*12/10000000,2)</f>
        <v>#REF!</v>
      </c>
      <c r="M200" s="1167" t="e">
        <f>ROUND(I200*1000000*K200/10000000,2)</f>
        <v>#REF!</v>
      </c>
      <c r="N200" s="1167" t="e">
        <f>L200+M200</f>
        <v>#REF!</v>
      </c>
      <c r="O200" s="1192" t="e">
        <f>ROUND(N200/I200*10,2)</f>
        <v>#REF!</v>
      </c>
    </row>
    <row r="201" spans="1:18" ht="16.5" x14ac:dyDescent="0.2">
      <c r="A201" s="1197" t="s">
        <v>525</v>
      </c>
      <c r="B201" s="1163"/>
      <c r="C201" s="1163"/>
      <c r="D201" s="1163"/>
      <c r="E201" s="1163"/>
      <c r="F201" s="1163"/>
      <c r="G201" s="1163"/>
      <c r="H201" s="1163"/>
      <c r="I201" s="1176"/>
      <c r="J201" s="1176"/>
      <c r="K201" s="1176"/>
      <c r="L201" s="1176"/>
      <c r="M201" s="1176"/>
      <c r="N201" s="1176"/>
      <c r="O201" s="1176"/>
    </row>
    <row r="202" spans="1:18" ht="16.5" x14ac:dyDescent="0.2">
      <c r="A202" s="1197" t="s">
        <v>525</v>
      </c>
      <c r="B202" s="1159"/>
      <c r="C202" s="1160" t="s">
        <v>526</v>
      </c>
      <c r="D202" s="1160" t="s">
        <v>581</v>
      </c>
      <c r="E202" s="1168">
        <f>Sales_FY24!$P$58</f>
        <v>0</v>
      </c>
      <c r="F202" s="1168">
        <f>Sales_FY24!$V$58</f>
        <v>0</v>
      </c>
      <c r="G202" s="1160">
        <f>ROUND(F202*0,0)</f>
        <v>0</v>
      </c>
      <c r="H202" s="1162" t="s">
        <v>561</v>
      </c>
      <c r="I202" s="1167">
        <f>Sales_FY24!$Q$58</f>
        <v>0</v>
      </c>
      <c r="J202" s="1167" t="e">
        <f>+#REF!</f>
        <v>#REF!</v>
      </c>
      <c r="K202" s="1167" t="e">
        <f>+#REF!</f>
        <v>#REF!</v>
      </c>
      <c r="L202" s="1167" t="e">
        <f>ROUND(G202*J202*12/10000000,2)</f>
        <v>#REF!</v>
      </c>
      <c r="M202" s="1167" t="e">
        <f>ROUND(I202*1000000*K202/10000000,2)</f>
        <v>#REF!</v>
      </c>
      <c r="N202" s="1167" t="e">
        <f>L202+M202</f>
        <v>#REF!</v>
      </c>
      <c r="O202" s="1192"/>
    </row>
    <row r="203" spans="1:18" ht="16.5" x14ac:dyDescent="0.2">
      <c r="A203" s="1197" t="s">
        <v>525</v>
      </c>
      <c r="B203" s="1159"/>
      <c r="C203" s="1160"/>
      <c r="D203" s="1160" t="s">
        <v>582</v>
      </c>
      <c r="E203" s="1168"/>
      <c r="F203" s="1168"/>
      <c r="G203" s="1160"/>
      <c r="H203" s="1162"/>
      <c r="I203" s="1167"/>
      <c r="J203" s="1167" t="e">
        <f>+#REF!</f>
        <v>#REF!</v>
      </c>
      <c r="K203" s="1167"/>
      <c r="L203" s="1167"/>
      <c r="M203" s="1167"/>
      <c r="N203" s="1167"/>
      <c r="O203" s="1192"/>
    </row>
    <row r="204" spans="1:18" ht="16.5" x14ac:dyDescent="0.2">
      <c r="A204" s="1197" t="s">
        <v>525</v>
      </c>
      <c r="B204" s="1159"/>
      <c r="C204" s="1160"/>
      <c r="D204" s="1160" t="s">
        <v>583</v>
      </c>
      <c r="E204" s="1168"/>
      <c r="F204" s="1168"/>
      <c r="G204" s="1160"/>
      <c r="H204" s="1162"/>
      <c r="I204" s="1167"/>
      <c r="J204" s="1167" t="e">
        <f>+#REF!</f>
        <v>#REF!</v>
      </c>
      <c r="K204" s="1167"/>
      <c r="L204" s="1167"/>
      <c r="M204" s="1167"/>
      <c r="N204" s="1167"/>
      <c r="O204" s="1192"/>
    </row>
    <row r="205" spans="1:18" ht="16.5" x14ac:dyDescent="0.2">
      <c r="A205" s="1197" t="s">
        <v>525</v>
      </c>
      <c r="B205" s="1164"/>
      <c r="C205" s="1165"/>
      <c r="D205" s="1166" t="s">
        <v>486</v>
      </c>
      <c r="E205" s="1169">
        <f>SUM(E202:E204)</f>
        <v>0</v>
      </c>
      <c r="F205" s="1169">
        <f>SUM(F202:F204)</f>
        <v>0</v>
      </c>
      <c r="G205" s="1169">
        <f>SUM(G202:G204)</f>
        <v>0</v>
      </c>
      <c r="H205" s="1165"/>
      <c r="I205" s="1170">
        <f>SUM(I202:I204)</f>
        <v>0</v>
      </c>
      <c r="J205" s="1170"/>
      <c r="K205" s="1170"/>
      <c r="L205" s="1170" t="e">
        <f>SUM(L202:L204)</f>
        <v>#REF!</v>
      </c>
      <c r="M205" s="1170" t="e">
        <f>SUM(M202:M204)</f>
        <v>#REF!</v>
      </c>
      <c r="N205" s="1170" t="e">
        <f>L205+M205</f>
        <v>#REF!</v>
      </c>
      <c r="O205" s="1177"/>
    </row>
    <row r="206" spans="1:18" ht="16.5" x14ac:dyDescent="0.2">
      <c r="A206" s="1197" t="s">
        <v>525</v>
      </c>
      <c r="B206" s="1164">
        <v>7</v>
      </c>
      <c r="C206" s="1165" t="s">
        <v>577</v>
      </c>
      <c r="D206" s="1165"/>
      <c r="E206" s="1169">
        <f>E198+E200+E205</f>
        <v>50582</v>
      </c>
      <c r="F206" s="1169">
        <f>F198+F200+F205</f>
        <v>49028</v>
      </c>
      <c r="G206" s="1169">
        <f>G198+G200+G205</f>
        <v>161662</v>
      </c>
      <c r="H206" s="1165"/>
      <c r="I206" s="1170">
        <f>I198+I200+I205</f>
        <v>234.65</v>
      </c>
      <c r="J206" s="1170"/>
      <c r="K206" s="1170"/>
      <c r="L206" s="1170" t="e">
        <f>L198+L200+L205</f>
        <v>#REF!</v>
      </c>
      <c r="M206" s="1170" t="e">
        <f>M198+M200+M205</f>
        <v>#REF!</v>
      </c>
      <c r="N206" s="1170" t="e">
        <f>L206+M206</f>
        <v>#REF!</v>
      </c>
      <c r="O206" s="1177" t="e">
        <f>ROUND(N206/I206*10,2)</f>
        <v>#REF!</v>
      </c>
    </row>
    <row r="207" spans="1:18" ht="16.5" x14ac:dyDescent="0.2">
      <c r="A207" s="1197" t="s">
        <v>525</v>
      </c>
      <c r="B207" s="1163"/>
      <c r="C207" s="1163"/>
      <c r="D207" s="1163"/>
      <c r="E207" s="1163"/>
      <c r="F207" s="1163"/>
      <c r="G207" s="1163"/>
      <c r="H207" s="1163"/>
      <c r="I207" s="1176"/>
      <c r="J207" s="1176"/>
      <c r="K207" s="1176"/>
      <c r="L207" s="1176"/>
      <c r="M207" s="1176"/>
      <c r="N207" s="1176"/>
      <c r="O207" s="1176"/>
    </row>
    <row r="208" spans="1:18" ht="16.5" x14ac:dyDescent="0.2">
      <c r="A208" s="1197" t="s">
        <v>525</v>
      </c>
      <c r="B208" s="1159"/>
      <c r="C208" s="1160" t="s">
        <v>584</v>
      </c>
      <c r="D208" s="1160" t="s">
        <v>586</v>
      </c>
      <c r="E208" s="1160">
        <f>ROUND(E210*96.05716%,0)</f>
        <v>18686</v>
      </c>
      <c r="F208" s="1160">
        <f>ROUND(F210*96.05716%,0)</f>
        <v>18686</v>
      </c>
      <c r="G208" s="1160">
        <f>ROUND(F208*5.2,0)</f>
        <v>97167</v>
      </c>
      <c r="H208" s="1162" t="s">
        <v>561</v>
      </c>
      <c r="I208" s="1167">
        <f>ROUND(I210*98.08219%,2)</f>
        <v>21.48</v>
      </c>
      <c r="J208" s="1167" t="e">
        <f>+#REF!</f>
        <v>#REF!</v>
      </c>
      <c r="K208" s="1167" t="e">
        <f>+#REF!</f>
        <v>#REF!</v>
      </c>
      <c r="L208" s="1167" t="e">
        <f>IF((ROUND(G208*J208*1/10000000,2))&gt;(ROUND(I208*1000000*K208/10000000,2)),(ROUND(G208*J208*1/10000000,2)),0)</f>
        <v>#REF!</v>
      </c>
      <c r="M208" s="1167" t="e">
        <f>IF((ROUND(I208*1000000*K208/10000000,2))&gt;(ROUND(G208*J208*1/10000000,2)),(ROUND(I208*1000000*K208/10000000,2)),0)</f>
        <v>#REF!</v>
      </c>
      <c r="N208" s="1167" t="e">
        <f>L208+M208</f>
        <v>#REF!</v>
      </c>
      <c r="O208" s="1192"/>
    </row>
    <row r="209" spans="1:18" ht="16.5" x14ac:dyDescent="0.2">
      <c r="A209" s="1197" t="s">
        <v>525</v>
      </c>
      <c r="B209" s="1159"/>
      <c r="C209" s="1160" t="s">
        <v>585</v>
      </c>
      <c r="D209" s="1160" t="s">
        <v>586</v>
      </c>
      <c r="E209" s="1168">
        <f>E210-E208</f>
        <v>767</v>
      </c>
      <c r="F209" s="1168">
        <f>F210-F208</f>
        <v>767</v>
      </c>
      <c r="G209" s="1160">
        <f>ROUND(F209*1.75,0)</f>
        <v>1342</v>
      </c>
      <c r="H209" s="1162" t="s">
        <v>561</v>
      </c>
      <c r="I209" s="1167">
        <f>I210-I208</f>
        <v>0.41999999999999815</v>
      </c>
      <c r="J209" s="1167" t="e">
        <f>+#REF!</f>
        <v>#REF!</v>
      </c>
      <c r="K209" s="1167" t="e">
        <f>+#REF!</f>
        <v>#REF!</v>
      </c>
      <c r="L209" s="1167" t="e">
        <f>ROUND(G209*J209*12/10000000,2)</f>
        <v>#REF!</v>
      </c>
      <c r="M209" s="1167" t="e">
        <f>ROUND(I209*1000000*K209/10000000,2)</f>
        <v>#REF!</v>
      </c>
      <c r="N209" s="1167" t="e">
        <f>L209+M209</f>
        <v>#REF!</v>
      </c>
      <c r="O209" s="1192"/>
    </row>
    <row r="210" spans="1:18" ht="16.5" x14ac:dyDescent="0.2">
      <c r="A210" s="1197" t="s">
        <v>525</v>
      </c>
      <c r="B210" s="1164">
        <v>8</v>
      </c>
      <c r="C210" s="1165" t="s">
        <v>587</v>
      </c>
      <c r="D210" s="1165"/>
      <c r="E210" s="1169">
        <f>Sales_FY24!$P$59</f>
        <v>19453</v>
      </c>
      <c r="F210" s="1169">
        <f>Sales_FY24!$V$59</f>
        <v>19453</v>
      </c>
      <c r="G210" s="1169">
        <f>SUM(G208:G209)</f>
        <v>98509</v>
      </c>
      <c r="H210" s="1165"/>
      <c r="I210" s="1170">
        <f>Sales_FY24!$Q$59</f>
        <v>21.9</v>
      </c>
      <c r="J210" s="1170"/>
      <c r="K210" s="1170"/>
      <c r="L210" s="1170" t="e">
        <f>SUM(L208:L209)</f>
        <v>#REF!</v>
      </c>
      <c r="M210" s="1170" t="e">
        <f>SUM(M208:M209)</f>
        <v>#REF!</v>
      </c>
      <c r="N210" s="1170" t="e">
        <f>L210+M210</f>
        <v>#REF!</v>
      </c>
      <c r="O210" s="1177" t="e">
        <f>ROUND(N210/I210*10,2)</f>
        <v>#REF!</v>
      </c>
    </row>
    <row r="211" spans="1:18" ht="16.5" x14ac:dyDescent="0.2">
      <c r="A211" s="1197" t="s">
        <v>525</v>
      </c>
      <c r="B211" s="1163"/>
      <c r="C211" s="1163"/>
      <c r="D211" s="1163"/>
      <c r="E211" s="1163"/>
      <c r="F211" s="1163"/>
      <c r="G211" s="1163"/>
      <c r="H211" s="1163"/>
      <c r="I211" s="1176"/>
      <c r="J211" s="1176"/>
      <c r="K211" s="1176"/>
      <c r="L211" s="1176"/>
      <c r="M211" s="1176"/>
      <c r="N211" s="1176"/>
      <c r="O211" s="1176"/>
    </row>
    <row r="212" spans="1:18" ht="16.5" x14ac:dyDescent="0.2">
      <c r="A212" s="1197" t="s">
        <v>525</v>
      </c>
      <c r="B212" s="1194"/>
      <c r="C212" s="1195" t="s">
        <v>588</v>
      </c>
      <c r="D212" s="1195"/>
      <c r="E212" s="1196">
        <f>E141+E154+E165+E174+E179+E194+E206+E210</f>
        <v>2696674</v>
      </c>
      <c r="F212" s="1196">
        <f>F141+F154+F165+F174+F179+F194+F206+F210</f>
        <v>2661884</v>
      </c>
      <c r="G212" s="1196">
        <f>G141+G154+G165+G174+G179+G194+G206+G210</f>
        <v>5425591</v>
      </c>
      <c r="H212" s="1195"/>
      <c r="I212" s="1193">
        <f>I141+I154+I165+I174+I179+I194+I206+I210</f>
        <v>4215.21</v>
      </c>
      <c r="J212" s="1193"/>
      <c r="K212" s="1193"/>
      <c r="L212" s="1193" t="e">
        <f>L141+L154+L165+L174+L179+L194+L206+L210</f>
        <v>#REF!</v>
      </c>
      <c r="M212" s="1193" t="e">
        <f>M141+M154+M165+M174+M179+M194+M206+M210</f>
        <v>#REF!</v>
      </c>
      <c r="N212" s="1193" t="e">
        <f>L212+M212</f>
        <v>#REF!</v>
      </c>
      <c r="O212" s="1193" t="e">
        <f>ROUND(N212/I212*10,2)</f>
        <v>#REF!</v>
      </c>
    </row>
    <row r="213" spans="1:18" ht="16.5" x14ac:dyDescent="0.2">
      <c r="A213" s="1197" t="s">
        <v>525</v>
      </c>
      <c r="B213" s="1163"/>
      <c r="C213" s="1163"/>
      <c r="D213" s="1163"/>
      <c r="E213" s="1163"/>
      <c r="F213" s="1176"/>
      <c r="G213" s="1163"/>
      <c r="H213" s="1163"/>
      <c r="I213" s="1176"/>
      <c r="J213" s="1176"/>
      <c r="K213" s="1176"/>
      <c r="L213" s="1176"/>
      <c r="M213" s="1176"/>
      <c r="N213" s="1176"/>
      <c r="O213" s="1176"/>
    </row>
    <row r="214" spans="1:18" ht="16.5" x14ac:dyDescent="0.2">
      <c r="A214" s="1197" t="s">
        <v>525</v>
      </c>
      <c r="B214" s="1159">
        <v>9</v>
      </c>
      <c r="C214" s="1160" t="s">
        <v>16</v>
      </c>
      <c r="D214" s="1160" t="s">
        <v>589</v>
      </c>
      <c r="E214" s="1168">
        <f>Sales_FY24!$P$62</f>
        <v>142</v>
      </c>
      <c r="F214" s="1168">
        <f>Sales_FY24!$V$62</f>
        <v>137</v>
      </c>
      <c r="G214" s="1160">
        <f>ROUND(F214*235,0)</f>
        <v>32195</v>
      </c>
      <c r="H214" s="1162" t="s">
        <v>561</v>
      </c>
      <c r="I214" s="1167">
        <f>Sales_FY24!$Q$62</f>
        <v>114.91</v>
      </c>
      <c r="J214" s="1167" t="e">
        <f>+#REF!</f>
        <v>#REF!</v>
      </c>
      <c r="K214" s="1167" t="e">
        <f>+#REF!</f>
        <v>#REF!</v>
      </c>
      <c r="L214" s="1167" t="e">
        <f>ROUND((G214*85%)*J214*12/10000000,2)</f>
        <v>#REF!</v>
      </c>
      <c r="M214" s="1167" t="e">
        <f>ROUND(I214*1000000*K214/10000000,2)</f>
        <v>#REF!</v>
      </c>
      <c r="N214" s="1167" t="e">
        <f>L214+M214</f>
        <v>#REF!</v>
      </c>
      <c r="O214" s="1192" t="e">
        <f>ROUND(N214/I214*10,2)</f>
        <v>#REF!</v>
      </c>
    </row>
    <row r="215" spans="1:18" ht="16.5" x14ac:dyDescent="0.2">
      <c r="A215" s="1197" t="s">
        <v>525</v>
      </c>
      <c r="B215" s="1163"/>
      <c r="C215" s="1163"/>
      <c r="D215" s="1163"/>
      <c r="E215" s="1163"/>
      <c r="F215" s="1163"/>
      <c r="G215" s="1163"/>
      <c r="H215" s="1163"/>
      <c r="I215" s="1176"/>
      <c r="J215" s="1176"/>
      <c r="K215" s="1176"/>
      <c r="L215" s="1176"/>
      <c r="M215" s="1176"/>
      <c r="N215" s="1176"/>
      <c r="O215" s="1176"/>
    </row>
    <row r="216" spans="1:18" ht="16.5" x14ac:dyDescent="0.2">
      <c r="A216" s="1197" t="s">
        <v>525</v>
      </c>
      <c r="B216" s="1159"/>
      <c r="C216" s="1160" t="s">
        <v>593</v>
      </c>
      <c r="D216" s="1160" t="s">
        <v>589</v>
      </c>
      <c r="E216" s="1168">
        <f>E218</f>
        <v>0</v>
      </c>
      <c r="F216" s="1168">
        <f>F218</f>
        <v>0</v>
      </c>
      <c r="G216" s="1160">
        <f>ROUND(F216*399.47955,0)</f>
        <v>0</v>
      </c>
      <c r="H216" s="1162" t="s">
        <v>591</v>
      </c>
      <c r="I216" s="1167">
        <f>ROUND(I218*0%,2)</f>
        <v>0</v>
      </c>
      <c r="J216" s="1167" t="e">
        <f>+#REF!</f>
        <v>#REF!</v>
      </c>
      <c r="K216" s="1167" t="e">
        <f>+#REF!</f>
        <v>#REF!</v>
      </c>
      <c r="L216" s="1167" t="e">
        <f>ROUND((G216*85%)*J216*12/10000000,2)</f>
        <v>#REF!</v>
      </c>
      <c r="M216" s="1167" t="e">
        <f>ROUND(I216*1000000*K216/10000000,2)</f>
        <v>#REF!</v>
      </c>
      <c r="N216" s="1167"/>
      <c r="O216" s="1192"/>
    </row>
    <row r="217" spans="1:18" ht="16.5" x14ac:dyDescent="0.2">
      <c r="A217" s="1197" t="s">
        <v>525</v>
      </c>
      <c r="B217" s="1159"/>
      <c r="C217" s="1160"/>
      <c r="D217" s="1160"/>
      <c r="E217" s="1168"/>
      <c r="F217" s="1168"/>
      <c r="G217" s="1160"/>
      <c r="H217" s="1162" t="s">
        <v>590</v>
      </c>
      <c r="I217" s="1167">
        <f>I218-I216</f>
        <v>0</v>
      </c>
      <c r="J217" s="1167"/>
      <c r="K217" s="1167" t="e">
        <f>+#REF!</f>
        <v>#REF!</v>
      </c>
      <c r="L217" s="1167"/>
      <c r="M217" s="1167" t="e">
        <f>ROUND(I217*1000000*K217/10000000,2)</f>
        <v>#REF!</v>
      </c>
      <c r="N217" s="1167"/>
      <c r="O217" s="1192"/>
    </row>
    <row r="218" spans="1:18" ht="16.5" x14ac:dyDescent="0.2">
      <c r="A218" s="1197" t="s">
        <v>525</v>
      </c>
      <c r="B218" s="1164"/>
      <c r="C218" s="1165"/>
      <c r="D218" s="1166" t="s">
        <v>486</v>
      </c>
      <c r="E218" s="1169">
        <f>ROUND(E223*0%,0)</f>
        <v>0</v>
      </c>
      <c r="F218" s="1169">
        <f>ROUND(F223*0%,0)</f>
        <v>0</v>
      </c>
      <c r="G218" s="1169">
        <f>SUM(G216:G217)</f>
        <v>0</v>
      </c>
      <c r="H218" s="1165"/>
      <c r="I218" s="1170">
        <f>ROUND(I223*0%,2)</f>
        <v>0</v>
      </c>
      <c r="J218" s="1170"/>
      <c r="K218" s="1170"/>
      <c r="L218" s="1170" t="e">
        <f>SUM(L216:L217)</f>
        <v>#REF!</v>
      </c>
      <c r="M218" s="1170" t="e">
        <f>SUM(M216:M217)</f>
        <v>#REF!</v>
      </c>
      <c r="N218" s="1170" t="e">
        <f>L218+M218</f>
        <v>#REF!</v>
      </c>
      <c r="O218" s="1177"/>
      <c r="R218" s="1224" t="e">
        <f>+N218-#REF!</f>
        <v>#REF!</v>
      </c>
    </row>
    <row r="219" spans="1:18" ht="16.5" x14ac:dyDescent="0.2">
      <c r="A219" s="1197" t="s">
        <v>525</v>
      </c>
      <c r="B219" s="1163"/>
      <c r="C219" s="1163"/>
      <c r="D219" s="1163"/>
      <c r="E219" s="1163"/>
      <c r="F219" s="1163"/>
      <c r="G219" s="1163"/>
      <c r="H219" s="1163"/>
      <c r="I219" s="1176"/>
      <c r="J219" s="1176"/>
      <c r="K219" s="1176"/>
      <c r="L219" s="1176"/>
      <c r="M219" s="1176"/>
      <c r="N219" s="1176"/>
      <c r="O219" s="1176"/>
    </row>
    <row r="220" spans="1:18" ht="16.5" x14ac:dyDescent="0.2">
      <c r="A220" s="1197" t="s">
        <v>525</v>
      </c>
      <c r="B220" s="1159"/>
      <c r="C220" s="1160" t="s">
        <v>594</v>
      </c>
      <c r="D220" s="1160" t="s">
        <v>589</v>
      </c>
      <c r="E220" s="1168">
        <f>E222</f>
        <v>1098</v>
      </c>
      <c r="F220" s="1168">
        <f>F222</f>
        <v>1074</v>
      </c>
      <c r="G220" s="1160">
        <f>ROUND(F220*400,0)</f>
        <v>429600</v>
      </c>
      <c r="H220" s="1162" t="s">
        <v>591</v>
      </c>
      <c r="I220" s="1167">
        <f>ROUND(I222*45.25%,2)</f>
        <v>350.95</v>
      </c>
      <c r="J220" s="1167">
        <v>275</v>
      </c>
      <c r="K220" s="1167">
        <v>7.5</v>
      </c>
      <c r="L220" s="1167">
        <f>ROUND((G220*85%)*J220*12/10000000,2)</f>
        <v>120.5</v>
      </c>
      <c r="M220" s="1167">
        <f>ROUND(I220*1000000*K220/10000000,2)</f>
        <v>263.20999999999998</v>
      </c>
      <c r="N220" s="1167"/>
      <c r="O220" s="1192"/>
    </row>
    <row r="221" spans="1:18" ht="16.5" x14ac:dyDescent="0.2">
      <c r="A221" s="1197" t="s">
        <v>525</v>
      </c>
      <c r="B221" s="1159"/>
      <c r="C221" s="1160"/>
      <c r="D221" s="1160"/>
      <c r="E221" s="1168"/>
      <c r="F221" s="1168"/>
      <c r="G221" s="1160"/>
      <c r="H221" s="1162" t="s">
        <v>590</v>
      </c>
      <c r="I221" s="1167">
        <f>I222-I220</f>
        <v>424.64000000000004</v>
      </c>
      <c r="J221" s="1167"/>
      <c r="K221" s="1167">
        <v>7.8</v>
      </c>
      <c r="L221" s="1167"/>
      <c r="M221" s="1167">
        <f>ROUND(I221*1000000*K221/10000000,2)</f>
        <v>331.22</v>
      </c>
      <c r="N221" s="1167"/>
      <c r="O221" s="1192"/>
    </row>
    <row r="222" spans="1:18" ht="16.5" x14ac:dyDescent="0.2">
      <c r="A222" s="1197" t="s">
        <v>525</v>
      </c>
      <c r="B222" s="1164"/>
      <c r="C222" s="1165"/>
      <c r="D222" s="1166" t="s">
        <v>486</v>
      </c>
      <c r="E222" s="1169">
        <f>E223-E218</f>
        <v>1098</v>
      </c>
      <c r="F222" s="1169">
        <f>F223-F218</f>
        <v>1074</v>
      </c>
      <c r="G222" s="1169">
        <f>SUM(G220:G221)</f>
        <v>429600</v>
      </c>
      <c r="H222" s="1165"/>
      <c r="I222" s="1170">
        <f>I223-I218</f>
        <v>775.59</v>
      </c>
      <c r="J222" s="1170"/>
      <c r="K222" s="1170"/>
      <c r="L222" s="1170">
        <f>SUM(L220:L221)</f>
        <v>120.5</v>
      </c>
      <c r="M222" s="1170">
        <f>SUM(M220:M221)</f>
        <v>594.43000000000006</v>
      </c>
      <c r="N222" s="1170">
        <f>L222+M222</f>
        <v>714.93000000000006</v>
      </c>
      <c r="O222" s="1177"/>
      <c r="R222" s="1224" t="e">
        <f>+N222-#REF!</f>
        <v>#REF!</v>
      </c>
    </row>
    <row r="223" spans="1:18" ht="16.5" x14ac:dyDescent="0.2">
      <c r="A223" s="1197" t="s">
        <v>525</v>
      </c>
      <c r="B223" s="1164">
        <v>10</v>
      </c>
      <c r="C223" s="1165" t="s">
        <v>592</v>
      </c>
      <c r="D223" s="1165"/>
      <c r="E223" s="1169">
        <f>Sales_FY24!$P$63</f>
        <v>1098</v>
      </c>
      <c r="F223" s="1169">
        <f>Sales_FY24!$V$63</f>
        <v>1074</v>
      </c>
      <c r="G223" s="1169">
        <f>G218+G222</f>
        <v>429600</v>
      </c>
      <c r="H223" s="1165"/>
      <c r="I223" s="1170">
        <f>Sales_FY24!$Q$63</f>
        <v>775.59</v>
      </c>
      <c r="J223" s="1170"/>
      <c r="K223" s="1170"/>
      <c r="L223" s="1169" t="e">
        <f>L218+L222</f>
        <v>#REF!</v>
      </c>
      <c r="M223" s="1169" t="e">
        <f>M218+M222</f>
        <v>#REF!</v>
      </c>
      <c r="N223" s="1170" t="e">
        <f>L223+M223</f>
        <v>#REF!</v>
      </c>
      <c r="O223" s="1177" t="e">
        <f>ROUND(N223/I223*10,2)</f>
        <v>#REF!</v>
      </c>
    </row>
    <row r="224" spans="1:18" ht="16.5" x14ac:dyDescent="0.2">
      <c r="A224" s="1197" t="s">
        <v>525</v>
      </c>
      <c r="B224" s="1163"/>
      <c r="C224" s="1163"/>
      <c r="D224" s="1163"/>
      <c r="E224" s="1163"/>
      <c r="F224" s="1163"/>
      <c r="G224" s="1163"/>
      <c r="H224" s="1163"/>
      <c r="I224" s="1176"/>
      <c r="J224" s="1176"/>
      <c r="K224" s="1176"/>
      <c r="L224" s="1176"/>
      <c r="M224" s="1176"/>
      <c r="N224" s="1176"/>
      <c r="O224" s="1176"/>
    </row>
    <row r="225" spans="1:18" ht="16.5" x14ac:dyDescent="0.2">
      <c r="A225" s="1197" t="s">
        <v>525</v>
      </c>
      <c r="B225" s="1159"/>
      <c r="C225" s="1160" t="s">
        <v>596</v>
      </c>
      <c r="D225" s="1160" t="s">
        <v>589</v>
      </c>
      <c r="E225" s="1168">
        <f>E227</f>
        <v>0</v>
      </c>
      <c r="F225" s="1168">
        <f>F227</f>
        <v>0</v>
      </c>
      <c r="G225" s="1160">
        <f>ROUND(F225*0,0)</f>
        <v>0</v>
      </c>
      <c r="H225" s="1162" t="s">
        <v>598</v>
      </c>
      <c r="I225" s="1167">
        <f>ROUND(I227*12.08942%,2)</f>
        <v>0</v>
      </c>
      <c r="J225" s="1167" t="e">
        <f>+#REF!</f>
        <v>#REF!</v>
      </c>
      <c r="K225" s="1167" t="e">
        <f>+#REF!</f>
        <v>#REF!</v>
      </c>
      <c r="L225" s="1167" t="e">
        <f>ROUND((G225*85%)*J225*12/10000000,2)</f>
        <v>#REF!</v>
      </c>
      <c r="M225" s="1167" t="e">
        <f>ROUND(I225*1000000*K225/10000000,2)</f>
        <v>#REF!</v>
      </c>
      <c r="N225" s="1167"/>
      <c r="O225" s="1192"/>
    </row>
    <row r="226" spans="1:18" ht="16.5" x14ac:dyDescent="0.2">
      <c r="A226" s="1197" t="s">
        <v>525</v>
      </c>
      <c r="B226" s="1159"/>
      <c r="C226" s="1160"/>
      <c r="D226" s="1160"/>
      <c r="E226" s="1168"/>
      <c r="F226" s="1168"/>
      <c r="G226" s="1160"/>
      <c r="H226" s="1162" t="s">
        <v>599</v>
      </c>
      <c r="I226" s="1167">
        <f>I227-I225</f>
        <v>0</v>
      </c>
      <c r="J226" s="1167"/>
      <c r="K226" s="1167" t="e">
        <f>+#REF!</f>
        <v>#REF!</v>
      </c>
      <c r="L226" s="1167"/>
      <c r="M226" s="1167" t="e">
        <f>ROUND(I226*1000000*K226/10000000,2)</f>
        <v>#REF!</v>
      </c>
      <c r="N226" s="1167"/>
      <c r="O226" s="1192"/>
    </row>
    <row r="227" spans="1:18" ht="16.5" x14ac:dyDescent="0.2">
      <c r="A227" s="1197" t="s">
        <v>525</v>
      </c>
      <c r="B227" s="1164"/>
      <c r="C227" s="1165"/>
      <c r="D227" s="1166" t="s">
        <v>486</v>
      </c>
      <c r="E227" s="1169">
        <f>ROUND(E232*0%,0)</f>
        <v>0</v>
      </c>
      <c r="F227" s="1169">
        <f>ROUND(F232*0%,0)</f>
        <v>0</v>
      </c>
      <c r="G227" s="1169">
        <f>SUM(G225:G226)</f>
        <v>0</v>
      </c>
      <c r="H227" s="1165"/>
      <c r="I227" s="1170">
        <f>ROUND(I232*0%,2)</f>
        <v>0</v>
      </c>
      <c r="J227" s="1170"/>
      <c r="K227" s="1170"/>
      <c r="L227" s="1170" t="e">
        <f>SUM(L225:L226)</f>
        <v>#REF!</v>
      </c>
      <c r="M227" s="1170" t="e">
        <f>SUM(M225:M226)</f>
        <v>#REF!</v>
      </c>
      <c r="N227" s="1170" t="e">
        <f>L227+M227</f>
        <v>#REF!</v>
      </c>
      <c r="O227" s="1177"/>
      <c r="R227" s="1224" t="e">
        <f>+N227-#REF!</f>
        <v>#REF!</v>
      </c>
    </row>
    <row r="228" spans="1:18" ht="16.5" x14ac:dyDescent="0.2">
      <c r="A228" s="1197" t="s">
        <v>525</v>
      </c>
      <c r="B228" s="1163"/>
      <c r="C228" s="1163"/>
      <c r="D228" s="1163"/>
      <c r="E228" s="1163"/>
      <c r="F228" s="1163"/>
      <c r="G228" s="1163"/>
      <c r="H228" s="1163"/>
      <c r="I228" s="1176"/>
      <c r="J228" s="1176"/>
      <c r="K228" s="1176"/>
      <c r="L228" s="1176"/>
      <c r="M228" s="1176"/>
      <c r="N228" s="1176"/>
      <c r="O228" s="1176"/>
    </row>
    <row r="229" spans="1:18" ht="16.5" x14ac:dyDescent="0.2">
      <c r="A229" s="1197" t="s">
        <v>525</v>
      </c>
      <c r="B229" s="1159"/>
      <c r="C229" s="1160" t="s">
        <v>597</v>
      </c>
      <c r="D229" s="1160" t="s">
        <v>589</v>
      </c>
      <c r="E229" s="1168">
        <f>E231</f>
        <v>889</v>
      </c>
      <c r="F229" s="1168">
        <f>F231</f>
        <v>871</v>
      </c>
      <c r="G229" s="1160">
        <f>ROUND(F229*165,0)</f>
        <v>143715</v>
      </c>
      <c r="H229" s="1162" t="s">
        <v>598</v>
      </c>
      <c r="I229" s="1167">
        <f>ROUND(I231*52.25%,2)</f>
        <v>90.12</v>
      </c>
      <c r="J229" s="1167">
        <v>300</v>
      </c>
      <c r="K229" s="1167">
        <v>9.3000000000000007</v>
      </c>
      <c r="L229" s="1167">
        <f>ROUND((G229*85%)*J229*12/10000000,2)</f>
        <v>43.98</v>
      </c>
      <c r="M229" s="1167">
        <f>ROUND(I229*1000000*K229/10000000,2)</f>
        <v>83.81</v>
      </c>
      <c r="N229" s="1167"/>
      <c r="O229" s="1192"/>
    </row>
    <row r="230" spans="1:18" ht="16.5" x14ac:dyDescent="0.2">
      <c r="A230" s="1197" t="s">
        <v>525</v>
      </c>
      <c r="B230" s="1159"/>
      <c r="C230" s="1160"/>
      <c r="D230" s="1160"/>
      <c r="E230" s="1168"/>
      <c r="F230" s="1168"/>
      <c r="G230" s="1160"/>
      <c r="H230" s="1162" t="s">
        <v>599</v>
      </c>
      <c r="I230" s="1167">
        <f>I231-I229</f>
        <v>82.359999999999985</v>
      </c>
      <c r="J230" s="1167"/>
      <c r="K230" s="1167">
        <v>9.4</v>
      </c>
      <c r="L230" s="1167"/>
      <c r="M230" s="1167">
        <f>ROUND(I230*1000000*K230/10000000,2)</f>
        <v>77.42</v>
      </c>
      <c r="N230" s="1167"/>
      <c r="O230" s="1192"/>
    </row>
    <row r="231" spans="1:18" ht="16.5" x14ac:dyDescent="0.2">
      <c r="A231" s="1197" t="s">
        <v>525</v>
      </c>
      <c r="B231" s="1164"/>
      <c r="C231" s="1165"/>
      <c r="D231" s="1166" t="s">
        <v>486</v>
      </c>
      <c r="E231" s="1169">
        <f>E232-E227</f>
        <v>889</v>
      </c>
      <c r="F231" s="1169">
        <f>F232-F227</f>
        <v>871</v>
      </c>
      <c r="G231" s="1169">
        <f>SUM(G229:G230)</f>
        <v>143715</v>
      </c>
      <c r="H231" s="1165"/>
      <c r="I231" s="1170">
        <f>I232-I227</f>
        <v>172.48</v>
      </c>
      <c r="J231" s="1170"/>
      <c r="K231" s="1170"/>
      <c r="L231" s="1170">
        <f>SUM(L229:L230)</f>
        <v>43.98</v>
      </c>
      <c r="M231" s="1170">
        <f>SUM(M229:M230)</f>
        <v>161.23000000000002</v>
      </c>
      <c r="N231" s="1170">
        <f>L231+M231</f>
        <v>205.21</v>
      </c>
      <c r="O231" s="1177"/>
      <c r="R231" s="1224" t="e">
        <f>+N231-#REF!</f>
        <v>#REF!</v>
      </c>
    </row>
    <row r="232" spans="1:18" ht="16.5" x14ac:dyDescent="0.2">
      <c r="A232" s="1197" t="s">
        <v>525</v>
      </c>
      <c r="B232" s="1164">
        <v>11</v>
      </c>
      <c r="C232" s="1165" t="s">
        <v>595</v>
      </c>
      <c r="D232" s="1165"/>
      <c r="E232" s="1169">
        <f>Sales_FY24!$P$64</f>
        <v>889</v>
      </c>
      <c r="F232" s="1169">
        <f>Sales_FY24!$V$64</f>
        <v>871</v>
      </c>
      <c r="G232" s="1169">
        <f>G227+G231</f>
        <v>143715</v>
      </c>
      <c r="H232" s="1165"/>
      <c r="I232" s="1170">
        <f>Sales_FY24!$Q$64</f>
        <v>172.48</v>
      </c>
      <c r="J232" s="1170"/>
      <c r="K232" s="1170"/>
      <c r="L232" s="1170" t="e">
        <f>L227+L231</f>
        <v>#REF!</v>
      </c>
      <c r="M232" s="1170" t="e">
        <f>M227+M231</f>
        <v>#REF!</v>
      </c>
      <c r="N232" s="1170" t="e">
        <f>L232+M232</f>
        <v>#REF!</v>
      </c>
      <c r="O232" s="1177" t="e">
        <f>ROUND(N232/I232*10,2)</f>
        <v>#REF!</v>
      </c>
    </row>
    <row r="233" spans="1:18" ht="16.5" x14ac:dyDescent="0.2">
      <c r="A233" s="1197" t="s">
        <v>525</v>
      </c>
      <c r="B233" s="1163"/>
      <c r="C233" s="1163"/>
      <c r="D233" s="1163"/>
      <c r="E233" s="1163"/>
      <c r="F233" s="1163"/>
      <c r="G233" s="1163"/>
      <c r="H233" s="1163"/>
      <c r="I233" s="1176"/>
      <c r="J233" s="1176"/>
      <c r="K233" s="1176"/>
      <c r="L233" s="1176"/>
      <c r="M233" s="1176"/>
      <c r="N233" s="1176"/>
      <c r="O233" s="1176"/>
    </row>
    <row r="234" spans="1:18" ht="16.5" x14ac:dyDescent="0.2">
      <c r="A234" s="1197" t="s">
        <v>525</v>
      </c>
      <c r="B234" s="1159"/>
      <c r="C234" s="1160" t="s">
        <v>601</v>
      </c>
      <c r="D234" s="1160" t="s">
        <v>589</v>
      </c>
      <c r="E234" s="1168">
        <f>E236</f>
        <v>162</v>
      </c>
      <c r="F234" s="1168">
        <f>F236</f>
        <v>159</v>
      </c>
      <c r="G234" s="1160">
        <f>ROUND(F234*185,0)</f>
        <v>29415</v>
      </c>
      <c r="H234" s="1162" t="s">
        <v>591</v>
      </c>
      <c r="I234" s="1167">
        <f>ROUND(I236*43.26%,2)</f>
        <v>19.510000000000002</v>
      </c>
      <c r="J234" s="1167" t="e">
        <f>+#REF!</f>
        <v>#REF!</v>
      </c>
      <c r="K234" s="1167" t="e">
        <f>+#REF!</f>
        <v>#REF!</v>
      </c>
      <c r="L234" s="1167" t="e">
        <f>ROUND((G234*85%)*J234*12/10000000,2)</f>
        <v>#REF!</v>
      </c>
      <c r="M234" s="1167" t="e">
        <f>ROUND(I234*1000000*K234/10000000,2)</f>
        <v>#REF!</v>
      </c>
      <c r="N234" s="1167"/>
      <c r="O234" s="1192"/>
    </row>
    <row r="235" spans="1:18" ht="16.5" x14ac:dyDescent="0.2">
      <c r="A235" s="1197" t="s">
        <v>525</v>
      </c>
      <c r="B235" s="1159"/>
      <c r="C235" s="1160"/>
      <c r="D235" s="1160"/>
      <c r="E235" s="1168"/>
      <c r="F235" s="1168"/>
      <c r="G235" s="1160"/>
      <c r="H235" s="1162" t="s">
        <v>590</v>
      </c>
      <c r="I235" s="1167">
        <f>I236-I234</f>
        <v>25.59</v>
      </c>
      <c r="J235" s="1167"/>
      <c r="K235" s="1167" t="e">
        <f>+#REF!</f>
        <v>#REF!</v>
      </c>
      <c r="L235" s="1167"/>
      <c r="M235" s="1167" t="e">
        <f>ROUND(I235*1000000*K235/10000000,2)</f>
        <v>#REF!</v>
      </c>
      <c r="N235" s="1167"/>
      <c r="O235" s="1192"/>
    </row>
    <row r="236" spans="1:18" ht="16.5" x14ac:dyDescent="0.2">
      <c r="A236" s="1197" t="s">
        <v>525</v>
      </c>
      <c r="B236" s="1164"/>
      <c r="C236" s="1165"/>
      <c r="D236" s="1166" t="s">
        <v>486</v>
      </c>
      <c r="E236" s="1169">
        <f>ROUND(E241*44.4%,0)</f>
        <v>162</v>
      </c>
      <c r="F236" s="1169">
        <f>ROUND(F241*44.4%,0)</f>
        <v>159</v>
      </c>
      <c r="G236" s="1169">
        <f>SUM(G234:G235)</f>
        <v>29415</v>
      </c>
      <c r="H236" s="1165"/>
      <c r="I236" s="1170">
        <f>ROUND(I241*36.25%,2)</f>
        <v>45.1</v>
      </c>
      <c r="J236" s="1170"/>
      <c r="K236" s="1170"/>
      <c r="L236" s="1170" t="e">
        <f>SUM(L234:L235)</f>
        <v>#REF!</v>
      </c>
      <c r="M236" s="1170" t="e">
        <f>SUM(M234:M235)</f>
        <v>#REF!</v>
      </c>
      <c r="N236" s="1170" t="e">
        <f>L236+M236</f>
        <v>#REF!</v>
      </c>
      <c r="O236" s="1177" t="e">
        <f>ROUND(N236/I236*10,2)</f>
        <v>#REF!</v>
      </c>
    </row>
    <row r="237" spans="1:18" ht="16.5" x14ac:dyDescent="0.2">
      <c r="A237" s="1197" t="s">
        <v>525</v>
      </c>
      <c r="B237" s="1163"/>
      <c r="C237" s="1163"/>
      <c r="D237" s="1163"/>
      <c r="E237" s="1163"/>
      <c r="F237" s="1163"/>
      <c r="G237" s="1163"/>
      <c r="H237" s="1163"/>
      <c r="I237" s="1176"/>
      <c r="J237" s="1176"/>
      <c r="K237" s="1176"/>
      <c r="L237" s="1176"/>
      <c r="M237" s="1176"/>
      <c r="N237" s="1176"/>
      <c r="O237" s="1176"/>
    </row>
    <row r="238" spans="1:18" ht="16.5" x14ac:dyDescent="0.2">
      <c r="A238" s="1197" t="s">
        <v>525</v>
      </c>
      <c r="B238" s="1159"/>
      <c r="C238" s="1160" t="s">
        <v>602</v>
      </c>
      <c r="D238" s="1160" t="s">
        <v>589</v>
      </c>
      <c r="E238" s="1168">
        <f>E240</f>
        <v>203</v>
      </c>
      <c r="F238" s="1168">
        <f>F240</f>
        <v>198</v>
      </c>
      <c r="G238" s="1160">
        <f>ROUND(F238*270,0)</f>
        <v>53460</v>
      </c>
      <c r="H238" s="1162" t="s">
        <v>591</v>
      </c>
      <c r="I238" s="1167">
        <f>ROUND(I240*64.36%,2)</f>
        <v>51.04</v>
      </c>
      <c r="J238" s="1167" t="e">
        <f>+#REF!</f>
        <v>#REF!</v>
      </c>
      <c r="K238" s="1167" t="e">
        <f>+#REF!</f>
        <v>#REF!</v>
      </c>
      <c r="L238" s="1167" t="e">
        <f>ROUND((G238*85%)*J238*12/10000000,2)</f>
        <v>#REF!</v>
      </c>
      <c r="M238" s="1167" t="e">
        <f>ROUND(I238*1000000*K238/10000000,2)</f>
        <v>#REF!</v>
      </c>
      <c r="N238" s="1167"/>
      <c r="O238" s="1192"/>
    </row>
    <row r="239" spans="1:18" ht="16.5" x14ac:dyDescent="0.2">
      <c r="A239" s="1197" t="s">
        <v>525</v>
      </c>
      <c r="B239" s="1159"/>
      <c r="C239" s="1160"/>
      <c r="D239" s="1160"/>
      <c r="E239" s="1168"/>
      <c r="F239" s="1168"/>
      <c r="G239" s="1160"/>
      <c r="H239" s="1162" t="s">
        <v>590</v>
      </c>
      <c r="I239" s="1167">
        <f>I240-I238</f>
        <v>28.260000000000012</v>
      </c>
      <c r="J239" s="1167"/>
      <c r="K239" s="1167" t="e">
        <f>+#REF!</f>
        <v>#REF!</v>
      </c>
      <c r="L239" s="1167"/>
      <c r="M239" s="1167" t="e">
        <f>ROUND(I239*1000000*K239/10000000,2)</f>
        <v>#REF!</v>
      </c>
      <c r="N239" s="1167"/>
      <c r="O239" s="1192"/>
    </row>
    <row r="240" spans="1:18" ht="16.5" x14ac:dyDescent="0.2">
      <c r="A240" s="1197" t="s">
        <v>525</v>
      </c>
      <c r="B240" s="1164"/>
      <c r="C240" s="1165"/>
      <c r="D240" s="1166" t="s">
        <v>486</v>
      </c>
      <c r="E240" s="1169">
        <f>E241-E236</f>
        <v>203</v>
      </c>
      <c r="F240" s="1169">
        <f>F241-F236</f>
        <v>198</v>
      </c>
      <c r="G240" s="1169">
        <f>SUM(G238:G239)</f>
        <v>53460</v>
      </c>
      <c r="H240" s="1165"/>
      <c r="I240" s="1170">
        <f>I241-I236</f>
        <v>79.300000000000011</v>
      </c>
      <c r="J240" s="1170"/>
      <c r="K240" s="1170"/>
      <c r="L240" s="1170" t="e">
        <f>SUM(L238:L239)</f>
        <v>#REF!</v>
      </c>
      <c r="M240" s="1170" t="e">
        <f>SUM(M238:M239)</f>
        <v>#REF!</v>
      </c>
      <c r="N240" s="1170" t="e">
        <f>L240+M240</f>
        <v>#REF!</v>
      </c>
      <c r="O240" s="1177" t="e">
        <f>ROUND(N240/I240*10,2)</f>
        <v>#REF!</v>
      </c>
    </row>
    <row r="241" spans="1:15" ht="16.5" x14ac:dyDescent="0.2">
      <c r="A241" s="1197" t="s">
        <v>525</v>
      </c>
      <c r="B241" s="1164">
        <v>12</v>
      </c>
      <c r="C241" s="1165" t="s">
        <v>600</v>
      </c>
      <c r="D241" s="1165"/>
      <c r="E241" s="1169">
        <f>Sales_FY24!$P$65</f>
        <v>365</v>
      </c>
      <c r="F241" s="1169">
        <f>Sales_FY24!$V$65</f>
        <v>357</v>
      </c>
      <c r="G241" s="1169">
        <f>G236+G240</f>
        <v>82875</v>
      </c>
      <c r="H241" s="1165"/>
      <c r="I241" s="1170">
        <f>Sales_FY24!$Q$65</f>
        <v>124.4</v>
      </c>
      <c r="J241" s="1170"/>
      <c r="K241" s="1170"/>
      <c r="L241" s="1170" t="e">
        <f>L236+L240</f>
        <v>#REF!</v>
      </c>
      <c r="M241" s="1170" t="e">
        <f>M236+M240</f>
        <v>#REF!</v>
      </c>
      <c r="N241" s="1170" t="e">
        <f>L241+M241</f>
        <v>#REF!</v>
      </c>
      <c r="O241" s="1177" t="e">
        <f>ROUND(N241/I241*10,2)</f>
        <v>#REF!</v>
      </c>
    </row>
    <row r="242" spans="1:15" ht="16.5" x14ac:dyDescent="0.2">
      <c r="A242" s="1197" t="s">
        <v>525</v>
      </c>
      <c r="B242" s="1163"/>
      <c r="C242" s="1163"/>
      <c r="D242" s="1163"/>
      <c r="E242" s="1163"/>
      <c r="F242" s="1163"/>
      <c r="G242" s="1163"/>
      <c r="H242" s="1163"/>
      <c r="I242" s="1176"/>
      <c r="J242" s="1176"/>
      <c r="K242" s="1176"/>
      <c r="L242" s="1176"/>
      <c r="M242" s="1176"/>
      <c r="N242" s="1176"/>
      <c r="O242" s="1176"/>
    </row>
    <row r="243" spans="1:15" ht="16.5" x14ac:dyDescent="0.2">
      <c r="A243" s="1197" t="s">
        <v>525</v>
      </c>
      <c r="B243" s="1159"/>
      <c r="C243" s="1160" t="s">
        <v>612</v>
      </c>
      <c r="D243" s="1160" t="s">
        <v>604</v>
      </c>
      <c r="E243" s="1168">
        <f>ROUND(E247*93.02325%,0)</f>
        <v>47</v>
      </c>
      <c r="F243" s="1168">
        <f>ROUND(F247*93.02325%,0)</f>
        <v>46</v>
      </c>
      <c r="G243" s="1160">
        <f>ROUND(F243*943.85,0)</f>
        <v>43417</v>
      </c>
      <c r="H243" s="1162" t="s">
        <v>561</v>
      </c>
      <c r="I243" s="1167">
        <f>ROUND(I247*99.88984%,2)</f>
        <v>104.34</v>
      </c>
      <c r="J243" s="1167" t="e">
        <f>+#REF!</f>
        <v>#REF!</v>
      </c>
      <c r="K243" s="1167" t="e">
        <f>+#REF!</f>
        <v>#REF!</v>
      </c>
      <c r="L243" s="1167" t="e">
        <f>IF((ROUND(G243*J243*1/10000000,2))&gt;(ROUND(I243*1000000*K243/10000000,2)),(ROUND(G243*J243*1/10000000,2)),0)</f>
        <v>#REF!</v>
      </c>
      <c r="M243" s="1167" t="e">
        <f>IF((ROUND(I243*1000000*K243/10000000,2))&gt;(ROUND(G243*J243*1/10000000,2)),(ROUND(I243*1000000*K243/10000000,2)),0)</f>
        <v>#REF!</v>
      </c>
      <c r="N243" s="1167" t="e">
        <f>L243+M243</f>
        <v>#REF!</v>
      </c>
      <c r="O243" s="1192" t="e">
        <f>ROUND(N243/I243*10,2)</f>
        <v>#REF!</v>
      </c>
    </row>
    <row r="244" spans="1:15" ht="16.5" x14ac:dyDescent="0.2">
      <c r="A244" s="1197" t="s">
        <v>525</v>
      </c>
      <c r="B244" s="1159"/>
      <c r="C244" s="1160" t="s">
        <v>613</v>
      </c>
      <c r="D244" s="1160" t="s">
        <v>604</v>
      </c>
      <c r="E244" s="1168">
        <f>ROUND(E247*0%,0)</f>
        <v>0</v>
      </c>
      <c r="F244" s="1168">
        <f>ROUND(F247*0%,0)</f>
        <v>0</v>
      </c>
      <c r="G244" s="1160">
        <f>ROUND(F244*895,0)</f>
        <v>0</v>
      </c>
      <c r="H244" s="1162" t="s">
        <v>561</v>
      </c>
      <c r="I244" s="1167">
        <f>ROUND(I247*0%,2)</f>
        <v>0</v>
      </c>
      <c r="J244" s="1167" t="e">
        <f>+#REF!</f>
        <v>#REF!</v>
      </c>
      <c r="K244" s="1167" t="e">
        <f>+#REF!</f>
        <v>#REF!</v>
      </c>
      <c r="L244" s="1167" t="e">
        <f>ROUND(G244*J244*12/10000000,2)</f>
        <v>#REF!</v>
      </c>
      <c r="M244" s="1167" t="e">
        <f>ROUND(I244*1000000*K244/10000000,2)</f>
        <v>#REF!</v>
      </c>
      <c r="N244" s="1167" t="e">
        <f>L244+M244</f>
        <v>#REF!</v>
      </c>
      <c r="O244" s="1192"/>
    </row>
    <row r="245" spans="1:15" ht="16.5" x14ac:dyDescent="0.2">
      <c r="A245" s="1197" t="s">
        <v>525</v>
      </c>
      <c r="B245" s="1159"/>
      <c r="C245" s="1160" t="s">
        <v>614</v>
      </c>
      <c r="D245" s="1160" t="s">
        <v>604</v>
      </c>
      <c r="E245" s="1168">
        <f>ROUND(E247*0%,0)</f>
        <v>0</v>
      </c>
      <c r="F245" s="1168">
        <f>ROUND(F247*0%,0)</f>
        <v>0</v>
      </c>
      <c r="G245" s="1160">
        <f>ROUND(F245*0,0)</f>
        <v>0</v>
      </c>
      <c r="H245" s="1162" t="s">
        <v>561</v>
      </c>
      <c r="I245" s="1167">
        <f>ROUND(I247*0%,2)</f>
        <v>0</v>
      </c>
      <c r="J245" s="1167" t="e">
        <f>+#REF!</f>
        <v>#REF!</v>
      </c>
      <c r="K245" s="1167" t="e">
        <f>+#REF!</f>
        <v>#REF!</v>
      </c>
      <c r="L245" s="1167" t="e">
        <f>ROUND(G245*J245*12/10000000,2)</f>
        <v>#REF!</v>
      </c>
      <c r="M245" s="1167" t="e">
        <f>ROUND(I245*1000000*K245/10000000,2)</f>
        <v>#REF!</v>
      </c>
      <c r="N245" s="1167" t="e">
        <f>L245+M245</f>
        <v>#REF!</v>
      </c>
      <c r="O245" s="1192"/>
    </row>
    <row r="246" spans="1:15" ht="16.5" x14ac:dyDescent="0.2">
      <c r="A246" s="1197" t="s">
        <v>525</v>
      </c>
      <c r="B246" s="1159"/>
      <c r="C246" s="1160" t="s">
        <v>615</v>
      </c>
      <c r="D246" s="1160" t="s">
        <v>604</v>
      </c>
      <c r="E246" s="1168">
        <f>ROUND(E247*6.97674%,0)</f>
        <v>4</v>
      </c>
      <c r="F246" s="1168">
        <f>ROUND(F247*6.97674%,0)</f>
        <v>3</v>
      </c>
      <c r="G246" s="1160">
        <f>ROUND(F246*167,0)</f>
        <v>501</v>
      </c>
      <c r="H246" s="1162" t="s">
        <v>561</v>
      </c>
      <c r="I246" s="1167">
        <f>+I247-I243-I244-I245</f>
        <v>0.11999999999999034</v>
      </c>
      <c r="J246" s="1167" t="e">
        <f>+#REF!</f>
        <v>#REF!</v>
      </c>
      <c r="K246" s="1167" t="e">
        <f>+#REF!</f>
        <v>#REF!</v>
      </c>
      <c r="L246" s="1167" t="e">
        <f>IF((ROUND(G246*J246*1/10000000,2))&gt;(ROUND(I246*1000000*K246/10000000,2)),(ROUND(G246*J246*1/10000000,2)),0)</f>
        <v>#REF!</v>
      </c>
      <c r="M246" s="1167" t="e">
        <f>IF((ROUND(I246*1000000*K246/10000000,2))&gt;(ROUND(G246*J246*1/10000000,2)),(ROUND(I246*1000000*K246/10000000,2)),0)</f>
        <v>#REF!</v>
      </c>
      <c r="N246" s="1167" t="e">
        <f>L246+M246</f>
        <v>#REF!</v>
      </c>
      <c r="O246" s="1192" t="e">
        <f>ROUND(N246/I246*10,2)</f>
        <v>#REF!</v>
      </c>
    </row>
    <row r="247" spans="1:15" ht="16.5" x14ac:dyDescent="0.2">
      <c r="A247" s="1197" t="s">
        <v>525</v>
      </c>
      <c r="B247" s="1164">
        <v>13</v>
      </c>
      <c r="C247" s="1165" t="s">
        <v>603</v>
      </c>
      <c r="D247" s="1165"/>
      <c r="E247" s="1169">
        <f>Sales_FY24!$P$66</f>
        <v>51</v>
      </c>
      <c r="F247" s="1169">
        <f>Sales_FY24!$V$66</f>
        <v>49</v>
      </c>
      <c r="G247" s="1169">
        <f>SUM(G243:G246)</f>
        <v>43918</v>
      </c>
      <c r="H247" s="1165"/>
      <c r="I247" s="1170">
        <f>Sales_FY24!$Q$66</f>
        <v>104.46</v>
      </c>
      <c r="J247" s="1170"/>
      <c r="K247" s="1170"/>
      <c r="L247" s="1170" t="e">
        <f>SUM(L243:L246)</f>
        <v>#REF!</v>
      </c>
      <c r="M247" s="1170" t="e">
        <f>SUM(M243:M246)</f>
        <v>#REF!</v>
      </c>
      <c r="N247" s="1170" t="e">
        <f>L247+M247</f>
        <v>#REF!</v>
      </c>
      <c r="O247" s="1177" t="e">
        <f>ROUND(N247/I247*10,2)</f>
        <v>#REF!</v>
      </c>
    </row>
    <row r="248" spans="1:15" ht="16.5" x14ac:dyDescent="0.2">
      <c r="A248" s="1197" t="s">
        <v>525</v>
      </c>
      <c r="B248" s="1163"/>
      <c r="C248" s="1163"/>
      <c r="D248" s="1163"/>
      <c r="E248" s="1163"/>
      <c r="F248" s="1163"/>
      <c r="G248" s="1163"/>
      <c r="H248" s="1163"/>
      <c r="I248" s="1176"/>
      <c r="J248" s="1176"/>
      <c r="K248" s="1176"/>
      <c r="L248" s="1176"/>
      <c r="M248" s="1176"/>
      <c r="N248" s="1176"/>
      <c r="O248" s="1176"/>
    </row>
    <row r="249" spans="1:15" ht="16.5" x14ac:dyDescent="0.2">
      <c r="A249" s="1197" t="s">
        <v>525</v>
      </c>
      <c r="B249" s="1159">
        <v>14</v>
      </c>
      <c r="C249" s="1160" t="s">
        <v>312</v>
      </c>
      <c r="D249" s="1160" t="s">
        <v>589</v>
      </c>
      <c r="E249" s="1168">
        <f>Sales_FY24!$P$67</f>
        <v>77</v>
      </c>
      <c r="F249" s="1168">
        <f>Sales_FY24!$V$67</f>
        <v>75</v>
      </c>
      <c r="G249" s="1160">
        <f>ROUND(F249*170.05,0)</f>
        <v>12754</v>
      </c>
      <c r="H249" s="1162" t="s">
        <v>561</v>
      </c>
      <c r="I249" s="1167">
        <f>Sales_FY24!$Q$67</f>
        <v>24.99</v>
      </c>
      <c r="J249" s="1167" t="e">
        <f>+#REF!</f>
        <v>#REF!</v>
      </c>
      <c r="K249" s="1167" t="e">
        <f>+#REF!</f>
        <v>#REF!</v>
      </c>
      <c r="L249" s="1167" t="e">
        <f>ROUND((G249*85%)*J249*12/10000000,2)</f>
        <v>#REF!</v>
      </c>
      <c r="M249" s="1167" t="e">
        <f>ROUND(I249*1000000*K249/10000000,2)</f>
        <v>#REF!</v>
      </c>
      <c r="N249" s="1167" t="e">
        <f>L249+M249</f>
        <v>#REF!</v>
      </c>
      <c r="O249" s="1192" t="e">
        <f>ROUND(N249/I249*10,2)</f>
        <v>#REF!</v>
      </c>
    </row>
    <row r="250" spans="1:15" ht="16.5" x14ac:dyDescent="0.2">
      <c r="A250" s="1197" t="s">
        <v>525</v>
      </c>
      <c r="B250" s="1163"/>
      <c r="C250" s="1163"/>
      <c r="D250" s="1163"/>
      <c r="E250" s="1163"/>
      <c r="F250" s="1163"/>
      <c r="G250" s="1163"/>
      <c r="H250" s="1163"/>
      <c r="I250" s="1176"/>
      <c r="J250" s="1176"/>
      <c r="K250" s="1176"/>
      <c r="L250" s="1176"/>
      <c r="M250" s="1176"/>
      <c r="N250" s="1176"/>
      <c r="O250" s="1176"/>
    </row>
    <row r="251" spans="1:15" ht="16.5" x14ac:dyDescent="0.2">
      <c r="A251" s="1197" t="s">
        <v>525</v>
      </c>
      <c r="B251" s="1159">
        <v>15</v>
      </c>
      <c r="C251" s="1160" t="s">
        <v>313</v>
      </c>
      <c r="D251" s="1160" t="s">
        <v>589</v>
      </c>
      <c r="E251" s="1168">
        <f>Sales_FY24!$P$68</f>
        <v>14</v>
      </c>
      <c r="F251" s="1168">
        <f>Sales_FY24!$V$68</f>
        <v>14</v>
      </c>
      <c r="G251" s="1160">
        <f>ROUND(F251*190,0)</f>
        <v>2660</v>
      </c>
      <c r="H251" s="1162" t="s">
        <v>561</v>
      </c>
      <c r="I251" s="1167">
        <f>Sales_FY24!$Q$68</f>
        <v>2.75</v>
      </c>
      <c r="J251" s="1167" t="e">
        <f>+#REF!</f>
        <v>#REF!</v>
      </c>
      <c r="K251" s="1167" t="e">
        <f>+#REF!</f>
        <v>#REF!</v>
      </c>
      <c r="L251" s="1167" t="e">
        <f>ROUND((G251*100%)*J251*12/10000000,2)</f>
        <v>#REF!</v>
      </c>
      <c r="M251" s="1167" t="e">
        <f>ROUND(I251*1000000*K251/10000000,2)</f>
        <v>#REF!</v>
      </c>
      <c r="N251" s="1167" t="e">
        <f>L251+M251</f>
        <v>#REF!</v>
      </c>
      <c r="O251" s="1192" t="e">
        <f>ROUND(N251/I251*10,2)</f>
        <v>#REF!</v>
      </c>
    </row>
    <row r="252" spans="1:15" ht="16.5" x14ac:dyDescent="0.2">
      <c r="A252" s="1197" t="s">
        <v>525</v>
      </c>
      <c r="B252" s="1163"/>
      <c r="C252" s="1163"/>
      <c r="D252" s="1163"/>
      <c r="E252" s="1163"/>
      <c r="F252" s="1163"/>
      <c r="G252" s="1163"/>
      <c r="H252" s="1163"/>
      <c r="I252" s="1176"/>
      <c r="J252" s="1176"/>
      <c r="K252" s="1176"/>
      <c r="L252" s="1176"/>
      <c r="M252" s="1176"/>
      <c r="N252" s="1176"/>
      <c r="O252" s="1176"/>
    </row>
    <row r="253" spans="1:15" ht="16.5" x14ac:dyDescent="0.2">
      <c r="A253" s="1197" t="s">
        <v>525</v>
      </c>
      <c r="B253" s="1194"/>
      <c r="C253" s="1195" t="s">
        <v>605</v>
      </c>
      <c r="D253" s="1195"/>
      <c r="E253" s="1196">
        <f>E214+E223+E232+E241+E247+E249+E251</f>
        <v>2636</v>
      </c>
      <c r="F253" s="1196">
        <f>F214+F223+F232+F241+F247+F249+F251</f>
        <v>2577</v>
      </c>
      <c r="G253" s="1196">
        <f>G214+G223+G232+G241+G247+G249+G251</f>
        <v>747717</v>
      </c>
      <c r="H253" s="1195"/>
      <c r="I253" s="1193">
        <f>I214+I223+I232+I241+I247+I249+I251</f>
        <v>1319.5800000000002</v>
      </c>
      <c r="J253" s="1193"/>
      <c r="K253" s="1193"/>
      <c r="L253" s="1193" t="e">
        <f>L214+L223+L232+L241+L247+L249+L251</f>
        <v>#REF!</v>
      </c>
      <c r="M253" s="1193" t="e">
        <f>M214+M223+M232+M241+M247+M249+M251</f>
        <v>#REF!</v>
      </c>
      <c r="N253" s="1193" t="e">
        <f>L253+M253</f>
        <v>#REF!</v>
      </c>
      <c r="O253" s="1193" t="e">
        <f>ROUND(N253/I253*10,2)</f>
        <v>#REF!</v>
      </c>
    </row>
    <row r="254" spans="1:15" ht="16.5" x14ac:dyDescent="0.2">
      <c r="A254" s="1197" t="s">
        <v>525</v>
      </c>
      <c r="B254" s="1163"/>
      <c r="C254" s="1163"/>
      <c r="D254" s="1163"/>
      <c r="E254" s="1163"/>
      <c r="F254" s="1163"/>
      <c r="G254" s="1163"/>
      <c r="H254" s="1163"/>
      <c r="I254" s="1176"/>
      <c r="J254" s="1176"/>
      <c r="K254" s="1176"/>
      <c r="L254" s="1176"/>
      <c r="M254" s="1176"/>
      <c r="N254" s="1176"/>
      <c r="O254" s="1176"/>
    </row>
    <row r="255" spans="1:15" ht="16.5" x14ac:dyDescent="0.2">
      <c r="A255" s="1197" t="s">
        <v>525</v>
      </c>
      <c r="B255" s="1194"/>
      <c r="C255" s="1195" t="s">
        <v>606</v>
      </c>
      <c r="D255" s="1195"/>
      <c r="E255" s="1196">
        <f>E212+E253</f>
        <v>2699310</v>
      </c>
      <c r="F255" s="1196">
        <f>F212+F253</f>
        <v>2664461</v>
      </c>
      <c r="G255" s="1196">
        <f>G212+G253</f>
        <v>6173308</v>
      </c>
      <c r="H255" s="1195"/>
      <c r="I255" s="1193">
        <f>I212+I253</f>
        <v>5534.79</v>
      </c>
      <c r="J255" s="1193"/>
      <c r="K255" s="1193"/>
      <c r="L255" s="1193" t="e">
        <f>L212+L253</f>
        <v>#REF!</v>
      </c>
      <c r="M255" s="1193" t="e">
        <f>M212+M253</f>
        <v>#REF!</v>
      </c>
      <c r="N255" s="1193" t="e">
        <f>L255+M255</f>
        <v>#REF!</v>
      </c>
      <c r="O255" s="1193" t="e">
        <f>ROUND(N255/I255*10,2)</f>
        <v>#REF!</v>
      </c>
    </row>
    <row r="256" spans="1:15" ht="16.5" x14ac:dyDescent="0.2">
      <c r="A256" s="1197" t="s">
        <v>525</v>
      </c>
      <c r="B256" s="1163"/>
      <c r="C256" s="1163"/>
      <c r="D256" s="1163"/>
      <c r="E256" s="1163"/>
      <c r="F256" s="1163"/>
      <c r="G256" s="1163"/>
      <c r="H256" s="1163"/>
      <c r="I256" s="1176"/>
      <c r="J256" s="1176"/>
      <c r="K256" s="1176"/>
      <c r="L256" s="1176"/>
      <c r="M256" s="1176"/>
      <c r="N256" s="1176"/>
      <c r="O256" s="1176"/>
    </row>
    <row r="257" spans="1:19" ht="16.5" x14ac:dyDescent="0.2">
      <c r="A257" s="1197" t="s">
        <v>525</v>
      </c>
      <c r="B257" s="1159">
        <v>16</v>
      </c>
      <c r="C257" s="1160"/>
      <c r="D257" s="1160"/>
      <c r="E257" s="1168"/>
      <c r="F257" s="1168"/>
      <c r="G257" s="1160"/>
      <c r="H257" s="1162"/>
      <c r="I257" s="1167"/>
      <c r="J257" s="1167"/>
      <c r="K257" s="1167"/>
      <c r="L257" s="1167"/>
      <c r="M257" s="1167"/>
      <c r="N257" s="1167"/>
      <c r="O257" s="1192"/>
    </row>
    <row r="258" spans="1:19" ht="16.5" x14ac:dyDescent="0.2">
      <c r="A258" s="1197" t="s">
        <v>525</v>
      </c>
      <c r="B258" s="1163"/>
      <c r="C258" s="1163"/>
      <c r="D258" s="1163"/>
      <c r="E258" s="1163"/>
      <c r="F258" s="1163"/>
      <c r="G258" s="1163"/>
      <c r="H258" s="1163"/>
      <c r="I258" s="1176"/>
      <c r="J258" s="1176"/>
      <c r="K258" s="1176"/>
      <c r="L258" s="1176"/>
      <c r="M258" s="1176"/>
      <c r="N258" s="1176"/>
      <c r="O258" s="1176"/>
    </row>
    <row r="259" spans="1:19" ht="16.5" x14ac:dyDescent="0.2">
      <c r="A259" s="1197" t="s">
        <v>525</v>
      </c>
      <c r="B259" s="1159">
        <v>17</v>
      </c>
      <c r="C259" s="1160"/>
      <c r="D259" s="1160"/>
      <c r="E259" s="1168"/>
      <c r="F259" s="1168"/>
      <c r="G259" s="1160"/>
      <c r="H259" s="1162"/>
      <c r="I259" s="1167"/>
      <c r="J259" s="1167"/>
      <c r="K259" s="1167"/>
      <c r="L259" s="1167"/>
      <c r="M259" s="1167"/>
      <c r="N259" s="1167"/>
      <c r="O259" s="1192"/>
    </row>
    <row r="260" spans="1:19" ht="16.5" x14ac:dyDescent="0.2">
      <c r="A260" s="1197" t="s">
        <v>525</v>
      </c>
      <c r="B260" s="1163"/>
      <c r="C260" s="1163"/>
      <c r="D260" s="1163"/>
      <c r="E260" s="1163"/>
      <c r="F260" s="1163"/>
      <c r="G260" s="1163"/>
      <c r="H260" s="1163"/>
      <c r="I260" s="1176"/>
      <c r="J260" s="1176"/>
      <c r="K260" s="1176"/>
      <c r="L260" s="1176"/>
      <c r="M260" s="1176"/>
      <c r="N260" s="1176"/>
      <c r="O260" s="1176"/>
    </row>
    <row r="261" spans="1:19" ht="16.5" x14ac:dyDescent="0.2">
      <c r="A261" s="1197" t="s">
        <v>525</v>
      </c>
      <c r="B261" s="1159">
        <v>18</v>
      </c>
      <c r="C261" s="1160"/>
      <c r="D261" s="1160" t="s">
        <v>305</v>
      </c>
      <c r="E261" s="1168"/>
      <c r="F261" s="1168"/>
      <c r="G261" s="1160"/>
      <c r="H261" s="1162"/>
      <c r="I261" s="1167"/>
      <c r="J261" s="1167"/>
      <c r="K261" s="1167"/>
      <c r="L261" s="1167">
        <v>0</v>
      </c>
      <c r="M261" s="1167">
        <f>ROUND((57.93+(57.93*33.01951%))+5.91+39.01,2)</f>
        <v>121.98</v>
      </c>
      <c r="N261" s="1167">
        <f>L261+M261</f>
        <v>121.98</v>
      </c>
      <c r="O261" s="1192"/>
    </row>
    <row r="262" spans="1:19" ht="16.5" x14ac:dyDescent="0.2">
      <c r="A262" s="1197" t="s">
        <v>525</v>
      </c>
      <c r="B262" s="1163"/>
      <c r="C262" s="1163"/>
      <c r="D262" s="1163"/>
      <c r="E262" s="1163"/>
      <c r="F262" s="1163"/>
      <c r="G262" s="1163"/>
      <c r="H262" s="1163"/>
      <c r="I262" s="1176"/>
      <c r="J262" s="1176"/>
      <c r="K262" s="1176"/>
      <c r="L262" s="1176"/>
      <c r="M262" s="1176"/>
      <c r="N262" s="1176"/>
      <c r="O262" s="1176"/>
    </row>
    <row r="263" spans="1:19" ht="16.5" x14ac:dyDescent="0.2">
      <c r="A263" s="1197" t="s">
        <v>525</v>
      </c>
      <c r="B263" s="1194"/>
      <c r="C263" s="1195" t="s">
        <v>607</v>
      </c>
      <c r="D263" s="1195"/>
      <c r="E263" s="1196">
        <f>E255+E261+E257+E259</f>
        <v>2699310</v>
      </c>
      <c r="F263" s="1196">
        <f>F255+F261+F257+F259</f>
        <v>2664461</v>
      </c>
      <c r="G263" s="1196">
        <f>G255+G261+G257+G259</f>
        <v>6173308</v>
      </c>
      <c r="H263" s="1195"/>
      <c r="I263" s="1193">
        <f>I255+I261+I257+I259</f>
        <v>5534.79</v>
      </c>
      <c r="J263" s="1193"/>
      <c r="K263" s="1193"/>
      <c r="L263" s="1193" t="e">
        <f>L255+L261+L257+L259</f>
        <v>#REF!</v>
      </c>
      <c r="M263" s="1193" t="e">
        <f>M255+M261+M257+M259</f>
        <v>#REF!</v>
      </c>
      <c r="N263" s="1193" t="e">
        <f>L263+M263</f>
        <v>#REF!</v>
      </c>
      <c r="O263" s="1193" t="e">
        <f>ROUND(N263/I263*10,2)</f>
        <v>#REF!</v>
      </c>
      <c r="R263" s="1224" t="e">
        <f>+#REF!</f>
        <v>#REF!</v>
      </c>
      <c r="S263" s="1224" t="e">
        <f>+N263-R263</f>
        <v>#REF!</v>
      </c>
    </row>
    <row r="267" spans="1:19" x14ac:dyDescent="0.15">
      <c r="B267" s="1172" t="s">
        <v>609</v>
      </c>
      <c r="D267" s="1173" t="s">
        <v>608</v>
      </c>
    </row>
    <row r="268" spans="1:19" x14ac:dyDescent="0.15">
      <c r="B268" s="1187" t="s">
        <v>472</v>
      </c>
      <c r="C268" s="1187" t="s">
        <v>474</v>
      </c>
      <c r="D268" s="1188" t="s">
        <v>3</v>
      </c>
      <c r="E268" s="1187" t="s">
        <v>49</v>
      </c>
      <c r="F268" s="1187" t="s">
        <v>469</v>
      </c>
      <c r="G268" s="1187" t="s">
        <v>467</v>
      </c>
      <c r="H268" s="1188" t="s">
        <v>475</v>
      </c>
      <c r="I268" s="1188" t="s">
        <v>475</v>
      </c>
      <c r="J268" s="1187" t="s">
        <v>477</v>
      </c>
      <c r="K268" s="1187" t="s">
        <v>480</v>
      </c>
      <c r="L268" s="1189" t="s">
        <v>610</v>
      </c>
      <c r="M268" s="1189" t="s">
        <v>611</v>
      </c>
      <c r="N268" s="1189" t="s">
        <v>488</v>
      </c>
      <c r="O268" s="1189" t="s">
        <v>489</v>
      </c>
    </row>
    <row r="269" spans="1:19" x14ac:dyDescent="0.15">
      <c r="B269" s="1190" t="s">
        <v>473</v>
      </c>
      <c r="C269" s="1190" t="s">
        <v>31</v>
      </c>
      <c r="D269" s="1191"/>
      <c r="E269" s="1190" t="s">
        <v>33</v>
      </c>
      <c r="F269" s="1190" t="s">
        <v>33</v>
      </c>
      <c r="G269" s="1190" t="s">
        <v>468</v>
      </c>
      <c r="H269" s="1191" t="s">
        <v>487</v>
      </c>
      <c r="I269" s="1191" t="s">
        <v>476</v>
      </c>
      <c r="J269" s="1190" t="s">
        <v>479</v>
      </c>
      <c r="K269" s="1190" t="s">
        <v>478</v>
      </c>
      <c r="L269" s="1190" t="s">
        <v>481</v>
      </c>
      <c r="M269" s="1190" t="s">
        <v>481</v>
      </c>
      <c r="N269" s="1190" t="s">
        <v>481</v>
      </c>
      <c r="O269" s="1190" t="s">
        <v>478</v>
      </c>
    </row>
    <row r="270" spans="1:19" ht="16.5" x14ac:dyDescent="0.2">
      <c r="A270" s="1197" t="s">
        <v>535</v>
      </c>
      <c r="B270" s="1159"/>
      <c r="C270" s="1160" t="s">
        <v>38</v>
      </c>
      <c r="D270" s="1160" t="s">
        <v>482</v>
      </c>
      <c r="E270" s="1168">
        <f>Sales_FY24!$P$90</f>
        <v>447923</v>
      </c>
      <c r="F270" s="1168">
        <f>Sales_FY24!$V$90</f>
        <v>447923</v>
      </c>
      <c r="G270" s="1160">
        <f>ROUND(E270*0.1,0)</f>
        <v>44792</v>
      </c>
      <c r="H270" s="1167"/>
      <c r="I270" s="1167">
        <f>Sales_FY24!$Q$90</f>
        <v>95.12</v>
      </c>
      <c r="J270" s="1167" t="e">
        <f>+#REF!</f>
        <v>#REF!</v>
      </c>
      <c r="K270" s="1167" t="e">
        <f>+#REF!</f>
        <v>#REF!</v>
      </c>
      <c r="L270" s="1167"/>
      <c r="M270" s="1167" t="e">
        <f>ROUND(I270*1000000*K270/10000000,2)</f>
        <v>#REF!</v>
      </c>
      <c r="N270" s="1175" t="e">
        <f>+L270+M270</f>
        <v>#REF!</v>
      </c>
      <c r="O270" s="1171" t="e">
        <f>ROUND(N270/I270*10,2)</f>
        <v>#REF!</v>
      </c>
    </row>
    <row r="271" spans="1:19" ht="16.5" x14ac:dyDescent="0.2">
      <c r="A271" s="1197" t="s">
        <v>535</v>
      </c>
      <c r="B271" s="1159"/>
      <c r="C271" s="1160" t="s">
        <v>38</v>
      </c>
      <c r="D271" s="1161" t="s">
        <v>483</v>
      </c>
      <c r="E271" s="1168">
        <f>Sales_FY24!$P$91</f>
        <v>41739</v>
      </c>
      <c r="F271" s="1168">
        <f>Sales_FY24!$V$91</f>
        <v>41739</v>
      </c>
      <c r="G271" s="1160">
        <f>ROUND(E271*0.1,0)</f>
        <v>4174</v>
      </c>
      <c r="H271" s="1162" t="s">
        <v>426</v>
      </c>
      <c r="I271" s="1167">
        <f>ROUND(F271*50*12/1000000,2)</f>
        <v>25.04</v>
      </c>
      <c r="J271" s="1167">
        <v>100</v>
      </c>
      <c r="K271" s="1167">
        <f>+K282</f>
        <v>4.0999999999999996</v>
      </c>
      <c r="L271" s="1167">
        <f>ROUND((F271*J271*12)/10000000,2)</f>
        <v>5.01</v>
      </c>
      <c r="M271" s="1167">
        <f>ROUND(I271*1000000*K271/10000000,2)</f>
        <v>10.27</v>
      </c>
      <c r="N271" s="1167"/>
      <c r="O271" s="1167"/>
    </row>
    <row r="272" spans="1:19" ht="16.5" x14ac:dyDescent="0.2">
      <c r="A272" s="1197" t="s">
        <v>535</v>
      </c>
      <c r="B272" s="1159"/>
      <c r="C272" s="1160"/>
      <c r="D272" s="1161"/>
      <c r="E272" s="1160"/>
      <c r="F272" s="1160"/>
      <c r="G272" s="1160"/>
      <c r="H272" s="1162" t="s">
        <v>432</v>
      </c>
      <c r="I272" s="1167">
        <f>I273-I271</f>
        <v>2.4000000000000021</v>
      </c>
      <c r="J272" s="1167"/>
      <c r="K272" s="1167">
        <f>+K283</f>
        <v>5.6</v>
      </c>
      <c r="L272" s="1167"/>
      <c r="M272" s="1167">
        <f>ROUND(I272*1000000*K272/10000000,2)</f>
        <v>1.34</v>
      </c>
      <c r="N272" s="1167"/>
      <c r="O272" s="1167"/>
    </row>
    <row r="273" spans="1:18" ht="16.5" x14ac:dyDescent="0.2">
      <c r="A273" s="1197" t="s">
        <v>535</v>
      </c>
      <c r="B273" s="1172"/>
      <c r="C273" s="1173"/>
      <c r="D273" s="1174" t="s">
        <v>486</v>
      </c>
      <c r="E273" s="1173">
        <f>SUM(E271:E272)</f>
        <v>41739</v>
      </c>
      <c r="F273" s="1173">
        <f>SUM(F271:F272)</f>
        <v>41739</v>
      </c>
      <c r="G273" s="1173">
        <f>SUM(G271:G272)</f>
        <v>4174</v>
      </c>
      <c r="H273" s="1173"/>
      <c r="I273" s="1175">
        <f>Sales_FY24!$Q$91</f>
        <v>27.44</v>
      </c>
      <c r="J273" s="1175"/>
      <c r="K273" s="1175"/>
      <c r="L273" s="1175">
        <f>SUM(L271:L272)</f>
        <v>5.01</v>
      </c>
      <c r="M273" s="1175">
        <f>SUM(M271:M272)</f>
        <v>11.61</v>
      </c>
      <c r="N273" s="1175">
        <f>+L273+M273</f>
        <v>16.619999999999997</v>
      </c>
      <c r="O273" s="1171">
        <f>ROUND(N273/I273*10,2)</f>
        <v>6.06</v>
      </c>
    </row>
    <row r="274" spans="1:18" ht="16.5" x14ac:dyDescent="0.2">
      <c r="A274" s="1197" t="s">
        <v>535</v>
      </c>
      <c r="B274" s="1164">
        <v>1</v>
      </c>
      <c r="C274" s="1165" t="s">
        <v>484</v>
      </c>
      <c r="D274" s="1165"/>
      <c r="E274" s="1169">
        <f>+E270+E273</f>
        <v>489662</v>
      </c>
      <c r="F274" s="1169">
        <f>+F270+F273</f>
        <v>489662</v>
      </c>
      <c r="G274" s="1169">
        <f>+G270+G273</f>
        <v>48966</v>
      </c>
      <c r="H274" s="1165"/>
      <c r="I274" s="1170">
        <f>+I270+I273</f>
        <v>122.56</v>
      </c>
      <c r="J274" s="1170"/>
      <c r="K274" s="1170"/>
      <c r="L274" s="1170">
        <f>+L270+L273</f>
        <v>5.01</v>
      </c>
      <c r="M274" s="1170" t="e">
        <f>+M270+M273</f>
        <v>#REF!</v>
      </c>
      <c r="N274" s="1170" t="e">
        <f>L274+M274</f>
        <v>#REF!</v>
      </c>
      <c r="O274" s="1170"/>
      <c r="R274" s="1224" t="e">
        <f>+N274-#REF!</f>
        <v>#REF!</v>
      </c>
    </row>
    <row r="275" spans="1:18" ht="16.5" x14ac:dyDescent="0.2">
      <c r="A275" s="1197" t="s">
        <v>535</v>
      </c>
      <c r="B275" s="1163"/>
      <c r="C275" s="1163"/>
      <c r="D275" s="1163"/>
      <c r="E275" s="1163"/>
      <c r="F275" s="1163"/>
      <c r="G275" s="1163"/>
      <c r="H275" s="1163"/>
      <c r="I275" s="1176"/>
      <c r="J275" s="1176"/>
      <c r="K275" s="1176"/>
      <c r="L275" s="1176"/>
      <c r="M275" s="1176"/>
      <c r="N275" s="1176"/>
      <c r="O275" s="1176"/>
    </row>
    <row r="276" spans="1:18" ht="16.5" x14ac:dyDescent="0.2">
      <c r="A276" s="1197" t="s">
        <v>535</v>
      </c>
      <c r="B276" s="1159"/>
      <c r="C276" s="1160" t="s">
        <v>485</v>
      </c>
      <c r="D276" s="1160" t="s">
        <v>43</v>
      </c>
      <c r="E276" s="1160">
        <f>ROUND(E280*87.4%,0)</f>
        <v>922022</v>
      </c>
      <c r="F276" s="1160">
        <f>ROUND(F280*87.4%,0)</f>
        <v>910470</v>
      </c>
      <c r="G276" s="1160">
        <f>ROUND(F276*0.87,0)</f>
        <v>792109</v>
      </c>
      <c r="H276" s="1162" t="s">
        <v>426</v>
      </c>
      <c r="I276" s="1167">
        <f>ROUND(I280*25.893%,2)</f>
        <v>196.24</v>
      </c>
      <c r="J276" s="1167" t="e">
        <f>+#REF!</f>
        <v>#REF!</v>
      </c>
      <c r="K276" s="1167" t="e">
        <f>+#REF!</f>
        <v>#REF!</v>
      </c>
      <c r="L276" s="1167" t="e">
        <f>ROUND((F276*J276*12)/10000000,2)</f>
        <v>#REF!</v>
      </c>
      <c r="M276" s="1167" t="e">
        <f>ROUND(I276*1000000*K276/10000000,2)</f>
        <v>#REF!</v>
      </c>
      <c r="N276" s="1167"/>
      <c r="O276" s="1171"/>
    </row>
    <row r="277" spans="1:18" ht="16.5" x14ac:dyDescent="0.2">
      <c r="A277" s="1197" t="s">
        <v>535</v>
      </c>
      <c r="B277" s="1159"/>
      <c r="C277" s="1160"/>
      <c r="D277" s="1160" t="s">
        <v>451</v>
      </c>
      <c r="E277" s="1160">
        <f>ROUND(E280*12.6%,0)</f>
        <v>132923</v>
      </c>
      <c r="F277" s="1160">
        <f>ROUND(F280*12.6%,0)</f>
        <v>131258</v>
      </c>
      <c r="G277" s="1160">
        <f>ROUND(F277*2.25,0)</f>
        <v>295331</v>
      </c>
      <c r="H277" s="1162" t="s">
        <v>432</v>
      </c>
      <c r="I277" s="1167">
        <f>ROUND(I280*36%,2)</f>
        <v>272.83999999999997</v>
      </c>
      <c r="J277" s="1167" t="e">
        <f>+#REF!</f>
        <v>#REF!</v>
      </c>
      <c r="K277" s="1167" t="e">
        <f>+#REF!</f>
        <v>#REF!</v>
      </c>
      <c r="L277" s="1167" t="e">
        <f>ROUND(((F277*J276*12)+((G277-F277)*J277*12))/10000000,2)</f>
        <v>#REF!</v>
      </c>
      <c r="M277" s="1167" t="e">
        <f>ROUND(I277*1000000*K277/10000000,2)</f>
        <v>#REF!</v>
      </c>
      <c r="N277" s="1167"/>
      <c r="O277" s="1167"/>
    </row>
    <row r="278" spans="1:18" ht="16.5" x14ac:dyDescent="0.2">
      <c r="A278" s="1197" t="s">
        <v>535</v>
      </c>
      <c r="B278" s="1159"/>
      <c r="C278" s="1160"/>
      <c r="D278" s="1160" t="s">
        <v>444</v>
      </c>
      <c r="E278" s="1160">
        <f>+E280-E276-E277</f>
        <v>0</v>
      </c>
      <c r="F278" s="1160">
        <f>+F280-F276-F277</f>
        <v>0</v>
      </c>
      <c r="G278" s="1160">
        <f>ROUND(F278*0,0)</f>
        <v>0</v>
      </c>
      <c r="H278" s="1162" t="s">
        <v>380</v>
      </c>
      <c r="I278" s="1167">
        <f>ROUND(I280*23.02%,2)</f>
        <v>174.47</v>
      </c>
      <c r="J278" s="1167" t="e">
        <f>+#REF!</f>
        <v>#REF!</v>
      </c>
      <c r="K278" s="1167" t="e">
        <f>+#REF!</f>
        <v>#REF!</v>
      </c>
      <c r="L278" s="1167" t="e">
        <f>ROUND(((F278*J276*12)+(F278*49*12*J277)+((G278-(F278*50))*12*J278))/10000000,2)</f>
        <v>#REF!</v>
      </c>
      <c r="M278" s="1167" t="e">
        <f>ROUND(I278*1000000*K278/10000000,2)</f>
        <v>#REF!</v>
      </c>
      <c r="N278" s="1167"/>
      <c r="O278" s="1167"/>
    </row>
    <row r="279" spans="1:18" ht="16.5" x14ac:dyDescent="0.2">
      <c r="A279" s="1197" t="s">
        <v>535</v>
      </c>
      <c r="B279" s="1159"/>
      <c r="C279" s="1160"/>
      <c r="D279" s="1160"/>
      <c r="E279" s="1160"/>
      <c r="F279" s="1160"/>
      <c r="G279" s="1160"/>
      <c r="H279" s="1162" t="s">
        <v>411</v>
      </c>
      <c r="I279" s="1167">
        <f>+I280-I276-I277-I278</f>
        <v>114.35</v>
      </c>
      <c r="J279" s="1167"/>
      <c r="K279" s="1167" t="e">
        <f>+#REF!</f>
        <v>#REF!</v>
      </c>
      <c r="L279" s="1167"/>
      <c r="M279" s="1167" t="e">
        <f>ROUND(I279*1000000*K279/10000000,2)</f>
        <v>#REF!</v>
      </c>
      <c r="N279" s="1167"/>
      <c r="O279" s="1167"/>
    </row>
    <row r="280" spans="1:18" ht="16.5" x14ac:dyDescent="0.2">
      <c r="A280" s="1197" t="s">
        <v>535</v>
      </c>
      <c r="B280" s="1164"/>
      <c r="C280" s="1165"/>
      <c r="D280" s="1166" t="s">
        <v>486</v>
      </c>
      <c r="E280" s="1165">
        <f>ROUND(E287*44.62%,0)</f>
        <v>1054945</v>
      </c>
      <c r="F280" s="1165">
        <f>ROUND(F287*44.62%,0)</f>
        <v>1041728</v>
      </c>
      <c r="G280" s="1165">
        <f>SUM(G276:G279)</f>
        <v>1087440</v>
      </c>
      <c r="H280" s="1165"/>
      <c r="I280" s="1170">
        <f>ROUND(I287*64.32%,2)</f>
        <v>757.9</v>
      </c>
      <c r="J280" s="1170"/>
      <c r="K280" s="1170"/>
      <c r="L280" s="1170" t="e">
        <f>SUM(L276:L279)</f>
        <v>#REF!</v>
      </c>
      <c r="M280" s="1170" t="e">
        <f>SUM(M276:M279)</f>
        <v>#REF!</v>
      </c>
      <c r="N280" s="1170" t="e">
        <f>L280+M280</f>
        <v>#REF!</v>
      </c>
      <c r="O280" s="1177" t="e">
        <f>ROUND(N280/I280*10,2)</f>
        <v>#REF!</v>
      </c>
      <c r="R280" s="1224" t="e">
        <f>+N280-#REF!</f>
        <v>#REF!</v>
      </c>
    </row>
    <row r="281" spans="1:18" ht="16.5" x14ac:dyDescent="0.2">
      <c r="A281" s="1197" t="s">
        <v>535</v>
      </c>
      <c r="B281" s="1163"/>
      <c r="C281" s="1163"/>
      <c r="D281" s="1163"/>
      <c r="E281" s="1163"/>
      <c r="F281" s="1163"/>
      <c r="G281" s="1163"/>
      <c r="H281" s="1163"/>
      <c r="I281" s="1176"/>
      <c r="J281" s="1176"/>
      <c r="K281" s="1176"/>
      <c r="L281" s="1176"/>
      <c r="M281" s="1176"/>
      <c r="N281" s="1176"/>
      <c r="O281" s="1176"/>
    </row>
    <row r="282" spans="1:18" ht="16.5" x14ac:dyDescent="0.2">
      <c r="A282" s="1197" t="s">
        <v>535</v>
      </c>
      <c r="B282" s="1159"/>
      <c r="C282" s="1160" t="s">
        <v>555</v>
      </c>
      <c r="D282" s="1160" t="s">
        <v>43</v>
      </c>
      <c r="E282" s="1160">
        <f>ROUND(E286*85.63%,0)</f>
        <v>1121190</v>
      </c>
      <c r="F282" s="1160">
        <f>ROUND(F286*85.63%,0)</f>
        <v>1107144</v>
      </c>
      <c r="G282" s="1160">
        <f>ROUND(F282*0.665,0)</f>
        <v>736251</v>
      </c>
      <c r="H282" s="1162" t="s">
        <v>426</v>
      </c>
      <c r="I282" s="1167">
        <f>ROUND(I286*33.5%,2)</f>
        <v>140.84</v>
      </c>
      <c r="J282" s="1167">
        <v>100</v>
      </c>
      <c r="K282" s="1167">
        <v>4.0999999999999996</v>
      </c>
      <c r="L282" s="1167">
        <f>ROUND((F282*J282*12)/10000000,2)</f>
        <v>132.86000000000001</v>
      </c>
      <c r="M282" s="1167">
        <f>ROUND(I282*1000000*K282/10000000,2)</f>
        <v>57.74</v>
      </c>
      <c r="N282" s="1167"/>
      <c r="O282" s="1167"/>
    </row>
    <row r="283" spans="1:18" ht="16.5" x14ac:dyDescent="0.2">
      <c r="A283" s="1197" t="s">
        <v>535</v>
      </c>
      <c r="B283" s="1159"/>
      <c r="C283" s="1160"/>
      <c r="D283" s="1160" t="s">
        <v>451</v>
      </c>
      <c r="E283" s="1160">
        <f>ROUND(E286*14.37%,0)</f>
        <v>188153</v>
      </c>
      <c r="F283" s="1160">
        <f>ROUND(F286*14.37%,0)</f>
        <v>185795</v>
      </c>
      <c r="G283" s="1160">
        <f>ROUND(F283*2,0)</f>
        <v>371590</v>
      </c>
      <c r="H283" s="1162" t="s">
        <v>432</v>
      </c>
      <c r="I283" s="1167">
        <f>ROUND(I286*37.3%,2)</f>
        <v>156.82</v>
      </c>
      <c r="J283" s="1167">
        <v>110</v>
      </c>
      <c r="K283" s="1167">
        <v>5.6</v>
      </c>
      <c r="L283" s="1167">
        <f>ROUND(((F283*J282*12)+((G283-F283)*J283*12))/10000000,2)</f>
        <v>46.82</v>
      </c>
      <c r="M283" s="1167">
        <f>ROUND(I283*1000000*K283/10000000,2)</f>
        <v>87.82</v>
      </c>
      <c r="N283" s="1167"/>
      <c r="O283" s="1167"/>
    </row>
    <row r="284" spans="1:18" ht="16.5" x14ac:dyDescent="0.2">
      <c r="A284" s="1197" t="s">
        <v>535</v>
      </c>
      <c r="B284" s="1159"/>
      <c r="C284" s="1160"/>
      <c r="D284" s="1160" t="s">
        <v>444</v>
      </c>
      <c r="E284" s="1160">
        <f>+E286-E282-E283</f>
        <v>0</v>
      </c>
      <c r="F284" s="1160">
        <f>+F286-F282-F283</f>
        <v>0</v>
      </c>
      <c r="G284" s="1160">
        <f>ROUND(F284*0,0)</f>
        <v>0</v>
      </c>
      <c r="H284" s="1162" t="s">
        <v>380</v>
      </c>
      <c r="I284" s="1167">
        <f>ROUND(I286*21.3%,2)</f>
        <v>89.55</v>
      </c>
      <c r="J284" s="1167">
        <v>175</v>
      </c>
      <c r="K284" s="1167">
        <v>7.15</v>
      </c>
      <c r="L284" s="1167">
        <f>ROUND(((F284*J282*12)+(F284*49*12*J283)+((G284-(F284*50))*12*J284))/10000000,2)</f>
        <v>0</v>
      </c>
      <c r="M284" s="1167">
        <f>ROUND(I284*1000000*K284/10000000,2)</f>
        <v>64.03</v>
      </c>
      <c r="N284" s="1167"/>
      <c r="O284" s="1167"/>
    </row>
    <row r="285" spans="1:18" ht="16.5" x14ac:dyDescent="0.2">
      <c r="A285" s="1197" t="s">
        <v>535</v>
      </c>
      <c r="B285" s="1159"/>
      <c r="C285" s="1160"/>
      <c r="D285" s="1160"/>
      <c r="E285" s="1160"/>
      <c r="F285" s="1160"/>
      <c r="G285" s="1160"/>
      <c r="H285" s="1162" t="s">
        <v>411</v>
      </c>
      <c r="I285" s="1167">
        <f>+I286-I282-I283-I284</f>
        <v>33.219999999999928</v>
      </c>
      <c r="J285" s="1167"/>
      <c r="K285" s="1167">
        <v>8.1999999999999993</v>
      </c>
      <c r="L285" s="1167"/>
      <c r="M285" s="1167">
        <f>ROUND(I285*1000000*K285/10000000,2)</f>
        <v>27.24</v>
      </c>
      <c r="N285" s="1167"/>
      <c r="O285" s="1167"/>
    </row>
    <row r="286" spans="1:18" ht="16.5" x14ac:dyDescent="0.2">
      <c r="A286" s="1197" t="s">
        <v>535</v>
      </c>
      <c r="B286" s="1164"/>
      <c r="C286" s="1165"/>
      <c r="D286" s="1166" t="s">
        <v>486</v>
      </c>
      <c r="E286" s="1169">
        <f>E287-E280</f>
        <v>1309343</v>
      </c>
      <c r="F286" s="1169">
        <f>F287-F280</f>
        <v>1292939</v>
      </c>
      <c r="G286" s="1165">
        <f>SUM(G282:G285)</f>
        <v>1107841</v>
      </c>
      <c r="H286" s="1165"/>
      <c r="I286" s="1170">
        <f>I287-I280</f>
        <v>420.42999999999995</v>
      </c>
      <c r="J286" s="1170"/>
      <c r="K286" s="1170"/>
      <c r="L286" s="1170">
        <f>SUM(L282:L285)</f>
        <v>179.68</v>
      </c>
      <c r="M286" s="1170">
        <f>SUM(M282:M285)</f>
        <v>236.83</v>
      </c>
      <c r="N286" s="1170">
        <f>L286+M286</f>
        <v>416.51</v>
      </c>
      <c r="O286" s="1177">
        <f>ROUND(N286/I286*10,2)</f>
        <v>9.91</v>
      </c>
      <c r="R286" s="1224" t="e">
        <f>+N286-#REF!</f>
        <v>#REF!</v>
      </c>
    </row>
    <row r="287" spans="1:18" ht="16.5" x14ac:dyDescent="0.2">
      <c r="A287" s="1197" t="s">
        <v>535</v>
      </c>
      <c r="B287" s="1164">
        <v>2</v>
      </c>
      <c r="C287" s="1165" t="s">
        <v>490</v>
      </c>
      <c r="D287" s="1165"/>
      <c r="E287" s="1169">
        <f>Sales_FY24!$P$92</f>
        <v>2364288</v>
      </c>
      <c r="F287" s="1169">
        <f>Sales_FY24!$V$92</f>
        <v>2334667</v>
      </c>
      <c r="G287" s="1169">
        <f>G280+G286</f>
        <v>2195281</v>
      </c>
      <c r="H287" s="1165"/>
      <c r="I287" s="1170">
        <f>Sales_FY24!$Q$92</f>
        <v>1178.33</v>
      </c>
      <c r="J287" s="1170"/>
      <c r="K287" s="1170"/>
      <c r="L287" s="1170" t="e">
        <f>L280+L286</f>
        <v>#REF!</v>
      </c>
      <c r="M287" s="1170" t="e">
        <f>M280+M286</f>
        <v>#REF!</v>
      </c>
      <c r="N287" s="1170" t="e">
        <f>L287+M287</f>
        <v>#REF!</v>
      </c>
      <c r="O287" s="1177" t="e">
        <f>ROUND(N287/I287*10,2)</f>
        <v>#REF!</v>
      </c>
      <c r="R287" s="1224"/>
    </row>
    <row r="288" spans="1:18" ht="16.5" x14ac:dyDescent="0.2">
      <c r="A288" s="1197" t="s">
        <v>535</v>
      </c>
      <c r="B288" s="1163"/>
      <c r="C288" s="1163"/>
      <c r="D288" s="1163"/>
      <c r="E288" s="1163"/>
      <c r="F288" s="1163"/>
      <c r="G288" s="1163"/>
      <c r="H288" s="1163"/>
      <c r="I288" s="1176"/>
      <c r="J288" s="1176"/>
      <c r="K288" s="1176"/>
      <c r="L288" s="1176"/>
      <c r="M288" s="1176"/>
      <c r="N288" s="1176"/>
      <c r="O288" s="1176"/>
    </row>
    <row r="289" spans="1:18" ht="16.5" x14ac:dyDescent="0.2">
      <c r="A289" s="1197" t="s">
        <v>535</v>
      </c>
      <c r="B289" s="1159"/>
      <c r="C289" s="1160" t="s">
        <v>491</v>
      </c>
      <c r="D289" s="1160" t="s">
        <v>492</v>
      </c>
      <c r="E289" s="1160">
        <f>ROUND(E292*100%,0)</f>
        <v>2271</v>
      </c>
      <c r="F289" s="1160">
        <f>ROUND(F292*100%,0)</f>
        <v>2229</v>
      </c>
      <c r="G289" s="1160">
        <f>ROUND(F289*4.83,0)</f>
        <v>10766</v>
      </c>
      <c r="H289" s="1162" t="s">
        <v>493</v>
      </c>
      <c r="I289" s="1167">
        <f>ROUND(I292*45.26%,2)</f>
        <v>3.23</v>
      </c>
      <c r="J289" s="1167" t="e">
        <f>+#REF!</f>
        <v>#REF!</v>
      </c>
      <c r="K289" s="1167" t="e">
        <f>+#REF!</f>
        <v>#REF!</v>
      </c>
      <c r="L289" s="1167" t="e">
        <f>ROUND(G289*J289*12/10000000,2)</f>
        <v>#REF!</v>
      </c>
      <c r="M289" s="1167" t="e">
        <f>ROUND(I289*1000000*K289/10000000,2)</f>
        <v>#REF!</v>
      </c>
      <c r="N289" s="1167"/>
      <c r="O289" s="1167"/>
    </row>
    <row r="290" spans="1:18" ht="16.5" x14ac:dyDescent="0.2">
      <c r="A290" s="1197" t="s">
        <v>535</v>
      </c>
      <c r="B290" s="1159"/>
      <c r="C290" s="1160"/>
      <c r="D290" s="1160" t="s">
        <v>444</v>
      </c>
      <c r="E290" s="1160">
        <f>E292-E289</f>
        <v>0</v>
      </c>
      <c r="F290" s="1160">
        <f>F292-F289</f>
        <v>0</v>
      </c>
      <c r="G290" s="1160">
        <f>ROUND(F290*0,0)</f>
        <v>0</v>
      </c>
      <c r="H290" s="1162" t="s">
        <v>411</v>
      </c>
      <c r="I290" s="1167">
        <f>I292-I289</f>
        <v>3.9</v>
      </c>
      <c r="J290" s="1167" t="e">
        <f>+#REF!</f>
        <v>#REF!</v>
      </c>
      <c r="K290" s="1167" t="e">
        <f>+#REF!</f>
        <v>#REF!</v>
      </c>
      <c r="L290" s="1167" t="e">
        <f>ROUND(((F290*J289*50*12)+((G290-(F290*50))*J290*12))/10000000,2)</f>
        <v>#REF!</v>
      </c>
      <c r="M290" s="1167" t="e">
        <f>ROUND(I290*1000000*K290/10000000,2)</f>
        <v>#REF!</v>
      </c>
      <c r="N290" s="1167"/>
      <c r="O290" s="1167"/>
    </row>
    <row r="291" spans="1:18" ht="16.5" x14ac:dyDescent="0.2">
      <c r="A291" s="1197" t="s">
        <v>535</v>
      </c>
      <c r="B291" s="1159"/>
      <c r="C291" s="1160"/>
      <c r="D291" s="1160" t="s">
        <v>556</v>
      </c>
      <c r="E291" s="1160"/>
      <c r="F291" s="1160"/>
      <c r="G291" s="1160"/>
      <c r="H291" s="1162"/>
      <c r="I291" s="1167"/>
      <c r="J291" s="1186" t="e">
        <f>+#REF!</f>
        <v>#REF!</v>
      </c>
      <c r="K291" s="1167"/>
      <c r="L291" s="1167"/>
      <c r="M291" s="1167"/>
      <c r="N291" s="1167"/>
      <c r="O291" s="1167"/>
    </row>
    <row r="292" spans="1:18" ht="16.5" x14ac:dyDescent="0.2">
      <c r="A292" s="1197" t="s">
        <v>535</v>
      </c>
      <c r="B292" s="1164"/>
      <c r="C292" s="1165"/>
      <c r="D292" s="1166" t="s">
        <v>486</v>
      </c>
      <c r="E292" s="1165">
        <f>ROUND(E298*55.46%,0)</f>
        <v>2271</v>
      </c>
      <c r="F292" s="1165">
        <f>ROUND(F298*55.46%,0)</f>
        <v>2229</v>
      </c>
      <c r="G292" s="1165">
        <f>SUM(G289:G290)</f>
        <v>10766</v>
      </c>
      <c r="H292" s="1165"/>
      <c r="I292" s="1170">
        <f>ROUND(I298*66.56%,2)</f>
        <v>7.13</v>
      </c>
      <c r="J292" s="1170"/>
      <c r="K292" s="1170"/>
      <c r="L292" s="1170" t="e">
        <f>SUM(L289:L290)</f>
        <v>#REF!</v>
      </c>
      <c r="M292" s="1170" t="e">
        <f>SUM(M289:M290)</f>
        <v>#REF!</v>
      </c>
      <c r="N292" s="1170" t="e">
        <f>L292+M292</f>
        <v>#REF!</v>
      </c>
      <c r="O292" s="1177" t="e">
        <f>ROUND(N292/I292*10,2)</f>
        <v>#REF!</v>
      </c>
      <c r="R292" s="1224" t="e">
        <f>+N292-#REF!</f>
        <v>#REF!</v>
      </c>
    </row>
    <row r="293" spans="1:18" ht="16.5" x14ac:dyDescent="0.2">
      <c r="A293" s="1197" t="s">
        <v>535</v>
      </c>
      <c r="B293" s="1163"/>
      <c r="C293" s="1163"/>
      <c r="D293" s="1163"/>
      <c r="E293" s="1163"/>
      <c r="F293" s="1163"/>
      <c r="G293" s="1163"/>
      <c r="H293" s="1163"/>
      <c r="I293" s="1176"/>
      <c r="J293" s="1176"/>
      <c r="K293" s="1176"/>
      <c r="L293" s="1176"/>
      <c r="M293" s="1176"/>
      <c r="N293" s="1176"/>
      <c r="O293" s="1176"/>
    </row>
    <row r="294" spans="1:18" ht="16.5" x14ac:dyDescent="0.2">
      <c r="A294" s="1197" t="s">
        <v>535</v>
      </c>
      <c r="B294" s="1159"/>
      <c r="C294" s="1160" t="s">
        <v>554</v>
      </c>
      <c r="D294" s="1160" t="s">
        <v>492</v>
      </c>
      <c r="E294" s="1160">
        <f>ROUND(E297*100%,0)</f>
        <v>1824</v>
      </c>
      <c r="F294" s="1160">
        <f>ROUND(F297*100%,0)</f>
        <v>1790</v>
      </c>
      <c r="G294" s="1160">
        <f>ROUND(F294*2.746,0)</f>
        <v>4915</v>
      </c>
      <c r="H294" s="1162" t="s">
        <v>493</v>
      </c>
      <c r="I294" s="1167">
        <f>ROUND(I297*45.67%,2)</f>
        <v>1.63</v>
      </c>
      <c r="J294" s="1167">
        <v>120</v>
      </c>
      <c r="K294" s="1167">
        <v>7.3</v>
      </c>
      <c r="L294" s="1167">
        <f>ROUND(G294*J294*12/10000000,2)</f>
        <v>0.71</v>
      </c>
      <c r="M294" s="1167">
        <f>ROUND(I294*1000000*K294/10000000,2)</f>
        <v>1.19</v>
      </c>
      <c r="N294" s="1167"/>
      <c r="O294" s="1167"/>
    </row>
    <row r="295" spans="1:18" ht="16.5" x14ac:dyDescent="0.2">
      <c r="A295" s="1197" t="s">
        <v>535</v>
      </c>
      <c r="B295" s="1159"/>
      <c r="C295" s="1160"/>
      <c r="D295" s="1160" t="s">
        <v>444</v>
      </c>
      <c r="E295" s="1160">
        <f>E297-E294</f>
        <v>0</v>
      </c>
      <c r="F295" s="1160">
        <f>F297-F294</f>
        <v>0</v>
      </c>
      <c r="G295" s="1160">
        <f>ROUND(F295*0,0)</f>
        <v>0</v>
      </c>
      <c r="H295" s="1162" t="s">
        <v>411</v>
      </c>
      <c r="I295" s="1167">
        <f>I297-I294</f>
        <v>1.9500000000000011</v>
      </c>
      <c r="J295" s="1167">
        <v>175</v>
      </c>
      <c r="K295" s="1167">
        <v>8.5500000000000007</v>
      </c>
      <c r="L295" s="1167">
        <f>ROUND(((F295*J294*50*12)+((G295-(F295*50))*J295*12))/10000000,2)</f>
        <v>0</v>
      </c>
      <c r="M295" s="1167">
        <f>ROUND(I295*1000000*K295/10000000,2)</f>
        <v>1.67</v>
      </c>
      <c r="N295" s="1167"/>
      <c r="O295" s="1167"/>
    </row>
    <row r="296" spans="1:18" ht="16.5" x14ac:dyDescent="0.2">
      <c r="A296" s="1197" t="s">
        <v>535</v>
      </c>
      <c r="B296" s="1159"/>
      <c r="C296" s="1160"/>
      <c r="D296" s="1160" t="s">
        <v>556</v>
      </c>
      <c r="E296" s="1160"/>
      <c r="F296" s="1160"/>
      <c r="G296" s="1160"/>
      <c r="H296" s="1162"/>
      <c r="I296" s="1167"/>
      <c r="J296" s="1186">
        <v>150</v>
      </c>
      <c r="K296" s="1167"/>
      <c r="L296" s="1167"/>
      <c r="M296" s="1167"/>
      <c r="N296" s="1167"/>
      <c r="O296" s="1167"/>
    </row>
    <row r="297" spans="1:18" ht="16.5" x14ac:dyDescent="0.2">
      <c r="A297" s="1197" t="s">
        <v>535</v>
      </c>
      <c r="B297" s="1164"/>
      <c r="C297" s="1165"/>
      <c r="D297" s="1166" t="s">
        <v>486</v>
      </c>
      <c r="E297" s="1169">
        <f>E298-E292</f>
        <v>1824</v>
      </c>
      <c r="F297" s="1169">
        <f>F298-F292</f>
        <v>1790</v>
      </c>
      <c r="G297" s="1165">
        <f>SUM(G294:G295)</f>
        <v>4915</v>
      </c>
      <c r="H297" s="1165"/>
      <c r="I297" s="1170">
        <f>I298-I292</f>
        <v>3.580000000000001</v>
      </c>
      <c r="J297" s="1170"/>
      <c r="K297" s="1170"/>
      <c r="L297" s="1170">
        <f>SUM(L294:L295)</f>
        <v>0.71</v>
      </c>
      <c r="M297" s="1170">
        <f>SUM(M294:M295)</f>
        <v>2.86</v>
      </c>
      <c r="N297" s="1170">
        <f>L297+M297</f>
        <v>3.57</v>
      </c>
      <c r="O297" s="1177">
        <f>ROUND(N297/I297*10,2)</f>
        <v>9.9700000000000006</v>
      </c>
      <c r="R297" s="1224" t="e">
        <f>+N297-#REF!</f>
        <v>#REF!</v>
      </c>
    </row>
    <row r="298" spans="1:18" ht="16.5" x14ac:dyDescent="0.2">
      <c r="A298" s="1197" t="s">
        <v>535</v>
      </c>
      <c r="B298" s="1164">
        <v>3</v>
      </c>
      <c r="C298" s="1165" t="s">
        <v>553</v>
      </c>
      <c r="D298" s="1165"/>
      <c r="E298" s="1169">
        <f>Sales_FY24!$P$93</f>
        <v>4095</v>
      </c>
      <c r="F298" s="1169">
        <f>Sales_FY24!$V$93</f>
        <v>4019</v>
      </c>
      <c r="G298" s="1169">
        <f>G289+G297</f>
        <v>15681</v>
      </c>
      <c r="H298" s="1165"/>
      <c r="I298" s="1170">
        <f>Sales_FY24!$Q$93</f>
        <v>10.71</v>
      </c>
      <c r="J298" s="1170"/>
      <c r="K298" s="1170"/>
      <c r="L298" s="1170" t="e">
        <f>L292+L297</f>
        <v>#REF!</v>
      </c>
      <c r="M298" s="1170" t="e">
        <f>M292+M297</f>
        <v>#REF!</v>
      </c>
      <c r="N298" s="1170" t="e">
        <f>L298+M298</f>
        <v>#REF!</v>
      </c>
      <c r="O298" s="1177" t="e">
        <f>ROUND(N298/I298*10,2)</f>
        <v>#REF!</v>
      </c>
    </row>
    <row r="299" spans="1:18" ht="16.5" x14ac:dyDescent="0.2">
      <c r="A299" s="1197" t="s">
        <v>535</v>
      </c>
      <c r="B299" s="1163"/>
      <c r="C299" s="1163"/>
      <c r="D299" s="1163"/>
      <c r="E299" s="1163"/>
      <c r="F299" s="1163"/>
      <c r="G299" s="1163"/>
      <c r="H299" s="1163"/>
      <c r="I299" s="1176"/>
      <c r="J299" s="1176"/>
      <c r="K299" s="1176"/>
      <c r="L299" s="1176"/>
      <c r="M299" s="1176"/>
      <c r="N299" s="1176"/>
      <c r="O299" s="1176"/>
    </row>
    <row r="300" spans="1:18" ht="16.5" x14ac:dyDescent="0.2">
      <c r="A300" s="1197" t="s">
        <v>535</v>
      </c>
      <c r="B300" s="1159"/>
      <c r="C300" s="1160" t="s">
        <v>69</v>
      </c>
      <c r="D300" s="1160" t="s">
        <v>492</v>
      </c>
      <c r="E300" s="1160">
        <f>ROUND(E302*100%,0)</f>
        <v>193062</v>
      </c>
      <c r="F300" s="1160">
        <f>ROUND(F302*100%,0)</f>
        <v>212726</v>
      </c>
      <c r="G300" s="1160">
        <f>ROUND(F300*1.75,0)</f>
        <v>372271</v>
      </c>
      <c r="H300" s="1162" t="s">
        <v>426</v>
      </c>
      <c r="I300" s="1167">
        <f>ROUND(I302*16%,2)</f>
        <v>40.85</v>
      </c>
      <c r="J300" s="1167" t="e">
        <f>+#REF!</f>
        <v>#REF!</v>
      </c>
      <c r="K300" s="1167" t="e">
        <f>+#REF!</f>
        <v>#REF!</v>
      </c>
      <c r="L300" s="1167" t="e">
        <f>ROUND(G300*J300*12/10000000,2)</f>
        <v>#REF!</v>
      </c>
      <c r="M300" s="1167" t="e">
        <f>ROUND(I300*1000000*K300/10000000,2)</f>
        <v>#REF!</v>
      </c>
      <c r="N300" s="1167"/>
      <c r="O300" s="1167"/>
    </row>
    <row r="301" spans="1:18" ht="16.5" x14ac:dyDescent="0.2">
      <c r="A301" s="1197" t="s">
        <v>535</v>
      </c>
      <c r="B301" s="1159"/>
      <c r="C301" s="1160"/>
      <c r="D301" s="1160" t="s">
        <v>444</v>
      </c>
      <c r="E301" s="1160">
        <f>E302-E300</f>
        <v>0</v>
      </c>
      <c r="F301" s="1160">
        <f>F302-F300</f>
        <v>0</v>
      </c>
      <c r="G301" s="1160">
        <f>ROUND(F301*0,0)</f>
        <v>0</v>
      </c>
      <c r="H301" s="1162" t="s">
        <v>558</v>
      </c>
      <c r="I301" s="1167">
        <f>I302-I300</f>
        <v>214.49</v>
      </c>
      <c r="J301" s="1167" t="e">
        <f>+#REF!</f>
        <v>#REF!</v>
      </c>
      <c r="K301" s="1167" t="e">
        <f>+#REF!</f>
        <v>#REF!</v>
      </c>
      <c r="L301" s="1167" t="e">
        <f>ROUND(((F301*J300*50*12)+((G301-(F301*50))*J301*12))/10000000,2)</f>
        <v>#REF!</v>
      </c>
      <c r="M301" s="1167" t="e">
        <f>ROUND(I301*1000000*K301/10000000,2)</f>
        <v>#REF!</v>
      </c>
      <c r="N301" s="1167"/>
      <c r="O301" s="1167"/>
    </row>
    <row r="302" spans="1:18" ht="16.5" x14ac:dyDescent="0.2">
      <c r="A302" s="1197" t="s">
        <v>535</v>
      </c>
      <c r="B302" s="1164"/>
      <c r="C302" s="1165"/>
      <c r="D302" s="1166" t="s">
        <v>486</v>
      </c>
      <c r="E302" s="1165">
        <f>ROUND(E307*60.41278%,0)</f>
        <v>193062</v>
      </c>
      <c r="F302" s="1165">
        <f>ROUND(F307*67.65%,0)</f>
        <v>212726</v>
      </c>
      <c r="G302" s="1165">
        <f>SUM(G300:G301)</f>
        <v>372271</v>
      </c>
      <c r="H302" s="1165"/>
      <c r="I302" s="1170">
        <f>ROUND(I307*68.94%,2)</f>
        <v>255.34</v>
      </c>
      <c r="J302" s="1170"/>
      <c r="K302" s="1170"/>
      <c r="L302" s="1170" t="e">
        <f>SUM(L300:L301)</f>
        <v>#REF!</v>
      </c>
      <c r="M302" s="1170" t="e">
        <f>SUM(M300:M301)</f>
        <v>#REF!</v>
      </c>
      <c r="N302" s="1170" t="e">
        <f>L302+M302</f>
        <v>#REF!</v>
      </c>
      <c r="O302" s="1177" t="e">
        <f>ROUND(N302/I302*10,2)</f>
        <v>#REF!</v>
      </c>
      <c r="R302" s="1224" t="e">
        <f>+N302-#REF!</f>
        <v>#REF!</v>
      </c>
    </row>
    <row r="303" spans="1:18" ht="16.5" x14ac:dyDescent="0.2">
      <c r="A303" s="1197" t="s">
        <v>535</v>
      </c>
      <c r="B303" s="1163"/>
      <c r="C303" s="1163"/>
      <c r="D303" s="1163"/>
      <c r="E303" s="1163"/>
      <c r="F303" s="1163"/>
      <c r="G303" s="1163"/>
      <c r="H303" s="1163"/>
      <c r="I303" s="1176"/>
      <c r="J303" s="1176"/>
      <c r="K303" s="1176"/>
      <c r="L303" s="1176"/>
      <c r="M303" s="1176"/>
      <c r="N303" s="1176"/>
      <c r="O303" s="1176"/>
    </row>
    <row r="304" spans="1:18" ht="16.5" x14ac:dyDescent="0.2">
      <c r="A304" s="1197" t="s">
        <v>535</v>
      </c>
      <c r="B304" s="1159"/>
      <c r="C304" s="1160" t="s">
        <v>76</v>
      </c>
      <c r="D304" s="1160" t="s">
        <v>492</v>
      </c>
      <c r="E304" s="1160">
        <f>ROUND(E306*100%,0)</f>
        <v>126510</v>
      </c>
      <c r="F304" s="1160">
        <f>ROUND(F306*100%,0)</f>
        <v>101725</v>
      </c>
      <c r="G304" s="1160">
        <f>ROUND(F304*1.45,0)</f>
        <v>147501</v>
      </c>
      <c r="H304" s="1162" t="s">
        <v>426</v>
      </c>
      <c r="I304" s="1167">
        <f>ROUND(I306*22%,2)</f>
        <v>25.31</v>
      </c>
      <c r="J304" s="1167">
        <v>125</v>
      </c>
      <c r="K304" s="1167">
        <v>8.4</v>
      </c>
      <c r="L304" s="1167">
        <f>ROUND(G304*J304*12/10000000,2)</f>
        <v>22.13</v>
      </c>
      <c r="M304" s="1167">
        <f>ROUND(I304*1000000*K304/10000000,2)</f>
        <v>21.26</v>
      </c>
      <c r="N304" s="1167"/>
      <c r="O304" s="1167"/>
    </row>
    <row r="305" spans="1:18" ht="16.5" x14ac:dyDescent="0.2">
      <c r="A305" s="1197" t="s">
        <v>535</v>
      </c>
      <c r="B305" s="1159"/>
      <c r="C305" s="1160"/>
      <c r="D305" s="1160" t="s">
        <v>444</v>
      </c>
      <c r="E305" s="1160">
        <f>E306-E304</f>
        <v>0</v>
      </c>
      <c r="F305" s="1160">
        <f>F306-F304</f>
        <v>0</v>
      </c>
      <c r="G305" s="1160">
        <f>ROUND(F305*0,0)</f>
        <v>0</v>
      </c>
      <c r="H305" s="1162" t="s">
        <v>558</v>
      </c>
      <c r="I305" s="1167">
        <f>I306-I304</f>
        <v>89.72999999999999</v>
      </c>
      <c r="J305" s="1167">
        <v>230</v>
      </c>
      <c r="K305" s="1167">
        <v>9.4</v>
      </c>
      <c r="L305" s="1167">
        <f>ROUND(((F305*J304*50*12)+((G305-(F305*50))*J305*12))/10000000,2)</f>
        <v>0</v>
      </c>
      <c r="M305" s="1167">
        <f>ROUND(I305*1000000*K305/10000000,2)</f>
        <v>84.35</v>
      </c>
      <c r="N305" s="1167"/>
      <c r="O305" s="1167"/>
    </row>
    <row r="306" spans="1:18" ht="16.5" x14ac:dyDescent="0.2">
      <c r="A306" s="1197" t="s">
        <v>535</v>
      </c>
      <c r="B306" s="1164"/>
      <c r="C306" s="1165"/>
      <c r="D306" s="1166" t="s">
        <v>486</v>
      </c>
      <c r="E306" s="1169">
        <f>E307-E302</f>
        <v>126510</v>
      </c>
      <c r="F306" s="1169">
        <f>F307-F302</f>
        <v>101725</v>
      </c>
      <c r="G306" s="1165">
        <f>SUM(G304:G305)</f>
        <v>147501</v>
      </c>
      <c r="H306" s="1165"/>
      <c r="I306" s="1170">
        <f>I307-I302</f>
        <v>115.03999999999999</v>
      </c>
      <c r="J306" s="1170"/>
      <c r="K306" s="1170"/>
      <c r="L306" s="1170">
        <f>SUM(L304:L305)</f>
        <v>22.13</v>
      </c>
      <c r="M306" s="1170">
        <f>SUM(M304:M305)</f>
        <v>105.61</v>
      </c>
      <c r="N306" s="1170">
        <f>L306+M306</f>
        <v>127.74</v>
      </c>
      <c r="O306" s="1177">
        <f>ROUND(N306/I306*10,2)</f>
        <v>11.1</v>
      </c>
      <c r="R306" s="1224" t="e">
        <f>+N306-#REF!</f>
        <v>#REF!</v>
      </c>
    </row>
    <row r="307" spans="1:18" ht="16.5" x14ac:dyDescent="0.2">
      <c r="A307" s="1197" t="s">
        <v>535</v>
      </c>
      <c r="B307" s="1164">
        <v>4</v>
      </c>
      <c r="C307" s="1165" t="s">
        <v>557</v>
      </c>
      <c r="D307" s="1165"/>
      <c r="E307" s="1169">
        <f>Sales_FY24!$P$94</f>
        <v>319572</v>
      </c>
      <c r="F307" s="1169">
        <f>Sales_FY24!$V$94</f>
        <v>314451</v>
      </c>
      <c r="G307" s="1169">
        <f>G302+G306</f>
        <v>519772</v>
      </c>
      <c r="H307" s="1165"/>
      <c r="I307" s="1170">
        <f>Sales_FY24!$Q$94</f>
        <v>370.38</v>
      </c>
      <c r="J307" s="1170"/>
      <c r="K307" s="1170"/>
      <c r="L307" s="1170" t="e">
        <f>L302+L306</f>
        <v>#REF!</v>
      </c>
      <c r="M307" s="1170" t="e">
        <f>M302+M306</f>
        <v>#REF!</v>
      </c>
      <c r="N307" s="1170" t="e">
        <f>L307+M307</f>
        <v>#REF!</v>
      </c>
      <c r="O307" s="1177" t="e">
        <f>ROUND(N307/I307*10,2)</f>
        <v>#REF!</v>
      </c>
    </row>
    <row r="308" spans="1:18" ht="16.5" x14ac:dyDescent="0.2">
      <c r="A308" s="1197" t="s">
        <v>535</v>
      </c>
      <c r="B308" s="1163"/>
      <c r="C308" s="1163"/>
      <c r="D308" s="1163"/>
      <c r="E308" s="1163"/>
      <c r="F308" s="1163"/>
      <c r="G308" s="1163"/>
      <c r="H308" s="1163"/>
      <c r="I308" s="1176"/>
      <c r="J308" s="1176"/>
      <c r="K308" s="1176"/>
      <c r="L308" s="1176"/>
      <c r="M308" s="1176"/>
      <c r="N308" s="1176"/>
      <c r="O308" s="1176"/>
    </row>
    <row r="309" spans="1:18" ht="16.5" x14ac:dyDescent="0.2">
      <c r="A309" s="1197" t="s">
        <v>535</v>
      </c>
      <c r="B309" s="1159"/>
      <c r="C309" s="1160" t="s">
        <v>559</v>
      </c>
      <c r="D309" s="1160" t="s">
        <v>560</v>
      </c>
      <c r="E309" s="1160">
        <f>Sales_FY24!$P$95</f>
        <v>496937</v>
      </c>
      <c r="F309" s="1160">
        <f>Sales_FY24!$V$95</f>
        <v>495812</v>
      </c>
      <c r="G309" s="1160">
        <f>ROUND(F309*4.6,0)</f>
        <v>2280735</v>
      </c>
      <c r="H309" s="1162" t="s">
        <v>561</v>
      </c>
      <c r="I309" s="1167">
        <f>Sales_FY24!$Q$95</f>
        <v>3084.54</v>
      </c>
      <c r="J309" s="1167"/>
      <c r="K309" s="1167" t="e">
        <f>+#REF!</f>
        <v>#REF!</v>
      </c>
      <c r="L309" s="1167">
        <f>ROUND(G309*J309*12/10000000,2)</f>
        <v>0</v>
      </c>
      <c r="M309" s="1167" t="e">
        <f>ROUND(I309*1000000*K309/10000000,2)</f>
        <v>#REF!</v>
      </c>
      <c r="N309" s="1167" t="e">
        <f>L309+M309</f>
        <v>#REF!</v>
      </c>
      <c r="O309" s="1192" t="e">
        <f>ROUND(N309/I309*10,2)</f>
        <v>#REF!</v>
      </c>
    </row>
    <row r="310" spans="1:18" ht="16.5" x14ac:dyDescent="0.2">
      <c r="A310" s="1197" t="s">
        <v>535</v>
      </c>
      <c r="B310" s="1159"/>
      <c r="C310" s="1160" t="s">
        <v>562</v>
      </c>
      <c r="D310" s="1160" t="s">
        <v>563</v>
      </c>
      <c r="E310" s="1168">
        <f>Sales_FY24!$P$96</f>
        <v>240</v>
      </c>
      <c r="F310" s="1160">
        <f>Sales_FY24!$V$96</f>
        <v>240</v>
      </c>
      <c r="G310" s="1160">
        <f>ROUND(F310*16.95,0)</f>
        <v>4068</v>
      </c>
      <c r="H310" s="1162" t="s">
        <v>561</v>
      </c>
      <c r="I310" s="1167">
        <f>Sales_FY24!$Q$96</f>
        <v>1.2</v>
      </c>
      <c r="J310" s="1167" t="e">
        <f>+#REF!</f>
        <v>#REF!</v>
      </c>
      <c r="K310" s="1167" t="e">
        <f>+#REF!</f>
        <v>#REF!</v>
      </c>
      <c r="L310" s="1167" t="e">
        <f>ROUND(G310*J310*12/10000000,2)</f>
        <v>#REF!</v>
      </c>
      <c r="M310" s="1167" t="e">
        <f>ROUND(I310*1000000*K310/10000000,2)</f>
        <v>#REF!</v>
      </c>
      <c r="N310" s="1167" t="e">
        <f>L310+M310</f>
        <v>#REF!</v>
      </c>
      <c r="O310" s="1192" t="e">
        <f>ROUND(N310/I310*10,2)</f>
        <v>#REF!</v>
      </c>
    </row>
    <row r="311" spans="1:18" ht="16.5" x14ac:dyDescent="0.2">
      <c r="A311" s="1197" t="s">
        <v>535</v>
      </c>
      <c r="B311" s="1159"/>
      <c r="C311" s="1160" t="s">
        <v>564</v>
      </c>
      <c r="D311" s="1160" t="s">
        <v>565</v>
      </c>
      <c r="E311" s="1168">
        <f>Sales_FY24!$P$97</f>
        <v>12952</v>
      </c>
      <c r="F311" s="1160">
        <f>Sales_FY24!$V$97</f>
        <v>12376</v>
      </c>
      <c r="G311" s="1160">
        <f>ROUND(F311*7.45,0)</f>
        <v>92201</v>
      </c>
      <c r="H311" s="1162" t="s">
        <v>561</v>
      </c>
      <c r="I311" s="1167">
        <f>Sales_FY24!$Q$97</f>
        <v>22.6</v>
      </c>
      <c r="J311" s="1167" t="e">
        <f>+#REF!</f>
        <v>#REF!</v>
      </c>
      <c r="K311" s="1167" t="e">
        <f>+#REF!</f>
        <v>#REF!</v>
      </c>
      <c r="L311" s="1167" t="e">
        <f>ROUND(G311*J311*12/10000000,2)</f>
        <v>#REF!</v>
      </c>
      <c r="M311" s="1167" t="e">
        <f>ROUND(I311*1000000*K311/10000000,2)</f>
        <v>#REF!</v>
      </c>
      <c r="N311" s="1167" t="e">
        <f>L311+M311</f>
        <v>#REF!</v>
      </c>
      <c r="O311" s="1192" t="e">
        <f>ROUND(N311/I311*10,2)</f>
        <v>#REF!</v>
      </c>
    </row>
    <row r="312" spans="1:18" ht="16.5" x14ac:dyDescent="0.2">
      <c r="A312" s="1197" t="s">
        <v>535</v>
      </c>
      <c r="B312" s="1164">
        <v>5</v>
      </c>
      <c r="C312" s="1165" t="s">
        <v>566</v>
      </c>
      <c r="D312" s="1165"/>
      <c r="E312" s="1169">
        <f>SUM(E309:E311)</f>
        <v>510129</v>
      </c>
      <c r="F312" s="1169">
        <f>SUM(F309:F311)</f>
        <v>508428</v>
      </c>
      <c r="G312" s="1169">
        <f>SUM(G309:G311)</f>
        <v>2377004</v>
      </c>
      <c r="H312" s="1165"/>
      <c r="I312" s="1170">
        <f>SUM(I309:I311)</f>
        <v>3108.3399999999997</v>
      </c>
      <c r="J312" s="1170"/>
      <c r="K312" s="1170"/>
      <c r="L312" s="1170" t="e">
        <f>SUM(L309:L311)</f>
        <v>#REF!</v>
      </c>
      <c r="M312" s="1170" t="e">
        <f>SUM(M309:M311)</f>
        <v>#REF!</v>
      </c>
      <c r="N312" s="1170" t="e">
        <f>SUM(N309:N311)</f>
        <v>#REF!</v>
      </c>
      <c r="O312" s="1177" t="e">
        <f>ROUND(N312/I312*10,2)</f>
        <v>#REF!</v>
      </c>
    </row>
    <row r="313" spans="1:18" ht="16.5" x14ac:dyDescent="0.2">
      <c r="A313" s="1197" t="s">
        <v>535</v>
      </c>
      <c r="B313" s="1163"/>
      <c r="C313" s="1163"/>
      <c r="D313" s="1163"/>
      <c r="E313" s="1163"/>
      <c r="F313" s="1163"/>
      <c r="G313" s="1163"/>
      <c r="H313" s="1163"/>
      <c r="I313" s="1176"/>
      <c r="J313" s="1176"/>
      <c r="K313" s="1176"/>
      <c r="L313" s="1176"/>
      <c r="M313" s="1176"/>
      <c r="N313" s="1176"/>
      <c r="O313" s="1176"/>
    </row>
    <row r="314" spans="1:18" ht="16.5" x14ac:dyDescent="0.2">
      <c r="A314" s="1197" t="s">
        <v>535</v>
      </c>
      <c r="B314" s="1159"/>
      <c r="C314" s="1160" t="s">
        <v>9</v>
      </c>
      <c r="D314" s="1160" t="s">
        <v>568</v>
      </c>
      <c r="E314" s="1160">
        <f>ROUND(E319*37.25%,0)</f>
        <v>4128</v>
      </c>
      <c r="F314" s="1160">
        <f>ROUND(F319*37.25%,0)</f>
        <v>4035</v>
      </c>
      <c r="G314" s="1160">
        <f>ROUND(F314*3,0)</f>
        <v>12105</v>
      </c>
      <c r="H314" s="1162" t="s">
        <v>573</v>
      </c>
      <c r="I314" s="1167">
        <f>ROUND(I319*48.66%,2)</f>
        <v>28.34</v>
      </c>
      <c r="J314" s="1167" t="e">
        <f>+#REF!</f>
        <v>#REF!</v>
      </c>
      <c r="K314" s="1167" t="e">
        <f>+#REF!</f>
        <v>#REF!</v>
      </c>
      <c r="L314" s="1167" t="e">
        <f>ROUND(G314*J314*12/10000000,2)</f>
        <v>#REF!</v>
      </c>
      <c r="M314" s="1167" t="e">
        <f>ROUND(I314*1000000*K314/10000000,2)</f>
        <v>#REF!</v>
      </c>
      <c r="N314" s="1167"/>
      <c r="O314" s="1167"/>
    </row>
    <row r="315" spans="1:18" ht="16.5" x14ac:dyDescent="0.2">
      <c r="A315" s="1197" t="s">
        <v>535</v>
      </c>
      <c r="B315" s="1159"/>
      <c r="C315" s="1160"/>
      <c r="D315" s="1160" t="s">
        <v>569</v>
      </c>
      <c r="E315" s="1160">
        <f>ROUND(E319*51.14%,0)</f>
        <v>5668</v>
      </c>
      <c r="F315" s="1160">
        <f>ROUND(F319*51.14%,0)</f>
        <v>5539</v>
      </c>
      <c r="G315" s="1160">
        <f>ROUND(F315*17.5,0)</f>
        <v>96933</v>
      </c>
      <c r="H315" s="1162" t="s">
        <v>574</v>
      </c>
      <c r="I315" s="1167">
        <f>ROUND(I319*30.24%,2)</f>
        <v>17.61</v>
      </c>
      <c r="J315" s="1167" t="e">
        <f>+#REF!</f>
        <v>#REF!</v>
      </c>
      <c r="K315" s="1167" t="e">
        <f>+#REF!</f>
        <v>#REF!</v>
      </c>
      <c r="L315" s="1167" t="e">
        <f>ROUND(G315*J315*12/10000000,2)</f>
        <v>#REF!</v>
      </c>
      <c r="M315" s="1167" t="e">
        <f>ROUND(I315*1000000*K315/10000000,2)</f>
        <v>#REF!</v>
      </c>
      <c r="N315" s="1167"/>
      <c r="O315" s="1167"/>
    </row>
    <row r="316" spans="1:18" ht="16.5" x14ac:dyDescent="0.2">
      <c r="A316" s="1197" t="s">
        <v>535</v>
      </c>
      <c r="B316" s="1159"/>
      <c r="C316" s="1160"/>
      <c r="D316" s="1160" t="s">
        <v>570</v>
      </c>
      <c r="E316" s="1160">
        <f>ROUND(E319*10.93%,0)</f>
        <v>1211</v>
      </c>
      <c r="F316" s="1160">
        <f>ROUND(F319*10.93%,0)</f>
        <v>1184</v>
      </c>
      <c r="G316" s="1160">
        <f>ROUND(F316*65,0)</f>
        <v>76960</v>
      </c>
      <c r="H316" s="1162" t="s">
        <v>575</v>
      </c>
      <c r="I316" s="1167">
        <f>I319-I314-I315</f>
        <v>12.3</v>
      </c>
      <c r="J316" s="1167" t="e">
        <f>+#REF!</f>
        <v>#REF!</v>
      </c>
      <c r="K316" s="1167" t="e">
        <f>+#REF!</f>
        <v>#REF!</v>
      </c>
      <c r="L316" s="1167" t="e">
        <f>ROUND(G316*J316*12/10000000,2)</f>
        <v>#REF!</v>
      </c>
      <c r="M316" s="1167" t="e">
        <f>ROUND(I316*1000000*K316/10000000,2)</f>
        <v>#REF!</v>
      </c>
      <c r="N316" s="1167"/>
      <c r="O316" s="1167"/>
    </row>
    <row r="317" spans="1:18" ht="16.5" x14ac:dyDescent="0.2">
      <c r="A317" s="1197" t="s">
        <v>535</v>
      </c>
      <c r="B317" s="1159"/>
      <c r="C317" s="1160"/>
      <c r="D317" s="1160" t="s">
        <v>571</v>
      </c>
      <c r="E317" s="1160">
        <f>ROUND(E319*0.68%,0)+1</f>
        <v>76</v>
      </c>
      <c r="F317" s="1160">
        <f>ROUND(F319*0.68%,0)-1</f>
        <v>73</v>
      </c>
      <c r="G317" s="1160">
        <f>ROUND(F317*148,0)</f>
        <v>10804</v>
      </c>
      <c r="H317" s="1162"/>
      <c r="I317" s="1167"/>
      <c r="J317" s="1167" t="e">
        <f>+#REF!</f>
        <v>#REF!</v>
      </c>
      <c r="K317" s="1167"/>
      <c r="L317" s="1167" t="e">
        <f>ROUND(G317*J317*12/10000000,2)</f>
        <v>#REF!</v>
      </c>
      <c r="M317" s="1167"/>
      <c r="N317" s="1167"/>
      <c r="O317" s="1167"/>
    </row>
    <row r="318" spans="1:18" ht="16.5" x14ac:dyDescent="0.2">
      <c r="A318" s="1197" t="s">
        <v>535</v>
      </c>
      <c r="B318" s="1159"/>
      <c r="C318" s="1160"/>
      <c r="D318" s="1160" t="s">
        <v>572</v>
      </c>
      <c r="E318" s="1160">
        <f>E319-E314-E315-E316-E317</f>
        <v>0</v>
      </c>
      <c r="F318" s="1160">
        <f>F319-F314-F315-F316-F317</f>
        <v>0</v>
      </c>
      <c r="G318" s="1160">
        <f>ROUND(F318*112,0)</f>
        <v>0</v>
      </c>
      <c r="H318" s="1162"/>
      <c r="I318" s="1167"/>
      <c r="J318" s="1167" t="e">
        <f>+#REF!</f>
        <v>#REF!</v>
      </c>
      <c r="K318" s="1167"/>
      <c r="L318" s="1167" t="e">
        <f>ROUND(G318*J318*12/10000000,2)</f>
        <v>#REF!</v>
      </c>
      <c r="M318" s="1167"/>
      <c r="N318" s="1167"/>
      <c r="O318" s="1167"/>
    </row>
    <row r="319" spans="1:18" ht="16.5" x14ac:dyDescent="0.2">
      <c r="A319" s="1197" t="s">
        <v>535</v>
      </c>
      <c r="B319" s="1164"/>
      <c r="C319" s="1165"/>
      <c r="D319" s="1166" t="s">
        <v>486</v>
      </c>
      <c r="E319" s="1165">
        <f>ROUND(E327*19.41%,0)</f>
        <v>11083</v>
      </c>
      <c r="F319" s="1165">
        <f>ROUND(F327*19.41%,0)</f>
        <v>10831</v>
      </c>
      <c r="G319" s="1165">
        <f>SUM(G314:G318)</f>
        <v>196802</v>
      </c>
      <c r="H319" s="1165"/>
      <c r="I319" s="1170">
        <f>ROUND(I327*30.23%,2)</f>
        <v>58.25</v>
      </c>
      <c r="J319" s="1170"/>
      <c r="K319" s="1170"/>
      <c r="L319" s="1170" t="e">
        <f>SUM(L314:L318)</f>
        <v>#REF!</v>
      </c>
      <c r="M319" s="1170" t="e">
        <f>SUM(M314:M318)</f>
        <v>#REF!</v>
      </c>
      <c r="N319" s="1170" t="e">
        <f>L319+M319</f>
        <v>#REF!</v>
      </c>
      <c r="O319" s="1177" t="e">
        <f>ROUND(N319/I319*10,2)</f>
        <v>#REF!</v>
      </c>
      <c r="R319" s="1224" t="e">
        <f>+N319-#REF!</f>
        <v>#REF!</v>
      </c>
    </row>
    <row r="320" spans="1:18" ht="16.5" x14ac:dyDescent="0.2">
      <c r="A320" s="1197" t="s">
        <v>535</v>
      </c>
      <c r="B320" s="1163"/>
      <c r="C320" s="1163"/>
      <c r="D320" s="1163"/>
      <c r="E320" s="1163"/>
      <c r="F320" s="1163"/>
      <c r="G320" s="1163"/>
      <c r="H320" s="1163"/>
      <c r="I320" s="1176"/>
      <c r="J320" s="1176"/>
      <c r="K320" s="1176"/>
      <c r="L320" s="1176"/>
      <c r="M320" s="1176"/>
      <c r="N320" s="1176"/>
      <c r="O320" s="1176"/>
    </row>
    <row r="321" spans="1:18" ht="16.5" x14ac:dyDescent="0.2">
      <c r="A321" s="1197" t="s">
        <v>535</v>
      </c>
      <c r="B321" s="1159"/>
      <c r="C321" s="1160" t="s">
        <v>11</v>
      </c>
      <c r="D321" s="1160" t="s">
        <v>568</v>
      </c>
      <c r="E321" s="1160">
        <f>ROUND(E326*36.71%,0)</f>
        <v>16894</v>
      </c>
      <c r="F321" s="1160">
        <f>ROUND(F326*36.71%,0)</f>
        <v>16509</v>
      </c>
      <c r="G321" s="1160">
        <f>ROUND(F321*2.5,0)</f>
        <v>41273</v>
      </c>
      <c r="H321" s="1162" t="s">
        <v>573</v>
      </c>
      <c r="I321" s="1167">
        <f>ROUND(I326*38.61%,2)</f>
        <v>51.91</v>
      </c>
      <c r="J321" s="1167">
        <v>90</v>
      </c>
      <c r="K321" s="1167">
        <v>5.85</v>
      </c>
      <c r="L321" s="1167">
        <f>ROUND(G321*J321*12/10000000,2)</f>
        <v>4.46</v>
      </c>
      <c r="M321" s="1167">
        <f>ROUND(I321*1000000*K321/10000000,2)</f>
        <v>30.37</v>
      </c>
      <c r="N321" s="1167"/>
      <c r="O321" s="1167"/>
    </row>
    <row r="322" spans="1:18" ht="16.5" x14ac:dyDescent="0.2">
      <c r="A322" s="1197" t="s">
        <v>535</v>
      </c>
      <c r="B322" s="1159"/>
      <c r="C322" s="1160"/>
      <c r="D322" s="1160" t="s">
        <v>569</v>
      </c>
      <c r="E322" s="1160">
        <f>ROUND(E326*57.54%,0)</f>
        <v>26479</v>
      </c>
      <c r="F322" s="1160">
        <f>ROUND(F326*57.54%,0)</f>
        <v>25877</v>
      </c>
      <c r="G322" s="1160">
        <f>ROUND(F322*12.7,0)</f>
        <v>328638</v>
      </c>
      <c r="H322" s="1162" t="s">
        <v>574</v>
      </c>
      <c r="I322" s="1167">
        <f>ROUND(I326*35.9%,2)</f>
        <v>48.27</v>
      </c>
      <c r="J322" s="1167">
        <v>100</v>
      </c>
      <c r="K322" s="1167">
        <v>6.85</v>
      </c>
      <c r="L322" s="1167">
        <f>ROUND(G322*J322*12/10000000,2)</f>
        <v>39.44</v>
      </c>
      <c r="M322" s="1167">
        <f>ROUND(I322*1000000*K322/10000000,2)</f>
        <v>33.06</v>
      </c>
      <c r="N322" s="1167"/>
      <c r="O322" s="1167"/>
    </row>
    <row r="323" spans="1:18" ht="16.5" x14ac:dyDescent="0.2">
      <c r="A323" s="1197" t="s">
        <v>535</v>
      </c>
      <c r="B323" s="1159"/>
      <c r="C323" s="1160"/>
      <c r="D323" s="1160" t="s">
        <v>570</v>
      </c>
      <c r="E323" s="1160">
        <f>ROUND(E326*5.4%,0)</f>
        <v>2485</v>
      </c>
      <c r="F323" s="1160">
        <f>ROUND(F326*5.4%,0)</f>
        <v>2428</v>
      </c>
      <c r="G323" s="1160">
        <f>ROUND(F323*59.15,0)</f>
        <v>143616</v>
      </c>
      <c r="H323" s="1162" t="s">
        <v>575</v>
      </c>
      <c r="I323" s="1167">
        <f>I326-I321-I322</f>
        <v>34.269999999999989</v>
      </c>
      <c r="J323" s="1167">
        <v>125</v>
      </c>
      <c r="K323" s="1167">
        <v>7.15</v>
      </c>
      <c r="L323" s="1167">
        <f>ROUND(G323*J323*12/10000000,2)</f>
        <v>21.54</v>
      </c>
      <c r="M323" s="1167">
        <f>ROUND(I323*1000000*K323/10000000,2)</f>
        <v>24.5</v>
      </c>
      <c r="N323" s="1167"/>
      <c r="O323" s="1167"/>
    </row>
    <row r="324" spans="1:18" ht="16.5" x14ac:dyDescent="0.2">
      <c r="A324" s="1197" t="s">
        <v>535</v>
      </c>
      <c r="B324" s="1159"/>
      <c r="C324" s="1160"/>
      <c r="D324" s="1160" t="s">
        <v>571</v>
      </c>
      <c r="E324" s="1160">
        <f>ROUND(E326*0.351329%,0)-1</f>
        <v>161</v>
      </c>
      <c r="F324" s="1160">
        <f>ROUND(F326*0.351329%,0)</f>
        <v>158</v>
      </c>
      <c r="G324" s="1160">
        <f>ROUND(F324*86.5,0)</f>
        <v>13667</v>
      </c>
      <c r="H324" s="1162"/>
      <c r="I324" s="1167"/>
      <c r="J324" s="1167">
        <v>190</v>
      </c>
      <c r="K324" s="1167"/>
      <c r="L324" s="1167">
        <f>ROUND(G324*J324*12/10000000,2)</f>
        <v>3.12</v>
      </c>
      <c r="M324" s="1167"/>
      <c r="N324" s="1167"/>
      <c r="O324" s="1167"/>
    </row>
    <row r="325" spans="1:18" ht="16.5" x14ac:dyDescent="0.2">
      <c r="A325" s="1197" t="s">
        <v>535</v>
      </c>
      <c r="B325" s="1159"/>
      <c r="C325" s="1160"/>
      <c r="D325" s="1160" t="s">
        <v>572</v>
      </c>
      <c r="E325" s="1160">
        <f>E326-E321-E322-E323-E324</f>
        <v>0</v>
      </c>
      <c r="F325" s="1160">
        <f>F326-F321-F322-F323-F324</f>
        <v>0</v>
      </c>
      <c r="G325" s="1160">
        <f>ROUND(F325*124.15384,0)</f>
        <v>0</v>
      </c>
      <c r="H325" s="1162"/>
      <c r="I325" s="1167"/>
      <c r="J325" s="1167">
        <v>225</v>
      </c>
      <c r="K325" s="1167"/>
      <c r="L325" s="1167">
        <f>ROUND(G325*J325*12/10000000,2)</f>
        <v>0</v>
      </c>
      <c r="M325" s="1167"/>
      <c r="N325" s="1167"/>
      <c r="O325" s="1167"/>
    </row>
    <row r="326" spans="1:18" ht="16.5" x14ac:dyDescent="0.2">
      <c r="A326" s="1197" t="s">
        <v>535</v>
      </c>
      <c r="B326" s="1164"/>
      <c r="C326" s="1165"/>
      <c r="D326" s="1166" t="s">
        <v>486</v>
      </c>
      <c r="E326" s="1169">
        <f>E327-E319</f>
        <v>46019</v>
      </c>
      <c r="F326" s="1169">
        <f>F327-F319</f>
        <v>44972</v>
      </c>
      <c r="G326" s="1165">
        <f>SUM(G321:G325)</f>
        <v>527194</v>
      </c>
      <c r="H326" s="1165"/>
      <c r="I326" s="1170">
        <f>I327-I319</f>
        <v>134.44999999999999</v>
      </c>
      <c r="J326" s="1170"/>
      <c r="K326" s="1170"/>
      <c r="L326" s="1170">
        <f>SUM(L321:L325)</f>
        <v>68.56</v>
      </c>
      <c r="M326" s="1170">
        <f>SUM(M321:M325)</f>
        <v>87.93</v>
      </c>
      <c r="N326" s="1170">
        <f>L326+M326</f>
        <v>156.49</v>
      </c>
      <c r="O326" s="1177">
        <f>ROUND(N326/I326*10,2)</f>
        <v>11.64</v>
      </c>
      <c r="R326" s="1224" t="e">
        <f>+N326-#REF!</f>
        <v>#REF!</v>
      </c>
    </row>
    <row r="327" spans="1:18" ht="16.5" x14ac:dyDescent="0.2">
      <c r="A327" s="1197" t="s">
        <v>535</v>
      </c>
      <c r="B327" s="1164">
        <v>6</v>
      </c>
      <c r="C327" s="1165" t="s">
        <v>567</v>
      </c>
      <c r="D327" s="1165"/>
      <c r="E327" s="1169">
        <f>Sales_FY24!$P$98</f>
        <v>57102</v>
      </c>
      <c r="F327" s="1169">
        <f>Sales_FY24!$V$98</f>
        <v>55803</v>
      </c>
      <c r="G327" s="1169">
        <f>G319+G326</f>
        <v>723996</v>
      </c>
      <c r="H327" s="1165"/>
      <c r="I327" s="1170">
        <f>Sales_FY24!$Q$98</f>
        <v>192.7</v>
      </c>
      <c r="J327" s="1170"/>
      <c r="K327" s="1170"/>
      <c r="L327" s="1170" t="e">
        <f>L319+L326</f>
        <v>#REF!</v>
      </c>
      <c r="M327" s="1170" t="e">
        <f>M319+M326</f>
        <v>#REF!</v>
      </c>
      <c r="N327" s="1170" t="e">
        <f>L327+M327</f>
        <v>#REF!</v>
      </c>
      <c r="O327" s="1177" t="e">
        <f>ROUND(N327/I327*10,2)</f>
        <v>#REF!</v>
      </c>
    </row>
    <row r="328" spans="1:18" ht="16.5" x14ac:dyDescent="0.2">
      <c r="A328" s="1197" t="s">
        <v>535</v>
      </c>
      <c r="B328" s="1163"/>
      <c r="C328" s="1163"/>
      <c r="D328" s="1163"/>
      <c r="E328" s="1163"/>
      <c r="F328" s="1163"/>
      <c r="G328" s="1163"/>
      <c r="H328" s="1163"/>
      <c r="I328" s="1176"/>
      <c r="J328" s="1176"/>
      <c r="K328" s="1176"/>
      <c r="L328" s="1176"/>
      <c r="M328" s="1176"/>
      <c r="N328" s="1176"/>
      <c r="O328" s="1176"/>
    </row>
    <row r="329" spans="1:18" ht="16.5" x14ac:dyDescent="0.2">
      <c r="A329" s="1197" t="s">
        <v>535</v>
      </c>
      <c r="B329" s="1159"/>
      <c r="C329" s="1160" t="s">
        <v>512</v>
      </c>
      <c r="D329" s="1160" t="s">
        <v>578</v>
      </c>
      <c r="E329" s="1168">
        <f>Sales_FY24!$P$99</f>
        <v>34123</v>
      </c>
      <c r="F329" s="1168">
        <f>Sales_FY24!$V$99</f>
        <v>33465</v>
      </c>
      <c r="G329" s="1160">
        <f>ROUND(F329*7.5,0)</f>
        <v>250988</v>
      </c>
      <c r="H329" s="1162" t="s">
        <v>561</v>
      </c>
      <c r="I329" s="1167">
        <f>Sales_FY24!$Q$99</f>
        <v>301.37</v>
      </c>
      <c r="J329" s="1167" t="e">
        <f>+#REF!</f>
        <v>#REF!</v>
      </c>
      <c r="K329" s="1167" t="e">
        <f>+#REF!</f>
        <v>#REF!</v>
      </c>
      <c r="L329" s="1167" t="e">
        <f>ROUND(G329*J329*12/10000000,2)</f>
        <v>#REF!</v>
      </c>
      <c r="M329" s="1167" t="e">
        <f>ROUND(I329*1000000*K329/10000000,2)</f>
        <v>#REF!</v>
      </c>
      <c r="N329" s="1167" t="e">
        <f>L329+M329</f>
        <v>#REF!</v>
      </c>
      <c r="O329" s="1192"/>
    </row>
    <row r="330" spans="1:18" ht="16.5" x14ac:dyDescent="0.2">
      <c r="A330" s="1197" t="s">
        <v>535</v>
      </c>
      <c r="B330" s="1159"/>
      <c r="C330" s="1160"/>
      <c r="D330" s="1160" t="s">
        <v>579</v>
      </c>
      <c r="E330" s="1168"/>
      <c r="F330" s="1168"/>
      <c r="G330" s="1160"/>
      <c r="H330" s="1162"/>
      <c r="I330" s="1167"/>
      <c r="J330" s="1167" t="e">
        <f>+#REF!</f>
        <v>#REF!</v>
      </c>
      <c r="K330" s="1167"/>
      <c r="L330" s="1167"/>
      <c r="M330" s="1167"/>
      <c r="N330" s="1167"/>
      <c r="O330" s="1192"/>
    </row>
    <row r="331" spans="1:18" ht="16.5" x14ac:dyDescent="0.2">
      <c r="A331" s="1197" t="s">
        <v>535</v>
      </c>
      <c r="B331" s="1164"/>
      <c r="C331" s="1165"/>
      <c r="D331" s="1166" t="s">
        <v>486</v>
      </c>
      <c r="E331" s="1169">
        <f>SUM(E329:E330)</f>
        <v>34123</v>
      </c>
      <c r="F331" s="1169">
        <f>SUM(F329:F330)</f>
        <v>33465</v>
      </c>
      <c r="G331" s="1169">
        <f>SUM(G329:G330)</f>
        <v>250988</v>
      </c>
      <c r="H331" s="1165"/>
      <c r="I331" s="1170">
        <f>SUM(I329:I330)</f>
        <v>301.37</v>
      </c>
      <c r="J331" s="1170"/>
      <c r="K331" s="1170"/>
      <c r="L331" s="1170" t="e">
        <f>SUM(L329:L330)</f>
        <v>#REF!</v>
      </c>
      <c r="M331" s="1170" t="e">
        <f>SUM(M329:M330)</f>
        <v>#REF!</v>
      </c>
      <c r="N331" s="1170" t="e">
        <f>L331+M331</f>
        <v>#REF!</v>
      </c>
      <c r="O331" s="1177" t="e">
        <f>ROUND(N331/I331*10,2)</f>
        <v>#REF!</v>
      </c>
    </row>
    <row r="332" spans="1:18" ht="16.5" x14ac:dyDescent="0.2">
      <c r="A332" s="1197" t="s">
        <v>535</v>
      </c>
      <c r="B332" s="1163"/>
      <c r="C332" s="1163"/>
      <c r="D332" s="1163"/>
      <c r="E332" s="1163"/>
      <c r="F332" s="1163"/>
      <c r="G332" s="1163"/>
      <c r="H332" s="1163"/>
      <c r="I332" s="1176"/>
      <c r="J332" s="1176"/>
      <c r="K332" s="1176"/>
      <c r="L332" s="1176"/>
      <c r="M332" s="1176"/>
      <c r="N332" s="1176"/>
      <c r="O332" s="1176"/>
    </row>
    <row r="333" spans="1:18" ht="16.5" x14ac:dyDescent="0.2">
      <c r="A333" s="1197" t="s">
        <v>535</v>
      </c>
      <c r="B333" s="1159"/>
      <c r="C333" s="1160" t="s">
        <v>513</v>
      </c>
      <c r="D333" s="1160" t="s">
        <v>580</v>
      </c>
      <c r="E333" s="1168">
        <f>Sales_FY24!$P$100</f>
        <v>30426</v>
      </c>
      <c r="F333" s="1168">
        <f>Sales_FY24!$V$100</f>
        <v>29804</v>
      </c>
      <c r="G333" s="1160">
        <f>ROUND(F333*3.5,0)</f>
        <v>104314</v>
      </c>
      <c r="H333" s="1162" t="s">
        <v>561</v>
      </c>
      <c r="I333" s="1167">
        <f>Sales_FY24!$Q$100</f>
        <v>133.87</v>
      </c>
      <c r="J333" s="1167" t="e">
        <f>+#REF!</f>
        <v>#REF!</v>
      </c>
      <c r="K333" s="1167" t="e">
        <f>+#REF!</f>
        <v>#REF!</v>
      </c>
      <c r="L333" s="1167" t="e">
        <f>ROUND(G333*J333*12/10000000,2)</f>
        <v>#REF!</v>
      </c>
      <c r="M333" s="1167" t="e">
        <f>ROUND(I333*1000000*K333/10000000,2)</f>
        <v>#REF!</v>
      </c>
      <c r="N333" s="1167" t="e">
        <f>L333+M333</f>
        <v>#REF!</v>
      </c>
      <c r="O333" s="1192" t="e">
        <f>ROUND(N333/I333*10,2)</f>
        <v>#REF!</v>
      </c>
    </row>
    <row r="334" spans="1:18" ht="16.5" x14ac:dyDescent="0.2">
      <c r="A334" s="1197" t="s">
        <v>535</v>
      </c>
      <c r="B334" s="1163"/>
      <c r="C334" s="1163"/>
      <c r="D334" s="1163"/>
      <c r="E334" s="1163"/>
      <c r="F334" s="1163"/>
      <c r="G334" s="1163"/>
      <c r="H334" s="1163"/>
      <c r="I334" s="1176"/>
      <c r="J334" s="1176"/>
      <c r="K334" s="1176"/>
      <c r="L334" s="1176"/>
      <c r="M334" s="1176"/>
      <c r="N334" s="1176"/>
      <c r="O334" s="1176"/>
    </row>
    <row r="335" spans="1:18" ht="16.5" x14ac:dyDescent="0.2">
      <c r="A335" s="1197" t="s">
        <v>535</v>
      </c>
      <c r="B335" s="1159"/>
      <c r="C335" s="1160" t="s">
        <v>526</v>
      </c>
      <c r="D335" s="1160" t="s">
        <v>581</v>
      </c>
      <c r="E335" s="1168">
        <f>Sales_FY24!$P$101</f>
        <v>175</v>
      </c>
      <c r="F335" s="1168">
        <f>Sales_FY24!$V$101</f>
        <v>98</v>
      </c>
      <c r="G335" s="1160">
        <f>ROUND(F335*2.5,0)</f>
        <v>245</v>
      </c>
      <c r="H335" s="1162" t="s">
        <v>561</v>
      </c>
      <c r="I335" s="1167">
        <f>Sales_FY24!$Q$101</f>
        <v>14</v>
      </c>
      <c r="J335" s="1167" t="e">
        <f>+#REF!</f>
        <v>#REF!</v>
      </c>
      <c r="K335" s="1167" t="e">
        <f>+#REF!</f>
        <v>#REF!</v>
      </c>
      <c r="L335" s="1167" t="e">
        <f>ROUND(G335*J335*12/10000000,2)</f>
        <v>#REF!</v>
      </c>
      <c r="M335" s="1167" t="e">
        <f>ROUND(I335*1000000*K335/10000000,2)</f>
        <v>#REF!</v>
      </c>
      <c r="N335" s="1167" t="e">
        <f>L335+M335</f>
        <v>#REF!</v>
      </c>
      <c r="O335" s="1192"/>
    </row>
    <row r="336" spans="1:18" ht="16.5" x14ac:dyDescent="0.2">
      <c r="A336" s="1197" t="s">
        <v>535</v>
      </c>
      <c r="B336" s="1159"/>
      <c r="C336" s="1160"/>
      <c r="D336" s="1160" t="s">
        <v>582</v>
      </c>
      <c r="E336" s="1168"/>
      <c r="F336" s="1168"/>
      <c r="G336" s="1160"/>
      <c r="H336" s="1162"/>
      <c r="I336" s="1167"/>
      <c r="J336" s="1167" t="e">
        <f>+#REF!</f>
        <v>#REF!</v>
      </c>
      <c r="K336" s="1167"/>
      <c r="L336" s="1167"/>
      <c r="M336" s="1167"/>
      <c r="N336" s="1167"/>
      <c r="O336" s="1192"/>
    </row>
    <row r="337" spans="1:18" ht="16.5" x14ac:dyDescent="0.2">
      <c r="A337" s="1197" t="s">
        <v>535</v>
      </c>
      <c r="B337" s="1159"/>
      <c r="C337" s="1160"/>
      <c r="D337" s="1160" t="s">
        <v>583</v>
      </c>
      <c r="E337" s="1168"/>
      <c r="F337" s="1168"/>
      <c r="G337" s="1160"/>
      <c r="H337" s="1162"/>
      <c r="I337" s="1167"/>
      <c r="J337" s="1167" t="e">
        <f>+#REF!</f>
        <v>#REF!</v>
      </c>
      <c r="K337" s="1167"/>
      <c r="L337" s="1167"/>
      <c r="M337" s="1167"/>
      <c r="N337" s="1167"/>
      <c r="O337" s="1192"/>
    </row>
    <row r="338" spans="1:18" ht="16.5" x14ac:dyDescent="0.2">
      <c r="A338" s="1197" t="s">
        <v>535</v>
      </c>
      <c r="B338" s="1164"/>
      <c r="C338" s="1165"/>
      <c r="D338" s="1166" t="s">
        <v>486</v>
      </c>
      <c r="E338" s="1169">
        <f>SUM(E335:E337)</f>
        <v>175</v>
      </c>
      <c r="F338" s="1169">
        <f>SUM(F335:F337)</f>
        <v>98</v>
      </c>
      <c r="G338" s="1169">
        <f>SUM(G335:G337)</f>
        <v>245</v>
      </c>
      <c r="H338" s="1165"/>
      <c r="I338" s="1170">
        <f>SUM(I335:I337)</f>
        <v>14</v>
      </c>
      <c r="J338" s="1170"/>
      <c r="K338" s="1170"/>
      <c r="L338" s="1170" t="e">
        <f>SUM(L335:L337)</f>
        <v>#REF!</v>
      </c>
      <c r="M338" s="1170" t="e">
        <f>SUM(M335:M337)</f>
        <v>#REF!</v>
      </c>
      <c r="N338" s="1170" t="e">
        <f>L338+M338</f>
        <v>#REF!</v>
      </c>
      <c r="O338" s="1177"/>
    </row>
    <row r="339" spans="1:18" ht="16.5" x14ac:dyDescent="0.2">
      <c r="A339" s="1197" t="s">
        <v>535</v>
      </c>
      <c r="B339" s="1164">
        <v>7</v>
      </c>
      <c r="C339" s="1165" t="s">
        <v>577</v>
      </c>
      <c r="D339" s="1165"/>
      <c r="E339" s="1169">
        <f>E331+E333+E338</f>
        <v>64724</v>
      </c>
      <c r="F339" s="1169">
        <f>F331+F333+F338</f>
        <v>63367</v>
      </c>
      <c r="G339" s="1169">
        <f>G331+G333+G338</f>
        <v>355547</v>
      </c>
      <c r="H339" s="1165"/>
      <c r="I339" s="1170">
        <f>I331+I333+I338</f>
        <v>449.24</v>
      </c>
      <c r="J339" s="1170"/>
      <c r="K339" s="1170"/>
      <c r="L339" s="1170" t="e">
        <f>L331+L333+L338</f>
        <v>#REF!</v>
      </c>
      <c r="M339" s="1170" t="e">
        <f>M331+M333+M338</f>
        <v>#REF!</v>
      </c>
      <c r="N339" s="1170" t="e">
        <f>L339+M339</f>
        <v>#REF!</v>
      </c>
      <c r="O339" s="1177" t="e">
        <f>ROUND(N339/I339*10,2)</f>
        <v>#REF!</v>
      </c>
    </row>
    <row r="340" spans="1:18" ht="16.5" x14ac:dyDescent="0.2">
      <c r="A340" s="1197" t="s">
        <v>535</v>
      </c>
      <c r="B340" s="1163"/>
      <c r="C340" s="1163"/>
      <c r="D340" s="1163"/>
      <c r="E340" s="1163"/>
      <c r="F340" s="1163"/>
      <c r="G340" s="1163"/>
      <c r="H340" s="1163"/>
      <c r="I340" s="1176"/>
      <c r="J340" s="1176"/>
      <c r="K340" s="1176"/>
      <c r="L340" s="1176"/>
      <c r="M340" s="1176"/>
      <c r="N340" s="1176"/>
      <c r="O340" s="1176"/>
    </row>
    <row r="341" spans="1:18" ht="16.5" x14ac:dyDescent="0.2">
      <c r="A341" s="1197" t="s">
        <v>535</v>
      </c>
      <c r="B341" s="1159"/>
      <c r="C341" s="1160" t="s">
        <v>584</v>
      </c>
      <c r="D341" s="1160" t="s">
        <v>586</v>
      </c>
      <c r="E341" s="1160">
        <f>ROUND(E343*99.8235%,0)</f>
        <v>141390</v>
      </c>
      <c r="F341" s="1160">
        <f>ROUND(F343*99.8235%,0)</f>
        <v>141390</v>
      </c>
      <c r="G341" s="1160">
        <f>ROUND(F341*1.95,0)</f>
        <v>275711</v>
      </c>
      <c r="H341" s="1162" t="s">
        <v>561</v>
      </c>
      <c r="I341" s="1167">
        <f>ROUND(I343*99.35794%,2)</f>
        <v>18.57</v>
      </c>
      <c r="J341" s="1167" t="e">
        <f>+#REF!</f>
        <v>#REF!</v>
      </c>
      <c r="K341" s="1167" t="e">
        <f>+#REF!</f>
        <v>#REF!</v>
      </c>
      <c r="L341" s="1167" t="e">
        <f>ROUND(G341*J341*4/10000000,2)</f>
        <v>#REF!</v>
      </c>
      <c r="M341" s="1198" t="e">
        <f>ROUND(I341*1000000*K341/10000000,2)-ROUND(I341*1000000*K341/10000000,2)</f>
        <v>#REF!</v>
      </c>
      <c r="N341" s="1167" t="e">
        <f>L341+M341</f>
        <v>#REF!</v>
      </c>
      <c r="O341" s="1192"/>
    </row>
    <row r="342" spans="1:18" ht="16.5" x14ac:dyDescent="0.2">
      <c r="A342" s="1197" t="s">
        <v>535</v>
      </c>
      <c r="B342" s="1159"/>
      <c r="C342" s="1160" t="s">
        <v>585</v>
      </c>
      <c r="D342" s="1160" t="s">
        <v>586</v>
      </c>
      <c r="E342" s="1168">
        <f>E343-E341</f>
        <v>250</v>
      </c>
      <c r="F342" s="1168">
        <f>F343-F341</f>
        <v>250</v>
      </c>
      <c r="G342" s="1160">
        <f>ROUND(F342*1.45,0)</f>
        <v>363</v>
      </c>
      <c r="H342" s="1162" t="s">
        <v>561</v>
      </c>
      <c r="I342" s="1167">
        <f>I343-I341</f>
        <v>0.12000000000000099</v>
      </c>
      <c r="J342" s="1167" t="e">
        <f>+#REF!</f>
        <v>#REF!</v>
      </c>
      <c r="K342" s="1167" t="e">
        <f>+#REF!</f>
        <v>#REF!</v>
      </c>
      <c r="L342" s="1167" t="e">
        <f>ROUND(G342*J342*12/10000000,2)</f>
        <v>#REF!</v>
      </c>
      <c r="M342" s="1167" t="e">
        <f>ROUND(I342*1000000*K342/10000000,2)</f>
        <v>#REF!</v>
      </c>
      <c r="N342" s="1167" t="e">
        <f>L342+M342</f>
        <v>#REF!</v>
      </c>
      <c r="O342" s="1192"/>
    </row>
    <row r="343" spans="1:18" ht="16.5" x14ac:dyDescent="0.2">
      <c r="A343" s="1197" t="s">
        <v>535</v>
      </c>
      <c r="B343" s="1164">
        <v>8</v>
      </c>
      <c r="C343" s="1165" t="s">
        <v>587</v>
      </c>
      <c r="D343" s="1165"/>
      <c r="E343" s="1169">
        <f>Sales_FY24!$P$102</f>
        <v>141640</v>
      </c>
      <c r="F343" s="1169">
        <f>Sales_FY24!$V$102</f>
        <v>141640</v>
      </c>
      <c r="G343" s="1169">
        <f>SUM(G341:G342)</f>
        <v>276074</v>
      </c>
      <c r="H343" s="1165"/>
      <c r="I343" s="1170">
        <f>Sales_FY24!$Q$102</f>
        <v>18.690000000000001</v>
      </c>
      <c r="J343" s="1170"/>
      <c r="K343" s="1170"/>
      <c r="L343" s="1170" t="e">
        <f>SUM(L341:L342)</f>
        <v>#REF!</v>
      </c>
      <c r="M343" s="1170" t="e">
        <f>SUM(M341:M342)</f>
        <v>#REF!</v>
      </c>
      <c r="N343" s="1170" t="e">
        <f>L343+M343</f>
        <v>#REF!</v>
      </c>
      <c r="O343" s="1177" t="e">
        <f>ROUND(N343/I343*10,2)</f>
        <v>#REF!</v>
      </c>
    </row>
    <row r="344" spans="1:18" ht="16.5" x14ac:dyDescent="0.2">
      <c r="A344" s="1197" t="s">
        <v>535</v>
      </c>
      <c r="B344" s="1163"/>
      <c r="C344" s="1163"/>
      <c r="D344" s="1163"/>
      <c r="E344" s="1163"/>
      <c r="F344" s="1163"/>
      <c r="G344" s="1163"/>
      <c r="H344" s="1163"/>
      <c r="I344" s="1176"/>
      <c r="J344" s="1176"/>
      <c r="K344" s="1176"/>
      <c r="L344" s="1176"/>
      <c r="M344" s="1176"/>
      <c r="N344" s="1176"/>
      <c r="O344" s="1176"/>
    </row>
    <row r="345" spans="1:18" ht="16.5" x14ac:dyDescent="0.2">
      <c r="A345" s="1197" t="s">
        <v>535</v>
      </c>
      <c r="B345" s="1194"/>
      <c r="C345" s="1195" t="s">
        <v>588</v>
      </c>
      <c r="D345" s="1195"/>
      <c r="E345" s="1196">
        <f>E274+E287+E298+E307+E312+E327+E339+E343</f>
        <v>3951212</v>
      </c>
      <c r="F345" s="1196">
        <f>F274+F287+F298+F307+F312+F327+F339+F343</f>
        <v>3912037</v>
      </c>
      <c r="G345" s="1196">
        <f>G274+G287+G298+G307+G312+G327+G339+G343</f>
        <v>6512321</v>
      </c>
      <c r="H345" s="1195"/>
      <c r="I345" s="1193">
        <f>I274+I287+I298+I307+I312+I327+I339+I343</f>
        <v>5450.9499999999989</v>
      </c>
      <c r="J345" s="1193"/>
      <c r="K345" s="1193"/>
      <c r="L345" s="1193" t="e">
        <f>L274+L287+L298+L307+L312+L327+L339+L343</f>
        <v>#REF!</v>
      </c>
      <c r="M345" s="1193" t="e">
        <f>M274+M287+M298+M307+M312+M327+M339+M343</f>
        <v>#REF!</v>
      </c>
      <c r="N345" s="1193" t="e">
        <f>L345+M345</f>
        <v>#REF!</v>
      </c>
      <c r="O345" s="1193" t="e">
        <f>ROUND(N345/I345*10,2)</f>
        <v>#REF!</v>
      </c>
    </row>
    <row r="346" spans="1:18" ht="16.5" x14ac:dyDescent="0.2">
      <c r="A346" s="1197" t="s">
        <v>535</v>
      </c>
      <c r="B346" s="1163"/>
      <c r="C346" s="1163"/>
      <c r="D346" s="1163"/>
      <c r="E346" s="1163"/>
      <c r="F346" s="1176"/>
      <c r="G346" s="1163"/>
      <c r="H346" s="1163"/>
      <c r="I346" s="1176"/>
      <c r="J346" s="1176"/>
      <c r="K346" s="1176"/>
      <c r="L346" s="1176"/>
      <c r="M346" s="1176"/>
      <c r="N346" s="1176"/>
      <c r="O346" s="1176"/>
    </row>
    <row r="347" spans="1:18" ht="16.5" x14ac:dyDescent="0.2">
      <c r="A347" s="1197" t="s">
        <v>535</v>
      </c>
      <c r="B347" s="1159">
        <v>9</v>
      </c>
      <c r="C347" s="1160" t="s">
        <v>16</v>
      </c>
      <c r="D347" s="1160" t="s">
        <v>589</v>
      </c>
      <c r="E347" s="1168">
        <f>Sales_FY24!$P$105</f>
        <v>223</v>
      </c>
      <c r="F347" s="1168">
        <f>Sales_FY24!$V$105</f>
        <v>214</v>
      </c>
      <c r="G347" s="1160">
        <f>ROUND(F347*640,0)</f>
        <v>136960</v>
      </c>
      <c r="H347" s="1162" t="s">
        <v>561</v>
      </c>
      <c r="I347" s="1167">
        <f>Sales_FY24!$Q$105</f>
        <v>539.47</v>
      </c>
      <c r="J347" s="1167" t="e">
        <f>+#REF!</f>
        <v>#REF!</v>
      </c>
      <c r="K347" s="1167" t="e">
        <f>+#REF!</f>
        <v>#REF!</v>
      </c>
      <c r="L347" s="1167" t="e">
        <f>ROUND((G347*85%)*J347*12/10000000,2)</f>
        <v>#REF!</v>
      </c>
      <c r="M347" s="1167" t="e">
        <f>ROUND(I347*1000000*K347/10000000,2)</f>
        <v>#REF!</v>
      </c>
      <c r="N347" s="1167" t="e">
        <f>L347+M347</f>
        <v>#REF!</v>
      </c>
      <c r="O347" s="1192" t="e">
        <f>ROUND(N347/I347*10,2)</f>
        <v>#REF!</v>
      </c>
    </row>
    <row r="348" spans="1:18" ht="16.5" x14ac:dyDescent="0.2">
      <c r="A348" s="1197" t="s">
        <v>535</v>
      </c>
      <c r="B348" s="1163"/>
      <c r="C348" s="1163"/>
      <c r="D348" s="1163"/>
      <c r="E348" s="1163"/>
      <c r="F348" s="1163"/>
      <c r="G348" s="1163"/>
      <c r="H348" s="1163"/>
      <c r="I348" s="1176"/>
      <c r="J348" s="1176"/>
      <c r="K348" s="1176"/>
      <c r="L348" s="1176"/>
      <c r="M348" s="1176"/>
      <c r="N348" s="1176"/>
      <c r="O348" s="1176"/>
    </row>
    <row r="349" spans="1:18" ht="16.5" x14ac:dyDescent="0.2">
      <c r="A349" s="1197" t="s">
        <v>535</v>
      </c>
      <c r="B349" s="1159"/>
      <c r="C349" s="1160" t="s">
        <v>593</v>
      </c>
      <c r="D349" s="1160" t="s">
        <v>589</v>
      </c>
      <c r="E349" s="1168">
        <f>E351</f>
        <v>0</v>
      </c>
      <c r="F349" s="1168">
        <f>F351</f>
        <v>0</v>
      </c>
      <c r="G349" s="1160">
        <f>ROUND(F349*0,0)</f>
        <v>0</v>
      </c>
      <c r="H349" s="1162" t="s">
        <v>591</v>
      </c>
      <c r="I349" s="1167">
        <f>ROUND(I351*0%,2)</f>
        <v>0</v>
      </c>
      <c r="J349" s="1167" t="e">
        <f>+#REF!</f>
        <v>#REF!</v>
      </c>
      <c r="K349" s="1167" t="e">
        <f>+#REF!</f>
        <v>#REF!</v>
      </c>
      <c r="L349" s="1167" t="e">
        <f>ROUND((G349*85%)*J349*12/10000000,2)</f>
        <v>#REF!</v>
      </c>
      <c r="M349" s="1167" t="e">
        <f>ROUND(I349*1000000*K349/10000000,2)</f>
        <v>#REF!</v>
      </c>
      <c r="N349" s="1167"/>
      <c r="O349" s="1192"/>
    </row>
    <row r="350" spans="1:18" ht="16.5" x14ac:dyDescent="0.2">
      <c r="A350" s="1197" t="s">
        <v>535</v>
      </c>
      <c r="B350" s="1159"/>
      <c r="C350" s="1160"/>
      <c r="D350" s="1160"/>
      <c r="E350" s="1168"/>
      <c r="F350" s="1168"/>
      <c r="G350" s="1160"/>
      <c r="H350" s="1162" t="s">
        <v>590</v>
      </c>
      <c r="I350" s="1167">
        <f>I351-I349</f>
        <v>0</v>
      </c>
      <c r="J350" s="1167"/>
      <c r="K350" s="1167" t="e">
        <f>+#REF!</f>
        <v>#REF!</v>
      </c>
      <c r="L350" s="1167"/>
      <c r="M350" s="1167" t="e">
        <f>ROUND(I350*1000000*K350/10000000,2)</f>
        <v>#REF!</v>
      </c>
      <c r="N350" s="1167"/>
      <c r="O350" s="1192"/>
    </row>
    <row r="351" spans="1:18" ht="16.5" x14ac:dyDescent="0.2">
      <c r="A351" s="1197" t="s">
        <v>535</v>
      </c>
      <c r="B351" s="1164"/>
      <c r="C351" s="1165"/>
      <c r="D351" s="1166" t="s">
        <v>486</v>
      </c>
      <c r="E351" s="1169">
        <f>ROUND(E356*0%,0)</f>
        <v>0</v>
      </c>
      <c r="F351" s="1169">
        <f>ROUND(F356*0%,0)</f>
        <v>0</v>
      </c>
      <c r="G351" s="1169">
        <f>SUM(G349:G350)</f>
        <v>0</v>
      </c>
      <c r="H351" s="1165"/>
      <c r="I351" s="1170">
        <f>ROUND(I356*0%,2)</f>
        <v>0</v>
      </c>
      <c r="J351" s="1170"/>
      <c r="K351" s="1170"/>
      <c r="L351" s="1170" t="e">
        <f>SUM(L349:L350)</f>
        <v>#REF!</v>
      </c>
      <c r="M351" s="1170" t="e">
        <f>SUM(M349:M350)</f>
        <v>#REF!</v>
      </c>
      <c r="N351" s="1170" t="e">
        <f>L351+M351</f>
        <v>#REF!</v>
      </c>
      <c r="O351" s="1177"/>
      <c r="R351" s="1224" t="e">
        <f>+N351-#REF!</f>
        <v>#REF!</v>
      </c>
    </row>
    <row r="352" spans="1:18" ht="16.5" x14ac:dyDescent="0.2">
      <c r="A352" s="1197" t="s">
        <v>535</v>
      </c>
      <c r="B352" s="1163"/>
      <c r="C352" s="1163"/>
      <c r="D352" s="1163"/>
      <c r="E352" s="1163"/>
      <c r="F352" s="1163"/>
      <c r="G352" s="1163"/>
      <c r="H352" s="1163"/>
      <c r="I352" s="1176"/>
      <c r="J352" s="1176"/>
      <c r="K352" s="1176"/>
      <c r="L352" s="1176"/>
      <c r="M352" s="1176"/>
      <c r="N352" s="1176"/>
      <c r="O352" s="1176"/>
    </row>
    <row r="353" spans="1:18" ht="16.5" x14ac:dyDescent="0.2">
      <c r="A353" s="1197" t="s">
        <v>535</v>
      </c>
      <c r="B353" s="1159"/>
      <c r="C353" s="1160" t="s">
        <v>594</v>
      </c>
      <c r="D353" s="1160" t="s">
        <v>589</v>
      </c>
      <c r="E353" s="1168">
        <f>E355</f>
        <v>1491</v>
      </c>
      <c r="F353" s="1168">
        <f>F355</f>
        <v>1441</v>
      </c>
      <c r="G353" s="1160">
        <f>ROUND(F353*560,0)</f>
        <v>806960</v>
      </c>
      <c r="H353" s="1162" t="s">
        <v>591</v>
      </c>
      <c r="I353" s="1167">
        <f>ROUND(I355*38.5%,2)</f>
        <v>311.10000000000002</v>
      </c>
      <c r="J353" s="1167">
        <v>275</v>
      </c>
      <c r="K353" s="1167">
        <v>7.5</v>
      </c>
      <c r="L353" s="1167">
        <f>ROUND((G353*85%)*J353*12/10000000,2)</f>
        <v>226.35</v>
      </c>
      <c r="M353" s="1167">
        <f>ROUND(I353*1000000*K353/10000000,2)</f>
        <v>233.33</v>
      </c>
      <c r="N353" s="1167"/>
      <c r="O353" s="1192"/>
    </row>
    <row r="354" spans="1:18" ht="16.5" x14ac:dyDescent="0.2">
      <c r="A354" s="1197" t="s">
        <v>535</v>
      </c>
      <c r="B354" s="1159"/>
      <c r="C354" s="1160"/>
      <c r="D354" s="1160"/>
      <c r="E354" s="1168"/>
      <c r="F354" s="1168"/>
      <c r="G354" s="1160"/>
      <c r="H354" s="1162" t="s">
        <v>590</v>
      </c>
      <c r="I354" s="1167">
        <f>I355-I353</f>
        <v>496.93999999999994</v>
      </c>
      <c r="J354" s="1167"/>
      <c r="K354" s="1167">
        <v>7.8</v>
      </c>
      <c r="L354" s="1167"/>
      <c r="M354" s="1167">
        <f>ROUND(I354*1000000*K354/10000000,2)</f>
        <v>387.61</v>
      </c>
      <c r="N354" s="1167"/>
      <c r="O354" s="1192"/>
    </row>
    <row r="355" spans="1:18" ht="16.5" x14ac:dyDescent="0.2">
      <c r="A355" s="1197" t="s">
        <v>535</v>
      </c>
      <c r="B355" s="1164"/>
      <c r="C355" s="1165"/>
      <c r="D355" s="1166" t="s">
        <v>486</v>
      </c>
      <c r="E355" s="1169">
        <f>E356-E351</f>
        <v>1491</v>
      </c>
      <c r="F355" s="1169">
        <f>F356-F351</f>
        <v>1441</v>
      </c>
      <c r="G355" s="1169">
        <f>SUM(G353:G354)</f>
        <v>806960</v>
      </c>
      <c r="H355" s="1165"/>
      <c r="I355" s="1170">
        <f>I356-I351</f>
        <v>808.04</v>
      </c>
      <c r="J355" s="1170"/>
      <c r="K355" s="1170"/>
      <c r="L355" s="1170">
        <f>SUM(L353:L354)</f>
        <v>226.35</v>
      </c>
      <c r="M355" s="1170">
        <f>SUM(M353:M354)</f>
        <v>620.94000000000005</v>
      </c>
      <c r="N355" s="1170">
        <f>L355+M355</f>
        <v>847.29000000000008</v>
      </c>
      <c r="O355" s="1177"/>
      <c r="R355" s="1224" t="e">
        <f>+N355-#REF!</f>
        <v>#REF!</v>
      </c>
    </row>
    <row r="356" spans="1:18" ht="16.5" x14ac:dyDescent="0.2">
      <c r="A356" s="1197" t="s">
        <v>535</v>
      </c>
      <c r="B356" s="1164">
        <v>10</v>
      </c>
      <c r="C356" s="1165" t="s">
        <v>592</v>
      </c>
      <c r="D356" s="1165"/>
      <c r="E356" s="1169">
        <f>Sales_FY24!$P$106</f>
        <v>1491</v>
      </c>
      <c r="F356" s="1169">
        <f>Sales_FY24!$V$106</f>
        <v>1441</v>
      </c>
      <c r="G356" s="1169">
        <f>G351+G355</f>
        <v>806960</v>
      </c>
      <c r="H356" s="1165"/>
      <c r="I356" s="1170">
        <f>Sales_FY24!$Q$106</f>
        <v>808.04</v>
      </c>
      <c r="J356" s="1170"/>
      <c r="K356" s="1170"/>
      <c r="L356" s="1169" t="e">
        <f>L351+L355</f>
        <v>#REF!</v>
      </c>
      <c r="M356" s="1169" t="e">
        <f>M351+M355</f>
        <v>#REF!</v>
      </c>
      <c r="N356" s="1170" t="e">
        <f>L356+M356</f>
        <v>#REF!</v>
      </c>
      <c r="O356" s="1177" t="e">
        <f>ROUND(N356/I356*10,2)</f>
        <v>#REF!</v>
      </c>
    </row>
    <row r="357" spans="1:18" ht="16.5" x14ac:dyDescent="0.2">
      <c r="A357" s="1197" t="s">
        <v>535</v>
      </c>
      <c r="B357" s="1163"/>
      <c r="C357" s="1163"/>
      <c r="D357" s="1163"/>
      <c r="E357" s="1163"/>
      <c r="F357" s="1163"/>
      <c r="G357" s="1163"/>
      <c r="H357" s="1163"/>
      <c r="I357" s="1176"/>
      <c r="J357" s="1176"/>
      <c r="K357" s="1176"/>
      <c r="L357" s="1176"/>
      <c r="M357" s="1176"/>
      <c r="N357" s="1176"/>
      <c r="O357" s="1176"/>
    </row>
    <row r="358" spans="1:18" ht="16.5" x14ac:dyDescent="0.2">
      <c r="A358" s="1197" t="s">
        <v>535</v>
      </c>
      <c r="B358" s="1159"/>
      <c r="C358" s="1160" t="s">
        <v>596</v>
      </c>
      <c r="D358" s="1160" t="s">
        <v>589</v>
      </c>
      <c r="E358" s="1168">
        <f>E360</f>
        <v>0</v>
      </c>
      <c r="F358" s="1168">
        <f>F360</f>
        <v>0</v>
      </c>
      <c r="G358" s="1160">
        <f>ROUND(F358*0,0)</f>
        <v>0</v>
      </c>
      <c r="H358" s="1162" t="s">
        <v>598</v>
      </c>
      <c r="I358" s="1167">
        <f>ROUND(I360*0%,2)</f>
        <v>0</v>
      </c>
      <c r="J358" s="1167" t="e">
        <f>+#REF!</f>
        <v>#REF!</v>
      </c>
      <c r="K358" s="1167" t="e">
        <f>+#REF!</f>
        <v>#REF!</v>
      </c>
      <c r="L358" s="1167" t="e">
        <f>ROUND((G358*85%)*J358*12/10000000,2)</f>
        <v>#REF!</v>
      </c>
      <c r="M358" s="1167" t="e">
        <f>ROUND(I358*1000000*K358/10000000,2)</f>
        <v>#REF!</v>
      </c>
      <c r="N358" s="1167"/>
      <c r="O358" s="1192"/>
    </row>
    <row r="359" spans="1:18" ht="16.5" x14ac:dyDescent="0.2">
      <c r="A359" s="1197" t="s">
        <v>535</v>
      </c>
      <c r="B359" s="1159"/>
      <c r="C359" s="1160"/>
      <c r="D359" s="1160"/>
      <c r="E359" s="1168"/>
      <c r="F359" s="1168"/>
      <c r="G359" s="1160"/>
      <c r="H359" s="1162" t="s">
        <v>599</v>
      </c>
      <c r="I359" s="1167">
        <f>I360-I358</f>
        <v>0</v>
      </c>
      <c r="J359" s="1167"/>
      <c r="K359" s="1167" t="e">
        <f>+#REF!</f>
        <v>#REF!</v>
      </c>
      <c r="L359" s="1167"/>
      <c r="M359" s="1167" t="e">
        <f>ROUND(I359*1000000*K359/10000000,2)</f>
        <v>#REF!</v>
      </c>
      <c r="N359" s="1167"/>
      <c r="O359" s="1192"/>
    </row>
    <row r="360" spans="1:18" ht="16.5" x14ac:dyDescent="0.2">
      <c r="A360" s="1197" t="s">
        <v>535</v>
      </c>
      <c r="B360" s="1164"/>
      <c r="C360" s="1165"/>
      <c r="D360" s="1166" t="s">
        <v>486</v>
      </c>
      <c r="E360" s="1169">
        <f>ROUND(E365*0%,0)</f>
        <v>0</v>
      </c>
      <c r="F360" s="1169">
        <f>ROUND(F365*0%,0)</f>
        <v>0</v>
      </c>
      <c r="G360" s="1169">
        <f>SUM(G358:G359)</f>
        <v>0</v>
      </c>
      <c r="H360" s="1165"/>
      <c r="I360" s="1170">
        <f>ROUND(I365*0%,2)</f>
        <v>0</v>
      </c>
      <c r="J360" s="1170"/>
      <c r="K360" s="1170"/>
      <c r="L360" s="1170" t="e">
        <f>SUM(L358:L359)</f>
        <v>#REF!</v>
      </c>
      <c r="M360" s="1170" t="e">
        <f>SUM(M358:M359)</f>
        <v>#REF!</v>
      </c>
      <c r="N360" s="1170" t="e">
        <f>L360+M360</f>
        <v>#REF!</v>
      </c>
      <c r="O360" s="1177"/>
      <c r="R360" s="1224" t="e">
        <f>+N360-#REF!</f>
        <v>#REF!</v>
      </c>
    </row>
    <row r="361" spans="1:18" ht="16.5" x14ac:dyDescent="0.2">
      <c r="A361" s="1197" t="s">
        <v>535</v>
      </c>
      <c r="B361" s="1163"/>
      <c r="C361" s="1163"/>
      <c r="D361" s="1163"/>
      <c r="E361" s="1163"/>
      <c r="F361" s="1163"/>
      <c r="G361" s="1163"/>
      <c r="H361" s="1163"/>
      <c r="I361" s="1176"/>
      <c r="J361" s="1176"/>
      <c r="K361" s="1176"/>
      <c r="L361" s="1176"/>
      <c r="M361" s="1176"/>
      <c r="N361" s="1176"/>
      <c r="O361" s="1176"/>
    </row>
    <row r="362" spans="1:18" ht="16.5" x14ac:dyDescent="0.2">
      <c r="A362" s="1197" t="s">
        <v>535</v>
      </c>
      <c r="B362" s="1159"/>
      <c r="C362" s="1160" t="s">
        <v>597</v>
      </c>
      <c r="D362" s="1160" t="s">
        <v>589</v>
      </c>
      <c r="E362" s="1168">
        <f>E364</f>
        <v>1018</v>
      </c>
      <c r="F362" s="1168">
        <f>F364</f>
        <v>974</v>
      </c>
      <c r="G362" s="1160">
        <f>ROUND(F362*138,0)</f>
        <v>134412</v>
      </c>
      <c r="H362" s="1162" t="s">
        <v>598</v>
      </c>
      <c r="I362" s="1167">
        <f>ROUND(I364*80%,2)</f>
        <v>86.46</v>
      </c>
      <c r="J362" s="1167">
        <v>300</v>
      </c>
      <c r="K362" s="1167">
        <v>9.3000000000000007</v>
      </c>
      <c r="L362" s="1167">
        <f>ROUND((G362*85%)*J362*12/10000000,2)</f>
        <v>41.13</v>
      </c>
      <c r="M362" s="1167">
        <f>ROUND(I362*1000000*K362/10000000,2)</f>
        <v>80.41</v>
      </c>
      <c r="N362" s="1167"/>
      <c r="O362" s="1192"/>
    </row>
    <row r="363" spans="1:18" ht="16.5" x14ac:dyDescent="0.2">
      <c r="A363" s="1197" t="s">
        <v>535</v>
      </c>
      <c r="B363" s="1159"/>
      <c r="C363" s="1160"/>
      <c r="D363" s="1160"/>
      <c r="E363" s="1168"/>
      <c r="F363" s="1168"/>
      <c r="G363" s="1160"/>
      <c r="H363" s="1162" t="s">
        <v>599</v>
      </c>
      <c r="I363" s="1167">
        <f>I364-I362</f>
        <v>21.61</v>
      </c>
      <c r="J363" s="1167"/>
      <c r="K363" s="1167">
        <v>9.4</v>
      </c>
      <c r="L363" s="1167"/>
      <c r="M363" s="1167">
        <f>ROUND(I363*1000000*K363/10000000,2)</f>
        <v>20.309999999999999</v>
      </c>
      <c r="N363" s="1167"/>
      <c r="O363" s="1192"/>
    </row>
    <row r="364" spans="1:18" ht="16.5" x14ac:dyDescent="0.2">
      <c r="A364" s="1197" t="s">
        <v>535</v>
      </c>
      <c r="B364" s="1164"/>
      <c r="C364" s="1165"/>
      <c r="D364" s="1166" t="s">
        <v>486</v>
      </c>
      <c r="E364" s="1169">
        <f>E365-E360</f>
        <v>1018</v>
      </c>
      <c r="F364" s="1169">
        <f>F365-F360</f>
        <v>974</v>
      </c>
      <c r="G364" s="1169">
        <f>SUM(G362:G363)</f>
        <v>134412</v>
      </c>
      <c r="H364" s="1165"/>
      <c r="I364" s="1170">
        <f>I365-I360</f>
        <v>108.07</v>
      </c>
      <c r="J364" s="1170"/>
      <c r="K364" s="1170"/>
      <c r="L364" s="1170">
        <f>SUM(L362:L363)</f>
        <v>41.13</v>
      </c>
      <c r="M364" s="1170">
        <f>SUM(M362:M363)</f>
        <v>100.72</v>
      </c>
      <c r="N364" s="1170">
        <f>L364+M364</f>
        <v>141.85</v>
      </c>
      <c r="O364" s="1177"/>
      <c r="R364" s="1224" t="e">
        <f>+N364-#REF!</f>
        <v>#REF!</v>
      </c>
    </row>
    <row r="365" spans="1:18" ht="16.5" x14ac:dyDescent="0.2">
      <c r="A365" s="1197" t="s">
        <v>535</v>
      </c>
      <c r="B365" s="1164">
        <v>11</v>
      </c>
      <c r="C365" s="1165" t="s">
        <v>595</v>
      </c>
      <c r="D365" s="1165"/>
      <c r="E365" s="1169">
        <f>Sales_FY24!$P$107</f>
        <v>1018</v>
      </c>
      <c r="F365" s="1169">
        <f>Sales_FY24!$V$107</f>
        <v>974</v>
      </c>
      <c r="G365" s="1169">
        <f>G360+G364</f>
        <v>134412</v>
      </c>
      <c r="H365" s="1165"/>
      <c r="I365" s="1170">
        <f>Sales_FY24!$Q$107</f>
        <v>108.07</v>
      </c>
      <c r="J365" s="1170"/>
      <c r="K365" s="1170"/>
      <c r="L365" s="1170" t="e">
        <f>L360+L364</f>
        <v>#REF!</v>
      </c>
      <c r="M365" s="1170" t="e">
        <f>M360+M364</f>
        <v>#REF!</v>
      </c>
      <c r="N365" s="1170" t="e">
        <f>L365+M365</f>
        <v>#REF!</v>
      </c>
      <c r="O365" s="1177" t="e">
        <f>ROUND(N365/I365*10,2)</f>
        <v>#REF!</v>
      </c>
    </row>
    <row r="366" spans="1:18" ht="16.5" x14ac:dyDescent="0.2">
      <c r="A366" s="1197" t="s">
        <v>535</v>
      </c>
      <c r="B366" s="1163"/>
      <c r="C366" s="1163"/>
      <c r="D366" s="1163"/>
      <c r="E366" s="1163"/>
      <c r="F366" s="1163"/>
      <c r="G366" s="1163"/>
      <c r="H366" s="1163"/>
      <c r="I366" s="1176"/>
      <c r="J366" s="1176"/>
      <c r="K366" s="1176"/>
      <c r="L366" s="1176"/>
      <c r="M366" s="1176"/>
      <c r="N366" s="1176"/>
      <c r="O366" s="1176"/>
    </row>
    <row r="367" spans="1:18" ht="16.5" x14ac:dyDescent="0.2">
      <c r="A367" s="1197" t="s">
        <v>535</v>
      </c>
      <c r="B367" s="1159"/>
      <c r="C367" s="1160" t="s">
        <v>601</v>
      </c>
      <c r="D367" s="1160" t="s">
        <v>589</v>
      </c>
      <c r="E367" s="1168">
        <f>E369</f>
        <v>286</v>
      </c>
      <c r="F367" s="1168">
        <f>F369</f>
        <v>275</v>
      </c>
      <c r="G367" s="1160">
        <f>ROUND(F367*140,0)</f>
        <v>38500</v>
      </c>
      <c r="H367" s="1162" t="s">
        <v>591</v>
      </c>
      <c r="I367" s="1167">
        <f>ROUND(I369*85%,2)</f>
        <v>38.17</v>
      </c>
      <c r="J367" s="1167" t="e">
        <f>+#REF!</f>
        <v>#REF!</v>
      </c>
      <c r="K367" s="1167" t="e">
        <f>+#REF!</f>
        <v>#REF!</v>
      </c>
      <c r="L367" s="1167" t="e">
        <f>ROUND((G367*85%)*J367*12/10000000,2)</f>
        <v>#REF!</v>
      </c>
      <c r="M367" s="1167" t="e">
        <f>ROUND(I367*1000000*K367/10000000,2)</f>
        <v>#REF!</v>
      </c>
      <c r="N367" s="1167"/>
      <c r="O367" s="1192"/>
    </row>
    <row r="368" spans="1:18" ht="16.5" x14ac:dyDescent="0.2">
      <c r="A368" s="1197" t="s">
        <v>535</v>
      </c>
      <c r="B368" s="1159"/>
      <c r="C368" s="1160"/>
      <c r="D368" s="1160"/>
      <c r="E368" s="1168"/>
      <c r="F368" s="1168"/>
      <c r="G368" s="1160"/>
      <c r="H368" s="1162" t="s">
        <v>590</v>
      </c>
      <c r="I368" s="1167">
        <f>I369-I367</f>
        <v>6.7299999999999969</v>
      </c>
      <c r="J368" s="1167"/>
      <c r="K368" s="1167" t="e">
        <f>+#REF!</f>
        <v>#REF!</v>
      </c>
      <c r="L368" s="1167"/>
      <c r="M368" s="1167" t="e">
        <f>ROUND(I368*1000000*K368/10000000,2)</f>
        <v>#REF!</v>
      </c>
      <c r="N368" s="1167"/>
      <c r="O368" s="1192"/>
    </row>
    <row r="369" spans="1:15" ht="16.5" x14ac:dyDescent="0.2">
      <c r="A369" s="1197" t="s">
        <v>535</v>
      </c>
      <c r="B369" s="1164"/>
      <c r="C369" s="1165"/>
      <c r="D369" s="1166" t="s">
        <v>486</v>
      </c>
      <c r="E369" s="1169">
        <f>ROUND(E374*70.22%,0)</f>
        <v>286</v>
      </c>
      <c r="F369" s="1169">
        <f>ROUND(F374*70.22%,0)</f>
        <v>275</v>
      </c>
      <c r="G369" s="1169">
        <f>SUM(G367:G368)</f>
        <v>38500</v>
      </c>
      <c r="H369" s="1165"/>
      <c r="I369" s="1170">
        <f>ROUND(I374*70.71%,2)</f>
        <v>44.9</v>
      </c>
      <c r="J369" s="1170"/>
      <c r="K369" s="1170"/>
      <c r="L369" s="1170" t="e">
        <f>SUM(L367:L368)</f>
        <v>#REF!</v>
      </c>
      <c r="M369" s="1170" t="e">
        <f>SUM(M367:M368)</f>
        <v>#REF!</v>
      </c>
      <c r="N369" s="1170" t="e">
        <f>L369+M369</f>
        <v>#REF!</v>
      </c>
      <c r="O369" s="1177" t="e">
        <f>ROUND(N369/I369*10,2)</f>
        <v>#REF!</v>
      </c>
    </row>
    <row r="370" spans="1:15" ht="16.5" x14ac:dyDescent="0.2">
      <c r="A370" s="1197" t="s">
        <v>535</v>
      </c>
      <c r="B370" s="1163"/>
      <c r="C370" s="1163"/>
      <c r="D370" s="1163"/>
      <c r="E370" s="1163"/>
      <c r="F370" s="1163"/>
      <c r="G370" s="1163"/>
      <c r="H370" s="1163"/>
      <c r="I370" s="1176"/>
      <c r="J370" s="1176"/>
      <c r="K370" s="1176"/>
      <c r="L370" s="1176"/>
      <c r="M370" s="1176"/>
      <c r="N370" s="1176"/>
      <c r="O370" s="1176"/>
    </row>
    <row r="371" spans="1:15" ht="16.5" x14ac:dyDescent="0.2">
      <c r="A371" s="1197" t="s">
        <v>535</v>
      </c>
      <c r="B371" s="1159"/>
      <c r="C371" s="1160" t="s">
        <v>602</v>
      </c>
      <c r="D371" s="1160" t="s">
        <v>589</v>
      </c>
      <c r="E371" s="1168">
        <f>E373</f>
        <v>121</v>
      </c>
      <c r="F371" s="1168">
        <f>F373</f>
        <v>117</v>
      </c>
      <c r="G371" s="1160">
        <f>ROUND(F371*160,0)</f>
        <v>18720</v>
      </c>
      <c r="H371" s="1162" t="s">
        <v>591</v>
      </c>
      <c r="I371" s="1167">
        <f>ROUND(I373*80%,2)</f>
        <v>14.88</v>
      </c>
      <c r="J371" s="1167" t="e">
        <f>+#REF!</f>
        <v>#REF!</v>
      </c>
      <c r="K371" s="1167" t="e">
        <f>+#REF!</f>
        <v>#REF!</v>
      </c>
      <c r="L371" s="1167" t="e">
        <f>ROUND((G371*85%)*J371*12/10000000,2)</f>
        <v>#REF!</v>
      </c>
      <c r="M371" s="1167" t="e">
        <f>ROUND(I371*1000000*K371/10000000,2)</f>
        <v>#REF!</v>
      </c>
      <c r="N371" s="1167"/>
      <c r="O371" s="1192"/>
    </row>
    <row r="372" spans="1:15" ht="16.5" x14ac:dyDescent="0.2">
      <c r="A372" s="1197" t="s">
        <v>535</v>
      </c>
      <c r="B372" s="1159"/>
      <c r="C372" s="1160"/>
      <c r="D372" s="1160"/>
      <c r="E372" s="1168"/>
      <c r="F372" s="1168"/>
      <c r="G372" s="1160"/>
      <c r="H372" s="1162" t="s">
        <v>590</v>
      </c>
      <c r="I372" s="1167">
        <f>I373-I371</f>
        <v>3.7200000000000006</v>
      </c>
      <c r="J372" s="1167"/>
      <c r="K372" s="1167" t="e">
        <f>+#REF!</f>
        <v>#REF!</v>
      </c>
      <c r="L372" s="1167"/>
      <c r="M372" s="1167" t="e">
        <f>ROUND(I372*1000000*K372/10000000,2)</f>
        <v>#REF!</v>
      </c>
      <c r="N372" s="1167"/>
      <c r="O372" s="1192"/>
    </row>
    <row r="373" spans="1:15" ht="16.5" x14ac:dyDescent="0.2">
      <c r="A373" s="1197" t="s">
        <v>535</v>
      </c>
      <c r="B373" s="1164"/>
      <c r="C373" s="1165"/>
      <c r="D373" s="1166" t="s">
        <v>486</v>
      </c>
      <c r="E373" s="1169">
        <f>E374-E369</f>
        <v>121</v>
      </c>
      <c r="F373" s="1169">
        <f>F374-F369</f>
        <v>117</v>
      </c>
      <c r="G373" s="1169">
        <f>SUM(G371:G372)</f>
        <v>18720</v>
      </c>
      <c r="H373" s="1165"/>
      <c r="I373" s="1170">
        <f>I374-I369</f>
        <v>18.600000000000001</v>
      </c>
      <c r="J373" s="1170"/>
      <c r="K373" s="1170"/>
      <c r="L373" s="1170" t="e">
        <f>SUM(L371:L372)</f>
        <v>#REF!</v>
      </c>
      <c r="M373" s="1170" t="e">
        <f>SUM(M371:M372)</f>
        <v>#REF!</v>
      </c>
      <c r="N373" s="1170" t="e">
        <f>L373+M373</f>
        <v>#REF!</v>
      </c>
      <c r="O373" s="1177" t="e">
        <f>ROUND(N373/I373*10,2)</f>
        <v>#REF!</v>
      </c>
    </row>
    <row r="374" spans="1:15" ht="16.5" x14ac:dyDescent="0.2">
      <c r="A374" s="1197" t="s">
        <v>535</v>
      </c>
      <c r="B374" s="1164">
        <v>12</v>
      </c>
      <c r="C374" s="1165" t="s">
        <v>600</v>
      </c>
      <c r="D374" s="1165"/>
      <c r="E374" s="1169">
        <f>Sales_FY24!$P$108</f>
        <v>407</v>
      </c>
      <c r="F374" s="1169">
        <f>Sales_FY24!$V$108</f>
        <v>392</v>
      </c>
      <c r="G374" s="1169">
        <f>G369+G373</f>
        <v>57220</v>
      </c>
      <c r="H374" s="1165"/>
      <c r="I374" s="1170">
        <f>Sales_FY24!$Q$108</f>
        <v>63.5</v>
      </c>
      <c r="J374" s="1170"/>
      <c r="K374" s="1170"/>
      <c r="L374" s="1170" t="e">
        <f>L369+L373</f>
        <v>#REF!</v>
      </c>
      <c r="M374" s="1170" t="e">
        <f>M369+M373</f>
        <v>#REF!</v>
      </c>
      <c r="N374" s="1170" t="e">
        <f>L374+M374</f>
        <v>#REF!</v>
      </c>
      <c r="O374" s="1177" t="e">
        <f>ROUND(N374/I374*10,2)</f>
        <v>#REF!</v>
      </c>
    </row>
    <row r="375" spans="1:15" ht="16.5" x14ac:dyDescent="0.2">
      <c r="A375" s="1197" t="s">
        <v>535</v>
      </c>
      <c r="B375" s="1163"/>
      <c r="C375" s="1163"/>
      <c r="D375" s="1163"/>
      <c r="E375" s="1163"/>
      <c r="F375" s="1163"/>
      <c r="G375" s="1163"/>
      <c r="H375" s="1163"/>
      <c r="I375" s="1176"/>
      <c r="J375" s="1176"/>
      <c r="K375" s="1176"/>
      <c r="L375" s="1176"/>
      <c r="M375" s="1176"/>
      <c r="N375" s="1176"/>
      <c r="O375" s="1176"/>
    </row>
    <row r="376" spans="1:15" ht="16.5" x14ac:dyDescent="0.2">
      <c r="A376" s="1197" t="s">
        <v>535</v>
      </c>
      <c r="B376" s="1159"/>
      <c r="C376" s="1160" t="s">
        <v>612</v>
      </c>
      <c r="D376" s="1160" t="s">
        <v>604</v>
      </c>
      <c r="E376" s="1168">
        <f>ROUND(E380*97.93103%,0)</f>
        <v>152</v>
      </c>
      <c r="F376" s="1168">
        <f>ROUND(F380*97.33333%,0)</f>
        <v>146</v>
      </c>
      <c r="G376" s="1160">
        <f>ROUND(F376*1190,0)</f>
        <v>173740</v>
      </c>
      <c r="H376" s="1162" t="s">
        <v>561</v>
      </c>
      <c r="I376" s="1167">
        <f>ROUND(I380*99.65045%,2)</f>
        <v>171.05</v>
      </c>
      <c r="J376" s="1167" t="e">
        <f>+#REF!</f>
        <v>#REF!</v>
      </c>
      <c r="K376" s="1167" t="e">
        <f>+#REF!</f>
        <v>#REF!</v>
      </c>
      <c r="L376" s="1167" t="e">
        <f>IF((ROUND(G376*J376*1/10000000,2))&gt;(ROUND(I376*1000000*K376/10000000,2)),(ROUND(G376*J376*1/10000000,2)),0)</f>
        <v>#REF!</v>
      </c>
      <c r="M376" s="1167" t="e">
        <f>IF((ROUND(I376*1000000*K376/10000000,2))&gt;(ROUND(G376*J376*1/10000000,2)),(ROUND(I376*1000000*K376/10000000,2)),0)</f>
        <v>#REF!</v>
      </c>
      <c r="N376" s="1167" t="e">
        <f>L376+M376</f>
        <v>#REF!</v>
      </c>
      <c r="O376" s="1192" t="e">
        <f>ROUND(N376/I376*10,2)</f>
        <v>#REF!</v>
      </c>
    </row>
    <row r="377" spans="1:15" ht="16.5" x14ac:dyDescent="0.2">
      <c r="A377" s="1197" t="s">
        <v>535</v>
      </c>
      <c r="B377" s="1159"/>
      <c r="C377" s="1160" t="s">
        <v>613</v>
      </c>
      <c r="D377" s="1160" t="s">
        <v>604</v>
      </c>
      <c r="E377" s="1168">
        <f>ROUND(E380*0%,0)</f>
        <v>0</v>
      </c>
      <c r="F377" s="1168">
        <f>ROUND(F380*0%,0)</f>
        <v>0</v>
      </c>
      <c r="G377" s="1160">
        <f>ROUND(F377*895,0)</f>
        <v>0</v>
      </c>
      <c r="H377" s="1162" t="s">
        <v>561</v>
      </c>
      <c r="I377" s="1167">
        <f>ROUND(I380*0%,2)</f>
        <v>0</v>
      </c>
      <c r="J377" s="1167" t="e">
        <f>+#REF!</f>
        <v>#REF!</v>
      </c>
      <c r="K377" s="1167" t="e">
        <f>+#REF!</f>
        <v>#REF!</v>
      </c>
      <c r="L377" s="1167" t="e">
        <f>ROUND(G377*J377*12/10000000,2)</f>
        <v>#REF!</v>
      </c>
      <c r="M377" s="1167" t="e">
        <f>ROUND(I377*1000000*K377/10000000,2)</f>
        <v>#REF!</v>
      </c>
      <c r="N377" s="1167" t="e">
        <f>L377+M377</f>
        <v>#REF!</v>
      </c>
      <c r="O377" s="1192"/>
    </row>
    <row r="378" spans="1:15" ht="16.5" x14ac:dyDescent="0.2">
      <c r="A378" s="1197" t="s">
        <v>535</v>
      </c>
      <c r="B378" s="1159"/>
      <c r="C378" s="1160" t="s">
        <v>614</v>
      </c>
      <c r="D378" s="1160" t="s">
        <v>604</v>
      </c>
      <c r="E378" s="1168">
        <f>ROUND(E380*0%,0)</f>
        <v>0</v>
      </c>
      <c r="F378" s="1168">
        <f>ROUND(F380*0%,0)</f>
        <v>0</v>
      </c>
      <c r="G378" s="1160">
        <f>ROUND(F378*0,0)</f>
        <v>0</v>
      </c>
      <c r="H378" s="1162" t="s">
        <v>561</v>
      </c>
      <c r="I378" s="1167">
        <f>ROUND(I380*0%,2)</f>
        <v>0</v>
      </c>
      <c r="J378" s="1167" t="e">
        <f>+#REF!</f>
        <v>#REF!</v>
      </c>
      <c r="K378" s="1167" t="e">
        <f>+#REF!</f>
        <v>#REF!</v>
      </c>
      <c r="L378" s="1167" t="e">
        <f>ROUND(G378*J378*12/10000000,2)</f>
        <v>#REF!</v>
      </c>
      <c r="M378" s="1167" t="e">
        <f>ROUND(I378*1000000*K378/10000000,2)</f>
        <v>#REF!</v>
      </c>
      <c r="N378" s="1167" t="e">
        <f>L378+M378</f>
        <v>#REF!</v>
      </c>
      <c r="O378" s="1192"/>
    </row>
    <row r="379" spans="1:15" ht="16.5" x14ac:dyDescent="0.2">
      <c r="A379" s="1197" t="s">
        <v>535</v>
      </c>
      <c r="B379" s="1159"/>
      <c r="C379" s="1160" t="s">
        <v>615</v>
      </c>
      <c r="D379" s="1160" t="s">
        <v>604</v>
      </c>
      <c r="E379" s="1168">
        <f>ROUND(E380*2.06896%,0)</f>
        <v>3</v>
      </c>
      <c r="F379" s="1168">
        <f>ROUND(F380*2.06896%,0)</f>
        <v>3</v>
      </c>
      <c r="G379" s="1160">
        <f>ROUND(F379*75,0)</f>
        <v>225</v>
      </c>
      <c r="H379" s="1162" t="s">
        <v>561</v>
      </c>
      <c r="I379" s="1167">
        <f>+I380-I376-I377-I378</f>
        <v>0.59999999999999432</v>
      </c>
      <c r="J379" s="1167" t="e">
        <f>+#REF!</f>
        <v>#REF!</v>
      </c>
      <c r="K379" s="1167" t="e">
        <f>+#REF!</f>
        <v>#REF!</v>
      </c>
      <c r="L379" s="1167" t="e">
        <f>IF((ROUND(G379*J379*1/10000000,2))&gt;(ROUND(I379*1000000*K379/10000000,2)),(ROUND(G379*J379*1/10000000,2)),0)</f>
        <v>#REF!</v>
      </c>
      <c r="M379" s="1167" t="e">
        <f>IF((ROUND(I379*1000000*K379/10000000,2))&gt;(ROUND(G379*J379*1/10000000,2)),(ROUND(I379*1000000*K379/10000000,2)),0)</f>
        <v>#REF!</v>
      </c>
      <c r="N379" s="1167" t="e">
        <f>L379+M379</f>
        <v>#REF!</v>
      </c>
      <c r="O379" s="1192" t="e">
        <f>ROUND(N379/I379*10,2)</f>
        <v>#REF!</v>
      </c>
    </row>
    <row r="380" spans="1:15" ht="16.5" x14ac:dyDescent="0.2">
      <c r="A380" s="1197" t="s">
        <v>535</v>
      </c>
      <c r="B380" s="1164">
        <v>13</v>
      </c>
      <c r="C380" s="1165" t="s">
        <v>603</v>
      </c>
      <c r="D380" s="1165"/>
      <c r="E380" s="1169">
        <f>Sales_FY24!$P$109</f>
        <v>155</v>
      </c>
      <c r="F380" s="1169">
        <f>Sales_FY24!$V$109</f>
        <v>150</v>
      </c>
      <c r="G380" s="1169">
        <f>SUM(G376:G379)</f>
        <v>173965</v>
      </c>
      <c r="H380" s="1165"/>
      <c r="I380" s="1170">
        <f>Sales_FY24!$Q$109</f>
        <v>171.65</v>
      </c>
      <c r="J380" s="1170"/>
      <c r="K380" s="1170"/>
      <c r="L380" s="1170" t="e">
        <f>SUM(L376:L379)</f>
        <v>#REF!</v>
      </c>
      <c r="M380" s="1170" t="e">
        <f>SUM(M376:M379)</f>
        <v>#REF!</v>
      </c>
      <c r="N380" s="1170" t="e">
        <f>L380+M380</f>
        <v>#REF!</v>
      </c>
      <c r="O380" s="1177" t="e">
        <f>ROUND(N380/I380*10,2)</f>
        <v>#REF!</v>
      </c>
    </row>
    <row r="381" spans="1:15" ht="16.5" x14ac:dyDescent="0.2">
      <c r="A381" s="1197" t="s">
        <v>535</v>
      </c>
      <c r="B381" s="1163"/>
      <c r="C381" s="1163"/>
      <c r="D381" s="1163"/>
      <c r="E381" s="1163"/>
      <c r="F381" s="1163"/>
      <c r="G381" s="1163"/>
      <c r="H381" s="1163"/>
      <c r="I381" s="1176"/>
      <c r="J381" s="1176"/>
      <c r="K381" s="1176"/>
      <c r="L381" s="1176"/>
      <c r="M381" s="1176"/>
      <c r="N381" s="1176"/>
      <c r="O381" s="1176"/>
    </row>
    <row r="382" spans="1:15" ht="16.5" x14ac:dyDescent="0.2">
      <c r="A382" s="1197" t="s">
        <v>535</v>
      </c>
      <c r="B382" s="1159">
        <v>14</v>
      </c>
      <c r="C382" s="1160" t="s">
        <v>312</v>
      </c>
      <c r="D382" s="1160" t="s">
        <v>589</v>
      </c>
      <c r="E382" s="1168">
        <f>Sales_FY24!$P$110</f>
        <v>81</v>
      </c>
      <c r="F382" s="1168">
        <f>Sales_FY24!$V$110</f>
        <v>72</v>
      </c>
      <c r="G382" s="1160">
        <f>ROUND(F382*112.5,0)</f>
        <v>8100</v>
      </c>
      <c r="H382" s="1162" t="s">
        <v>561</v>
      </c>
      <c r="I382" s="1167">
        <f>Sales_FY24!$Q$110</f>
        <v>4.32</v>
      </c>
      <c r="J382" s="1167" t="e">
        <f>+#REF!</f>
        <v>#REF!</v>
      </c>
      <c r="K382" s="1167" t="e">
        <f>+#REF!</f>
        <v>#REF!</v>
      </c>
      <c r="L382" s="1167" t="e">
        <f>ROUND((G382*85%)*J382*12/10000000,2)</f>
        <v>#REF!</v>
      </c>
      <c r="M382" s="1167" t="e">
        <f>ROUND(I382*1000000*K382/10000000,2)</f>
        <v>#REF!</v>
      </c>
      <c r="N382" s="1167" t="e">
        <f>L382+M382</f>
        <v>#REF!</v>
      </c>
      <c r="O382" s="1192" t="e">
        <f>ROUND(N382/I382*10,2)</f>
        <v>#REF!</v>
      </c>
    </row>
    <row r="383" spans="1:15" ht="16.5" x14ac:dyDescent="0.2">
      <c r="A383" s="1197" t="s">
        <v>535</v>
      </c>
      <c r="B383" s="1163"/>
      <c r="C383" s="1163"/>
      <c r="D383" s="1163"/>
      <c r="E383" s="1163"/>
      <c r="F383" s="1163"/>
      <c r="G383" s="1163"/>
      <c r="H383" s="1163"/>
      <c r="I383" s="1176"/>
      <c r="J383" s="1176"/>
      <c r="K383" s="1176"/>
      <c r="L383" s="1176"/>
      <c r="M383" s="1176"/>
      <c r="N383" s="1176"/>
      <c r="O383" s="1176"/>
    </row>
    <row r="384" spans="1:15" ht="16.5" x14ac:dyDescent="0.2">
      <c r="A384" s="1197" t="s">
        <v>535</v>
      </c>
      <c r="B384" s="1159">
        <v>15</v>
      </c>
      <c r="C384" s="1160" t="s">
        <v>313</v>
      </c>
      <c r="D384" s="1160" t="s">
        <v>589</v>
      </c>
      <c r="E384" s="1168">
        <f>Sales_FY24!$P$111</f>
        <v>79</v>
      </c>
      <c r="F384" s="1168">
        <f>Sales_FY24!$V$111</f>
        <v>79</v>
      </c>
      <c r="G384" s="1160">
        <f>ROUND(F384*482,0)</f>
        <v>38078</v>
      </c>
      <c r="H384" s="1162" t="s">
        <v>561</v>
      </c>
      <c r="I384" s="1167">
        <f>Sales_FY24!$Q$111</f>
        <v>7.73</v>
      </c>
      <c r="J384" s="1167" t="e">
        <f>+#REF!</f>
        <v>#REF!</v>
      </c>
      <c r="K384" s="1167" t="e">
        <f>+#REF!</f>
        <v>#REF!</v>
      </c>
      <c r="L384" s="1167" t="e">
        <f>ROUND((G384*100%)*J384*12/10000000,2)</f>
        <v>#REF!</v>
      </c>
      <c r="M384" s="1167" t="e">
        <f>ROUND(I384*1000000*K384/10000000,2)</f>
        <v>#REF!</v>
      </c>
      <c r="N384" s="1167" t="e">
        <f>L384+M384</f>
        <v>#REF!</v>
      </c>
      <c r="O384" s="1192" t="e">
        <f>ROUND(N384/I384*10,2)</f>
        <v>#REF!</v>
      </c>
    </row>
    <row r="385" spans="1:19" ht="16.5" x14ac:dyDescent="0.2">
      <c r="A385" s="1197" t="s">
        <v>535</v>
      </c>
      <c r="B385" s="1163"/>
      <c r="C385" s="1163"/>
      <c r="D385" s="1163"/>
      <c r="E385" s="1163"/>
      <c r="F385" s="1163"/>
      <c r="G385" s="1163"/>
      <c r="H385" s="1163"/>
      <c r="I385" s="1176"/>
      <c r="J385" s="1176"/>
      <c r="K385" s="1176"/>
      <c r="L385" s="1176"/>
      <c r="M385" s="1176"/>
      <c r="N385" s="1176"/>
      <c r="O385" s="1176"/>
    </row>
    <row r="386" spans="1:19" ht="16.5" x14ac:dyDescent="0.2">
      <c r="A386" s="1197" t="s">
        <v>535</v>
      </c>
      <c r="B386" s="1194"/>
      <c r="C386" s="1195" t="s">
        <v>605</v>
      </c>
      <c r="D386" s="1195"/>
      <c r="E386" s="1196">
        <f>E347+E356+E365+E374+E380+E382+E384</f>
        <v>3454</v>
      </c>
      <c r="F386" s="1196">
        <f>F347+F356+F365+F374+F380+F382+F384</f>
        <v>3322</v>
      </c>
      <c r="G386" s="1196">
        <f>G347+G356+G365+G374+G380+G382+G384</f>
        <v>1355695</v>
      </c>
      <c r="H386" s="1195"/>
      <c r="I386" s="1193">
        <f>I347+I356+I365+I374+I380+I382+I384</f>
        <v>1702.78</v>
      </c>
      <c r="J386" s="1193"/>
      <c r="K386" s="1193"/>
      <c r="L386" s="1193" t="e">
        <f>L347+L356+L365+L374+L380+L382+L384</f>
        <v>#REF!</v>
      </c>
      <c r="M386" s="1193" t="e">
        <f>M347+M356+M365+M374+M380+M382+M384</f>
        <v>#REF!</v>
      </c>
      <c r="N386" s="1193" t="e">
        <f>L386+M386</f>
        <v>#REF!</v>
      </c>
      <c r="O386" s="1193" t="e">
        <f>ROUND(N386/I386*10,2)</f>
        <v>#REF!</v>
      </c>
    </row>
    <row r="387" spans="1:19" ht="16.5" x14ac:dyDescent="0.2">
      <c r="A387" s="1197" t="s">
        <v>535</v>
      </c>
      <c r="B387" s="1163"/>
      <c r="C387" s="1163"/>
      <c r="D387" s="1163"/>
      <c r="E387" s="1163"/>
      <c r="F387" s="1163"/>
      <c r="G387" s="1163"/>
      <c r="H387" s="1163"/>
      <c r="I387" s="1176"/>
      <c r="J387" s="1176"/>
      <c r="K387" s="1176"/>
      <c r="L387" s="1176"/>
      <c r="M387" s="1176"/>
      <c r="N387" s="1176"/>
      <c r="O387" s="1176"/>
    </row>
    <row r="388" spans="1:19" ht="16.5" x14ac:dyDescent="0.2">
      <c r="A388" s="1197" t="s">
        <v>535</v>
      </c>
      <c r="B388" s="1194"/>
      <c r="C388" s="1195" t="s">
        <v>606</v>
      </c>
      <c r="D388" s="1195"/>
      <c r="E388" s="1196">
        <f>E345+E386</f>
        <v>3954666</v>
      </c>
      <c r="F388" s="1196">
        <f>F345+F386</f>
        <v>3915359</v>
      </c>
      <c r="G388" s="1196">
        <f>G345+G386</f>
        <v>7868016</v>
      </c>
      <c r="H388" s="1195"/>
      <c r="I388" s="1193">
        <f>I345+I386</f>
        <v>7153.7299999999987</v>
      </c>
      <c r="J388" s="1193"/>
      <c r="K388" s="1193"/>
      <c r="L388" s="1193" t="e">
        <f>L345+L386</f>
        <v>#REF!</v>
      </c>
      <c r="M388" s="1193" t="e">
        <f>M345+M386</f>
        <v>#REF!</v>
      </c>
      <c r="N388" s="1193" t="e">
        <f>L388+M388</f>
        <v>#REF!</v>
      </c>
      <c r="O388" s="1193" t="e">
        <f>ROUND(N388/I388*10,2)</f>
        <v>#REF!</v>
      </c>
    </row>
    <row r="389" spans="1:19" ht="16.5" x14ac:dyDescent="0.2">
      <c r="A389" s="1197" t="s">
        <v>535</v>
      </c>
      <c r="B389" s="1163"/>
      <c r="C389" s="1163"/>
      <c r="D389" s="1163"/>
      <c r="E389" s="1163"/>
      <c r="F389" s="1163"/>
      <c r="G389" s="1163"/>
      <c r="H389" s="1163"/>
      <c r="I389" s="1176"/>
      <c r="J389" s="1176"/>
      <c r="K389" s="1176"/>
      <c r="L389" s="1176"/>
      <c r="M389" s="1176"/>
      <c r="N389" s="1176"/>
      <c r="O389" s="1176"/>
    </row>
    <row r="390" spans="1:19" ht="16.5" x14ac:dyDescent="0.2">
      <c r="A390" s="1197" t="s">
        <v>535</v>
      </c>
      <c r="B390" s="1159">
        <v>16</v>
      </c>
      <c r="C390" s="1160"/>
      <c r="D390" s="1160"/>
      <c r="E390" s="1168"/>
      <c r="F390" s="1168"/>
      <c r="G390" s="1160"/>
      <c r="H390" s="1162"/>
      <c r="I390" s="1167"/>
      <c r="J390" s="1167"/>
      <c r="K390" s="1167"/>
      <c r="L390" s="1167"/>
      <c r="M390" s="1167"/>
      <c r="N390" s="1167"/>
      <c r="O390" s="1192"/>
    </row>
    <row r="391" spans="1:19" ht="16.5" x14ac:dyDescent="0.2">
      <c r="A391" s="1197" t="s">
        <v>535</v>
      </c>
      <c r="B391" s="1163"/>
      <c r="C391" s="1163"/>
      <c r="D391" s="1163"/>
      <c r="E391" s="1163"/>
      <c r="F391" s="1163"/>
      <c r="G391" s="1163"/>
      <c r="H391" s="1163"/>
      <c r="I391" s="1176"/>
      <c r="J391" s="1176"/>
      <c r="K391" s="1176"/>
      <c r="L391" s="1176"/>
      <c r="M391" s="1176"/>
      <c r="N391" s="1176"/>
      <c r="O391" s="1176"/>
    </row>
    <row r="392" spans="1:19" ht="16.5" x14ac:dyDescent="0.2">
      <c r="A392" s="1197" t="s">
        <v>535</v>
      </c>
      <c r="B392" s="1159">
        <v>17</v>
      </c>
      <c r="C392" s="1160"/>
      <c r="D392" s="1160"/>
      <c r="E392" s="1168"/>
      <c r="F392" s="1168"/>
      <c r="G392" s="1160"/>
      <c r="H392" s="1162"/>
      <c r="I392" s="1167"/>
      <c r="J392" s="1167"/>
      <c r="K392" s="1167"/>
      <c r="L392" s="1167"/>
      <c r="M392" s="1167"/>
      <c r="N392" s="1167"/>
      <c r="O392" s="1192"/>
    </row>
    <row r="393" spans="1:19" ht="16.5" x14ac:dyDescent="0.2">
      <c r="A393" s="1197" t="s">
        <v>535</v>
      </c>
      <c r="B393" s="1163"/>
      <c r="C393" s="1163"/>
      <c r="D393" s="1163"/>
      <c r="E393" s="1163"/>
      <c r="F393" s="1163"/>
      <c r="G393" s="1163"/>
      <c r="H393" s="1163"/>
      <c r="I393" s="1176"/>
      <c r="J393" s="1176"/>
      <c r="K393" s="1176"/>
      <c r="L393" s="1176"/>
      <c r="M393" s="1176"/>
      <c r="N393" s="1176"/>
      <c r="O393" s="1176"/>
    </row>
    <row r="394" spans="1:19" ht="16.5" x14ac:dyDescent="0.2">
      <c r="A394" s="1197" t="s">
        <v>535</v>
      </c>
      <c r="B394" s="1159">
        <v>18</v>
      </c>
      <c r="C394" s="1160"/>
      <c r="D394" s="1160" t="s">
        <v>305</v>
      </c>
      <c r="E394" s="1168"/>
      <c r="F394" s="1168"/>
      <c r="G394" s="1160"/>
      <c r="H394" s="1162"/>
      <c r="I394" s="1167"/>
      <c r="J394" s="1167"/>
      <c r="K394" s="1167"/>
      <c r="L394" s="1167">
        <v>0</v>
      </c>
      <c r="M394" s="1167">
        <f>ROUND((93.05+(93.05*13.18574%))+12.65+51.12,2)</f>
        <v>169.09</v>
      </c>
      <c r="N394" s="1167">
        <f>L394+M394</f>
        <v>169.09</v>
      </c>
      <c r="O394" s="1192"/>
    </row>
    <row r="395" spans="1:19" ht="16.5" x14ac:dyDescent="0.2">
      <c r="A395" s="1197" t="s">
        <v>535</v>
      </c>
      <c r="B395" s="1163"/>
      <c r="C395" s="1163"/>
      <c r="D395" s="1163"/>
      <c r="E395" s="1163"/>
      <c r="F395" s="1163"/>
      <c r="G395" s="1163"/>
      <c r="H395" s="1163"/>
      <c r="I395" s="1176"/>
      <c r="J395" s="1176"/>
      <c r="K395" s="1176"/>
      <c r="L395" s="1176"/>
      <c r="M395" s="1176"/>
      <c r="N395" s="1176"/>
      <c r="O395" s="1176"/>
    </row>
    <row r="396" spans="1:19" ht="16.5" x14ac:dyDescent="0.2">
      <c r="A396" s="1197" t="s">
        <v>535</v>
      </c>
      <c r="B396" s="1194"/>
      <c r="C396" s="1195" t="s">
        <v>607</v>
      </c>
      <c r="D396" s="1195"/>
      <c r="E396" s="1196">
        <f>E388+E394+E390+E392</f>
        <v>3954666</v>
      </c>
      <c r="F396" s="1196">
        <f>F388+F394+F390+F392</f>
        <v>3915359</v>
      </c>
      <c r="G396" s="1196">
        <f>G388+G394+G390+G392</f>
        <v>7868016</v>
      </c>
      <c r="H396" s="1195"/>
      <c r="I396" s="1193">
        <f>I388+I394+I390+I392</f>
        <v>7153.7299999999987</v>
      </c>
      <c r="J396" s="1193"/>
      <c r="K396" s="1193"/>
      <c r="L396" s="1193" t="e">
        <f>L388+L394+L390+L392</f>
        <v>#REF!</v>
      </c>
      <c r="M396" s="1193" t="e">
        <f>M388+M394+M390+M392</f>
        <v>#REF!</v>
      </c>
      <c r="N396" s="1193" t="e">
        <f>L396+M396</f>
        <v>#REF!</v>
      </c>
      <c r="O396" s="1193" t="e">
        <f>ROUND(N396/I396*10,2)</f>
        <v>#REF!</v>
      </c>
      <c r="R396" s="1224" t="e">
        <f>+#REF!</f>
        <v>#REF!</v>
      </c>
      <c r="S396" s="1224" t="e">
        <f>+N396-R396</f>
        <v>#REF!</v>
      </c>
    </row>
    <row r="398" spans="1:19" x14ac:dyDescent="0.15">
      <c r="L398" s="1224"/>
      <c r="M398" s="1224"/>
      <c r="N398" s="1224"/>
      <c r="O398" s="1224"/>
    </row>
    <row r="400" spans="1:19" x14ac:dyDescent="0.15">
      <c r="B400" s="1172" t="s">
        <v>609</v>
      </c>
      <c r="D400" s="1173" t="s">
        <v>608</v>
      </c>
    </row>
    <row r="401" spans="1:18" x14ac:dyDescent="0.15">
      <c r="B401" s="1187" t="s">
        <v>472</v>
      </c>
      <c r="C401" s="1187" t="s">
        <v>474</v>
      </c>
      <c r="D401" s="1188" t="s">
        <v>3</v>
      </c>
      <c r="E401" s="1187" t="s">
        <v>49</v>
      </c>
      <c r="F401" s="1187" t="s">
        <v>469</v>
      </c>
      <c r="G401" s="1187" t="s">
        <v>467</v>
      </c>
      <c r="H401" s="1188" t="s">
        <v>475</v>
      </c>
      <c r="I401" s="1188" t="s">
        <v>475</v>
      </c>
      <c r="J401" s="1187" t="s">
        <v>477</v>
      </c>
      <c r="K401" s="1187" t="s">
        <v>480</v>
      </c>
      <c r="L401" s="1189" t="s">
        <v>610</v>
      </c>
      <c r="M401" s="1189" t="s">
        <v>611</v>
      </c>
      <c r="N401" s="1189" t="s">
        <v>488</v>
      </c>
      <c r="O401" s="1189" t="s">
        <v>489</v>
      </c>
    </row>
    <row r="402" spans="1:18" x14ac:dyDescent="0.15">
      <c r="B402" s="1190" t="s">
        <v>473</v>
      </c>
      <c r="C402" s="1190" t="s">
        <v>31</v>
      </c>
      <c r="D402" s="1191"/>
      <c r="E402" s="1190" t="s">
        <v>33</v>
      </c>
      <c r="F402" s="1190" t="s">
        <v>33</v>
      </c>
      <c r="G402" s="1190" t="s">
        <v>468</v>
      </c>
      <c r="H402" s="1191" t="s">
        <v>487</v>
      </c>
      <c r="I402" s="1191" t="s">
        <v>476</v>
      </c>
      <c r="J402" s="1190" t="s">
        <v>479</v>
      </c>
      <c r="K402" s="1190" t="s">
        <v>478</v>
      </c>
      <c r="L402" s="1190" t="s">
        <v>481</v>
      </c>
      <c r="M402" s="1190" t="s">
        <v>481</v>
      </c>
      <c r="N402" s="1190" t="s">
        <v>481</v>
      </c>
      <c r="O402" s="1190" t="s">
        <v>478</v>
      </c>
    </row>
    <row r="403" spans="1:18" ht="16.5" x14ac:dyDescent="0.2">
      <c r="A403" s="1197" t="s">
        <v>537</v>
      </c>
      <c r="B403" s="1159"/>
      <c r="C403" s="1160" t="s">
        <v>38</v>
      </c>
      <c r="D403" s="1160" t="s">
        <v>482</v>
      </c>
      <c r="E403" s="1168">
        <f>Sales_FY24!$P$129</f>
        <v>688814</v>
      </c>
      <c r="F403" s="1168">
        <f>Sales_FY24!$V$129</f>
        <v>688814</v>
      </c>
      <c r="G403" s="1160">
        <f>ROUND(E403*0.05548,0)</f>
        <v>38215</v>
      </c>
      <c r="H403" s="1167"/>
      <c r="I403" s="1167">
        <f>Sales_FY24!$Q$129</f>
        <v>159.85</v>
      </c>
      <c r="J403" s="1167" t="e">
        <f>+#REF!</f>
        <v>#REF!</v>
      </c>
      <c r="K403" s="1167" t="e">
        <f>+#REF!</f>
        <v>#REF!</v>
      </c>
      <c r="L403" s="1167"/>
      <c r="M403" s="1167" t="e">
        <f>ROUND(I403*1000000*K403/10000000,2)</f>
        <v>#REF!</v>
      </c>
      <c r="N403" s="1175" t="e">
        <f>+L403+M403</f>
        <v>#REF!</v>
      </c>
      <c r="O403" s="1171" t="e">
        <f>ROUND(N403/I403*10,2)</f>
        <v>#REF!</v>
      </c>
    </row>
    <row r="404" spans="1:18" ht="16.5" x14ac:dyDescent="0.2">
      <c r="A404" s="1197" t="s">
        <v>537</v>
      </c>
      <c r="B404" s="1159"/>
      <c r="C404" s="1160" t="s">
        <v>38</v>
      </c>
      <c r="D404" s="1161" t="s">
        <v>483</v>
      </c>
      <c r="E404" s="1168">
        <f>Sales_FY24!$P$130</f>
        <v>69386</v>
      </c>
      <c r="F404" s="1168">
        <f>Sales_FY24!$V$130</f>
        <v>69386</v>
      </c>
      <c r="G404" s="1160">
        <f>ROUND(E404*0.10524,0)</f>
        <v>7302</v>
      </c>
      <c r="H404" s="1162" t="s">
        <v>426</v>
      </c>
      <c r="I404" s="1167">
        <f>ROUND(F404*50*12/1000000,2)</f>
        <v>41.63</v>
      </c>
      <c r="J404" s="1167">
        <v>100</v>
      </c>
      <c r="K404" s="1167">
        <f>+K415</f>
        <v>4.0999999999999996</v>
      </c>
      <c r="L404" s="1167">
        <f>ROUND((F404*J404*12)/10000000,2)</f>
        <v>8.33</v>
      </c>
      <c r="M404" s="1167">
        <f>ROUND(I404*1000000*K404/10000000,2)</f>
        <v>17.07</v>
      </c>
      <c r="N404" s="1167"/>
      <c r="O404" s="1167"/>
    </row>
    <row r="405" spans="1:18" ht="16.5" x14ac:dyDescent="0.2">
      <c r="A405" s="1197" t="s">
        <v>537</v>
      </c>
      <c r="B405" s="1159"/>
      <c r="C405" s="1160"/>
      <c r="D405" s="1161"/>
      <c r="E405" s="1160"/>
      <c r="F405" s="1160"/>
      <c r="G405" s="1160"/>
      <c r="H405" s="1162" t="s">
        <v>432</v>
      </c>
      <c r="I405" s="1167">
        <f>I406-I404</f>
        <v>28.740000000000002</v>
      </c>
      <c r="J405" s="1167"/>
      <c r="K405" s="1167">
        <f>+K416</f>
        <v>5.6</v>
      </c>
      <c r="L405" s="1167"/>
      <c r="M405" s="1167">
        <f>ROUND(I405*1000000*K405/10000000,2)</f>
        <v>16.09</v>
      </c>
      <c r="N405" s="1167"/>
      <c r="O405" s="1167"/>
    </row>
    <row r="406" spans="1:18" ht="16.5" x14ac:dyDescent="0.2">
      <c r="A406" s="1197" t="s">
        <v>537</v>
      </c>
      <c r="B406" s="1172"/>
      <c r="C406" s="1173"/>
      <c r="D406" s="1174" t="s">
        <v>486</v>
      </c>
      <c r="E406" s="1173">
        <f>SUM(E404:E405)</f>
        <v>69386</v>
      </c>
      <c r="F406" s="1173">
        <f>SUM(F404:F405)</f>
        <v>69386</v>
      </c>
      <c r="G406" s="1173">
        <f>SUM(G404:G405)</f>
        <v>7302</v>
      </c>
      <c r="H406" s="1173"/>
      <c r="I406" s="1175">
        <f>Sales_FY24!$Q$130</f>
        <v>70.37</v>
      </c>
      <c r="J406" s="1175"/>
      <c r="K406" s="1175"/>
      <c r="L406" s="1175">
        <f>SUM(L404:L405)</f>
        <v>8.33</v>
      </c>
      <c r="M406" s="1175">
        <f>SUM(M404:M405)</f>
        <v>33.159999999999997</v>
      </c>
      <c r="N406" s="1175">
        <f>+L406+M406</f>
        <v>41.489999999999995</v>
      </c>
      <c r="O406" s="1171">
        <f>ROUND(N406/I406*10,2)</f>
        <v>5.9</v>
      </c>
    </row>
    <row r="407" spans="1:18" ht="16.5" x14ac:dyDescent="0.2">
      <c r="A407" s="1197" t="s">
        <v>537</v>
      </c>
      <c r="B407" s="1164">
        <v>1</v>
      </c>
      <c r="C407" s="1165" t="s">
        <v>484</v>
      </c>
      <c r="D407" s="1165"/>
      <c r="E407" s="1169">
        <f>+E403+E406</f>
        <v>758200</v>
      </c>
      <c r="F407" s="1169">
        <f>+F403+F406</f>
        <v>758200</v>
      </c>
      <c r="G407" s="1169">
        <f>+G403+G406</f>
        <v>45517</v>
      </c>
      <c r="H407" s="1165"/>
      <c r="I407" s="1170">
        <f>+I403+I406</f>
        <v>230.22</v>
      </c>
      <c r="J407" s="1170"/>
      <c r="K407" s="1170"/>
      <c r="L407" s="1170">
        <f>+L403+L406</f>
        <v>8.33</v>
      </c>
      <c r="M407" s="1170" t="e">
        <f>+M403+M406</f>
        <v>#REF!</v>
      </c>
      <c r="N407" s="1170" t="e">
        <f>L407+M407</f>
        <v>#REF!</v>
      </c>
      <c r="O407" s="1170"/>
      <c r="R407" s="1224" t="e">
        <f>+N407-#REF!</f>
        <v>#REF!</v>
      </c>
    </row>
    <row r="408" spans="1:18" ht="16.5" x14ac:dyDescent="0.2">
      <c r="A408" s="1197" t="s">
        <v>537</v>
      </c>
      <c r="B408" s="1163"/>
      <c r="C408" s="1163"/>
      <c r="D408" s="1163"/>
      <c r="E408" s="1163"/>
      <c r="F408" s="1163"/>
      <c r="G408" s="1163"/>
      <c r="H408" s="1163"/>
      <c r="I408" s="1176"/>
      <c r="J408" s="1176"/>
      <c r="K408" s="1176"/>
      <c r="L408" s="1176"/>
      <c r="M408" s="1176"/>
      <c r="N408" s="1176"/>
      <c r="O408" s="1176"/>
    </row>
    <row r="409" spans="1:18" ht="16.5" x14ac:dyDescent="0.2">
      <c r="A409" s="1197" t="s">
        <v>537</v>
      </c>
      <c r="B409" s="1159"/>
      <c r="C409" s="1160" t="s">
        <v>485</v>
      </c>
      <c r="D409" s="1160" t="s">
        <v>43</v>
      </c>
      <c r="E409" s="1160">
        <f>ROUND(E413*67%,0)</f>
        <v>1098890</v>
      </c>
      <c r="F409" s="1160">
        <f>ROUND(F413*67%,0)</f>
        <v>1075078</v>
      </c>
      <c r="G409" s="1160">
        <f>ROUND(F409*0.9,0)</f>
        <v>967570</v>
      </c>
      <c r="H409" s="1162" t="s">
        <v>426</v>
      </c>
      <c r="I409" s="1167">
        <f>ROUND(I413*49%,2)</f>
        <v>560.95000000000005</v>
      </c>
      <c r="J409" s="1167" t="e">
        <f>+#REF!</f>
        <v>#REF!</v>
      </c>
      <c r="K409" s="1167" t="e">
        <f>+#REF!</f>
        <v>#REF!</v>
      </c>
      <c r="L409" s="1167" t="e">
        <f>ROUND((F409*J409*12)/10000000,2)</f>
        <v>#REF!</v>
      </c>
      <c r="M409" s="1167" t="e">
        <f>ROUND(I409*1000000*K409/10000000,2)</f>
        <v>#REF!</v>
      </c>
      <c r="N409" s="1167"/>
      <c r="O409" s="1171"/>
    </row>
    <row r="410" spans="1:18" ht="16.5" x14ac:dyDescent="0.2">
      <c r="A410" s="1197" t="s">
        <v>537</v>
      </c>
      <c r="B410" s="1159"/>
      <c r="C410" s="1160"/>
      <c r="D410" s="1160" t="s">
        <v>451</v>
      </c>
      <c r="E410" s="1160">
        <f>ROUND(E413*33%,0)</f>
        <v>541244</v>
      </c>
      <c r="F410" s="1160">
        <f>ROUND(F413*33%,0)</f>
        <v>529516</v>
      </c>
      <c r="G410" s="1160">
        <f>ROUND(F410*2.5,0)</f>
        <v>1323790</v>
      </c>
      <c r="H410" s="1162" t="s">
        <v>432</v>
      </c>
      <c r="I410" s="1167">
        <f>ROUND(I413*23%,2)</f>
        <v>263.3</v>
      </c>
      <c r="J410" s="1167" t="e">
        <f>+#REF!</f>
        <v>#REF!</v>
      </c>
      <c r="K410" s="1167" t="e">
        <f>+#REF!</f>
        <v>#REF!</v>
      </c>
      <c r="L410" s="1167" t="e">
        <f>ROUND(((F410*J409*12)+((G410-F410)*J410*12))/10000000,2)</f>
        <v>#REF!</v>
      </c>
      <c r="M410" s="1167" t="e">
        <f>ROUND(I410*1000000*K410/10000000,2)</f>
        <v>#REF!</v>
      </c>
      <c r="N410" s="1167"/>
      <c r="O410" s="1167"/>
    </row>
    <row r="411" spans="1:18" ht="16.5" x14ac:dyDescent="0.2">
      <c r="A411" s="1197" t="s">
        <v>537</v>
      </c>
      <c r="B411" s="1159"/>
      <c r="C411" s="1160"/>
      <c r="D411" s="1160" t="s">
        <v>444</v>
      </c>
      <c r="E411" s="1160">
        <f>+E413-E409-E410</f>
        <v>0</v>
      </c>
      <c r="F411" s="1160">
        <f>+F413-F409-F410</f>
        <v>0</v>
      </c>
      <c r="G411" s="1160">
        <f>ROUND(F411*0,0)</f>
        <v>0</v>
      </c>
      <c r="H411" s="1162" t="s">
        <v>380</v>
      </c>
      <c r="I411" s="1167">
        <f>ROUND(I413*10%,2)</f>
        <v>114.48</v>
      </c>
      <c r="J411" s="1167" t="e">
        <f>+#REF!</f>
        <v>#REF!</v>
      </c>
      <c r="K411" s="1167" t="e">
        <f>+#REF!</f>
        <v>#REF!</v>
      </c>
      <c r="L411" s="1167" t="e">
        <f>ROUND(((F411*J409*12)+(F411*49*12*J410)+((G411-(F411*50))*12*J411))/10000000,2)</f>
        <v>#REF!</v>
      </c>
      <c r="M411" s="1167" t="e">
        <f>ROUND(I411*1000000*K411/10000000,2)</f>
        <v>#REF!</v>
      </c>
      <c r="N411" s="1167"/>
      <c r="O411" s="1167"/>
    </row>
    <row r="412" spans="1:18" ht="16.5" x14ac:dyDescent="0.2">
      <c r="A412" s="1197" t="s">
        <v>537</v>
      </c>
      <c r="B412" s="1159"/>
      <c r="C412" s="1160"/>
      <c r="D412" s="1160"/>
      <c r="E412" s="1160"/>
      <c r="F412" s="1160"/>
      <c r="G412" s="1160"/>
      <c r="H412" s="1162" t="s">
        <v>411</v>
      </c>
      <c r="I412" s="1167">
        <f>+I413-I409-I410-I411</f>
        <v>206.06999999999988</v>
      </c>
      <c r="J412" s="1167"/>
      <c r="K412" s="1167" t="e">
        <f>+#REF!</f>
        <v>#REF!</v>
      </c>
      <c r="L412" s="1167"/>
      <c r="M412" s="1167" t="e">
        <f>ROUND(I412*1000000*K412/10000000,2)</f>
        <v>#REF!</v>
      </c>
      <c r="N412" s="1167"/>
      <c r="O412" s="1167"/>
    </row>
    <row r="413" spans="1:18" ht="16.5" x14ac:dyDescent="0.2">
      <c r="A413" s="1197" t="s">
        <v>537</v>
      </c>
      <c r="B413" s="1164"/>
      <c r="C413" s="1165"/>
      <c r="D413" s="1166" t="s">
        <v>486</v>
      </c>
      <c r="E413" s="1165">
        <f>ROUND(E420*49%,0)</f>
        <v>1640134</v>
      </c>
      <c r="F413" s="1165">
        <f>ROUND(F420*49%,0)</f>
        <v>1604594</v>
      </c>
      <c r="G413" s="1165">
        <f>SUM(G409:G412)</f>
        <v>2291360</v>
      </c>
      <c r="H413" s="1165"/>
      <c r="I413" s="1170">
        <f>ROUND(I420*65.45%,2)</f>
        <v>1144.8</v>
      </c>
      <c r="J413" s="1170"/>
      <c r="K413" s="1170"/>
      <c r="L413" s="1170" t="e">
        <f>SUM(L409:L412)</f>
        <v>#REF!</v>
      </c>
      <c r="M413" s="1170" t="e">
        <f>SUM(M409:M412)</f>
        <v>#REF!</v>
      </c>
      <c r="N413" s="1170" t="e">
        <f>L413+M413</f>
        <v>#REF!</v>
      </c>
      <c r="O413" s="1177" t="e">
        <f>ROUND(N413/I413*10,2)</f>
        <v>#REF!</v>
      </c>
      <c r="R413" s="1224" t="e">
        <f>+N413-#REF!</f>
        <v>#REF!</v>
      </c>
    </row>
    <row r="414" spans="1:18" ht="16.5" x14ac:dyDescent="0.2">
      <c r="A414" s="1197" t="s">
        <v>537</v>
      </c>
      <c r="B414" s="1163"/>
      <c r="C414" s="1163"/>
      <c r="D414" s="1163"/>
      <c r="E414" s="1163"/>
      <c r="F414" s="1163"/>
      <c r="G414" s="1163"/>
      <c r="H414" s="1163"/>
      <c r="I414" s="1176"/>
      <c r="J414" s="1176"/>
      <c r="K414" s="1176"/>
      <c r="L414" s="1176"/>
      <c r="M414" s="1176"/>
      <c r="N414" s="1176"/>
      <c r="O414" s="1176"/>
    </row>
    <row r="415" spans="1:18" ht="16.5" x14ac:dyDescent="0.2">
      <c r="A415" s="1197" t="s">
        <v>537</v>
      </c>
      <c r="B415" s="1159"/>
      <c r="C415" s="1160" t="s">
        <v>555</v>
      </c>
      <c r="D415" s="1160" t="s">
        <v>43</v>
      </c>
      <c r="E415" s="1160">
        <f>ROUND(E419*75%,0)</f>
        <v>1280309</v>
      </c>
      <c r="F415" s="1160">
        <f>ROUND(F419*75%,0)</f>
        <v>1252566</v>
      </c>
      <c r="G415" s="1160">
        <f>ROUND(F415*0.7,0)</f>
        <v>876796</v>
      </c>
      <c r="H415" s="1162" t="s">
        <v>426</v>
      </c>
      <c r="I415" s="1167">
        <f>ROUND(I419*77%,2)</f>
        <v>465.33</v>
      </c>
      <c r="J415" s="1167">
        <v>100</v>
      </c>
      <c r="K415" s="1167">
        <v>4.0999999999999996</v>
      </c>
      <c r="L415" s="1167">
        <f>ROUND((F415*J415*12)/10000000,2)</f>
        <v>150.31</v>
      </c>
      <c r="M415" s="1167">
        <f>ROUND(I415*1000000*K415/10000000,2)</f>
        <v>190.79</v>
      </c>
      <c r="N415" s="1167"/>
      <c r="O415" s="1167"/>
    </row>
    <row r="416" spans="1:18" ht="16.5" x14ac:dyDescent="0.2">
      <c r="A416" s="1197" t="s">
        <v>537</v>
      </c>
      <c r="B416" s="1159"/>
      <c r="C416" s="1160"/>
      <c r="D416" s="1160" t="s">
        <v>451</v>
      </c>
      <c r="E416" s="1160">
        <f>ROUND(E419*25%,0)-1</f>
        <v>426769</v>
      </c>
      <c r="F416" s="1160">
        <f>ROUND(F419*25%,0)</f>
        <v>417522</v>
      </c>
      <c r="G416" s="1160">
        <f>ROUND(F416*2.75,0)</f>
        <v>1148186</v>
      </c>
      <c r="H416" s="1162" t="s">
        <v>432</v>
      </c>
      <c r="I416" s="1167">
        <f>ROUND(I419*13%,2)</f>
        <v>78.56</v>
      </c>
      <c r="J416" s="1167">
        <v>110</v>
      </c>
      <c r="K416" s="1167">
        <v>5.6</v>
      </c>
      <c r="L416" s="1167">
        <f>ROUND(((F416*J415*12)+((G416-F416)*J416*12))/10000000,2)</f>
        <v>146.55000000000001</v>
      </c>
      <c r="M416" s="1167">
        <f>ROUND(I416*1000000*K416/10000000,2)</f>
        <v>43.99</v>
      </c>
      <c r="N416" s="1167"/>
      <c r="O416" s="1167"/>
    </row>
    <row r="417" spans="1:18" ht="16.5" x14ac:dyDescent="0.2">
      <c r="A417" s="1197" t="s">
        <v>537</v>
      </c>
      <c r="B417" s="1159"/>
      <c r="C417" s="1160"/>
      <c r="D417" s="1160" t="s">
        <v>444</v>
      </c>
      <c r="E417" s="1160">
        <f>+E419-E415-E416</f>
        <v>0</v>
      </c>
      <c r="F417" s="1160">
        <f>+F419-F415-F416</f>
        <v>0</v>
      </c>
      <c r="G417" s="1160">
        <f>ROUND(F417*0,0)</f>
        <v>0</v>
      </c>
      <c r="H417" s="1162" t="s">
        <v>380</v>
      </c>
      <c r="I417" s="1167">
        <f>ROUND(I419*4%,2)</f>
        <v>24.17</v>
      </c>
      <c r="J417" s="1167">
        <v>175</v>
      </c>
      <c r="K417" s="1167">
        <v>7.15</v>
      </c>
      <c r="L417" s="1167">
        <f>ROUND(((F417*J415*12)+(F417*49*12*J416)+((G417-(F417*50))*12*J417))/10000000,2)</f>
        <v>0</v>
      </c>
      <c r="M417" s="1167">
        <f>ROUND(I417*1000000*K417/10000000,2)</f>
        <v>17.28</v>
      </c>
      <c r="N417" s="1167"/>
      <c r="O417" s="1167"/>
    </row>
    <row r="418" spans="1:18" ht="16.5" x14ac:dyDescent="0.2">
      <c r="A418" s="1197" t="s">
        <v>537</v>
      </c>
      <c r="B418" s="1159"/>
      <c r="C418" s="1160"/>
      <c r="D418" s="1160"/>
      <c r="E418" s="1160"/>
      <c r="F418" s="1160"/>
      <c r="G418" s="1160"/>
      <c r="H418" s="1162" t="s">
        <v>411</v>
      </c>
      <c r="I418" s="1167">
        <f>+I419-I415-I416-I417</f>
        <v>36.259999999999948</v>
      </c>
      <c r="J418" s="1167"/>
      <c r="K418" s="1167">
        <v>8.1999999999999993</v>
      </c>
      <c r="L418" s="1167"/>
      <c r="M418" s="1167">
        <f>ROUND(I418*1000000*K418/10000000,2)</f>
        <v>29.73</v>
      </c>
      <c r="N418" s="1167"/>
      <c r="O418" s="1167"/>
    </row>
    <row r="419" spans="1:18" ht="16.5" x14ac:dyDescent="0.2">
      <c r="A419" s="1197" t="s">
        <v>537</v>
      </c>
      <c r="B419" s="1164"/>
      <c r="C419" s="1165"/>
      <c r="D419" s="1166" t="s">
        <v>486</v>
      </c>
      <c r="E419" s="1169">
        <f>E420-E413</f>
        <v>1707078</v>
      </c>
      <c r="F419" s="1169">
        <f>F420-F413</f>
        <v>1670088</v>
      </c>
      <c r="G419" s="1165">
        <f>SUM(G415:G418)</f>
        <v>2024982</v>
      </c>
      <c r="H419" s="1165"/>
      <c r="I419" s="1170">
        <f>I420-I413</f>
        <v>604.31999999999994</v>
      </c>
      <c r="J419" s="1170"/>
      <c r="K419" s="1170"/>
      <c r="L419" s="1170">
        <f>SUM(L415:L418)</f>
        <v>296.86</v>
      </c>
      <c r="M419" s="1170">
        <f>SUM(M415:M418)</f>
        <v>281.79000000000002</v>
      </c>
      <c r="N419" s="1170">
        <f>L419+M419</f>
        <v>578.65000000000009</v>
      </c>
      <c r="O419" s="1177">
        <f>ROUND(N419/I419*10,2)</f>
        <v>9.58</v>
      </c>
      <c r="R419" s="1224" t="e">
        <f>+N419-#REF!</f>
        <v>#REF!</v>
      </c>
    </row>
    <row r="420" spans="1:18" ht="16.5" x14ac:dyDescent="0.2">
      <c r="A420" s="1197" t="s">
        <v>537</v>
      </c>
      <c r="B420" s="1164">
        <v>2</v>
      </c>
      <c r="C420" s="1165" t="s">
        <v>490</v>
      </c>
      <c r="D420" s="1165"/>
      <c r="E420" s="1169">
        <f>Sales_FY24!$P$131</f>
        <v>3347212</v>
      </c>
      <c r="F420" s="1169">
        <f>Sales_FY24!$V$131</f>
        <v>3274682</v>
      </c>
      <c r="G420" s="1169">
        <f>G413+G419</f>
        <v>4316342</v>
      </c>
      <c r="H420" s="1165"/>
      <c r="I420" s="1170">
        <f>Sales_FY24!$Q$131</f>
        <v>1749.12</v>
      </c>
      <c r="J420" s="1170"/>
      <c r="K420" s="1170"/>
      <c r="L420" s="1170" t="e">
        <f>L413+L419</f>
        <v>#REF!</v>
      </c>
      <c r="M420" s="1170" t="e">
        <f>M413+M419</f>
        <v>#REF!</v>
      </c>
      <c r="N420" s="1170" t="e">
        <f>L420+M420</f>
        <v>#REF!</v>
      </c>
      <c r="O420" s="1177" t="e">
        <f>ROUND(N420/I420*10,2)</f>
        <v>#REF!</v>
      </c>
      <c r="R420" s="1224"/>
    </row>
    <row r="421" spans="1:18" ht="16.5" x14ac:dyDescent="0.2">
      <c r="A421" s="1197" t="s">
        <v>537</v>
      </c>
      <c r="B421" s="1163"/>
      <c r="C421" s="1163"/>
      <c r="D421" s="1163"/>
      <c r="E421" s="1163"/>
      <c r="F421" s="1163"/>
      <c r="G421" s="1163"/>
      <c r="H421" s="1163"/>
      <c r="I421" s="1176"/>
      <c r="J421" s="1176"/>
      <c r="K421" s="1176"/>
      <c r="L421" s="1176"/>
      <c r="M421" s="1176"/>
      <c r="N421" s="1176"/>
      <c r="O421" s="1176"/>
    </row>
    <row r="422" spans="1:18" ht="16.5" x14ac:dyDescent="0.2">
      <c r="A422" s="1197" t="s">
        <v>537</v>
      </c>
      <c r="B422" s="1159"/>
      <c r="C422" s="1160" t="s">
        <v>491</v>
      </c>
      <c r="D422" s="1160" t="s">
        <v>492</v>
      </c>
      <c r="E422" s="1160">
        <f>ROUND(E425*63%,0)</f>
        <v>3393</v>
      </c>
      <c r="F422" s="1160">
        <f>ROUND(F425*63%,0)</f>
        <v>3345</v>
      </c>
      <c r="G422" s="1160">
        <f>ROUND(F422*3.5,0)</f>
        <v>11708</v>
      </c>
      <c r="H422" s="1162" t="s">
        <v>493</v>
      </c>
      <c r="I422" s="1167">
        <f>ROUND(I425*42%,2)</f>
        <v>8</v>
      </c>
      <c r="J422" s="1167" t="e">
        <f>+#REF!</f>
        <v>#REF!</v>
      </c>
      <c r="K422" s="1167" t="e">
        <f>+#REF!</f>
        <v>#REF!</v>
      </c>
      <c r="L422" s="1167" t="e">
        <f>ROUND(G422*J422*12/10000000,2)</f>
        <v>#REF!</v>
      </c>
      <c r="M422" s="1167" t="e">
        <f>ROUND(I422*1000000*K422/10000000,2)</f>
        <v>#REF!</v>
      </c>
      <c r="N422" s="1167"/>
      <c r="O422" s="1167"/>
    </row>
    <row r="423" spans="1:18" ht="16.5" x14ac:dyDescent="0.2">
      <c r="A423" s="1197" t="s">
        <v>537</v>
      </c>
      <c r="B423" s="1159"/>
      <c r="C423" s="1160"/>
      <c r="D423" s="1160" t="s">
        <v>444</v>
      </c>
      <c r="E423" s="1160">
        <f>E425-E422</f>
        <v>1993</v>
      </c>
      <c r="F423" s="1160">
        <f>F425-F422</f>
        <v>1965</v>
      </c>
      <c r="G423" s="1160">
        <f>ROUND(F423*55,0)</f>
        <v>108075</v>
      </c>
      <c r="H423" s="1162" t="s">
        <v>411</v>
      </c>
      <c r="I423" s="1167">
        <f>I425-I422</f>
        <v>11.04</v>
      </c>
      <c r="J423" s="1167" t="e">
        <f>+#REF!</f>
        <v>#REF!</v>
      </c>
      <c r="K423" s="1167" t="e">
        <f>+#REF!</f>
        <v>#REF!</v>
      </c>
      <c r="L423" s="1167" t="e">
        <f>ROUND(((F423*J422*50*12)+((G423-(F423*50))*J423*12))/10000000,2)</f>
        <v>#REF!</v>
      </c>
      <c r="M423" s="1167" t="e">
        <f>ROUND(I423*1000000*K423/10000000,2)</f>
        <v>#REF!</v>
      </c>
      <c r="N423" s="1167"/>
      <c r="O423" s="1167"/>
    </row>
    <row r="424" spans="1:18" ht="16.5" x14ac:dyDescent="0.2">
      <c r="A424" s="1197" t="s">
        <v>537</v>
      </c>
      <c r="B424" s="1159"/>
      <c r="C424" s="1160"/>
      <c r="D424" s="1160" t="s">
        <v>556</v>
      </c>
      <c r="E424" s="1160"/>
      <c r="F424" s="1160"/>
      <c r="G424" s="1160"/>
      <c r="H424" s="1162"/>
      <c r="I424" s="1167"/>
      <c r="J424" s="1186" t="e">
        <f>+#REF!</f>
        <v>#REF!</v>
      </c>
      <c r="K424" s="1167"/>
      <c r="L424" s="1167"/>
      <c r="M424" s="1167"/>
      <c r="N424" s="1167"/>
      <c r="O424" s="1167"/>
    </row>
    <row r="425" spans="1:18" ht="16.5" x14ac:dyDescent="0.2">
      <c r="A425" s="1197" t="s">
        <v>537</v>
      </c>
      <c r="B425" s="1164"/>
      <c r="C425" s="1165"/>
      <c r="D425" s="1166" t="s">
        <v>486</v>
      </c>
      <c r="E425" s="1165">
        <f>ROUND(E431*66.36%,0)</f>
        <v>5386</v>
      </c>
      <c r="F425" s="1165">
        <f>ROUND(F431*66.36%,0)</f>
        <v>5310</v>
      </c>
      <c r="G425" s="1165">
        <f>SUM(G422:G423)</f>
        <v>119783</v>
      </c>
      <c r="H425" s="1165"/>
      <c r="I425" s="1170">
        <f>ROUND(I431*77%,2)</f>
        <v>19.04</v>
      </c>
      <c r="J425" s="1170"/>
      <c r="K425" s="1170"/>
      <c r="L425" s="1170" t="e">
        <f>SUM(L422:L423)</f>
        <v>#REF!</v>
      </c>
      <c r="M425" s="1170" t="e">
        <f>SUM(M422:M423)</f>
        <v>#REF!</v>
      </c>
      <c r="N425" s="1170" t="e">
        <f>L425+M425</f>
        <v>#REF!</v>
      </c>
      <c r="O425" s="1177" t="e">
        <f>ROUND(N425/I425*10,2)</f>
        <v>#REF!</v>
      </c>
      <c r="R425" s="1224" t="e">
        <f>+N425-#REF!</f>
        <v>#REF!</v>
      </c>
    </row>
    <row r="426" spans="1:18" ht="16.5" x14ac:dyDescent="0.2">
      <c r="A426" s="1197" t="s">
        <v>537</v>
      </c>
      <c r="B426" s="1163"/>
      <c r="C426" s="1163"/>
      <c r="D426" s="1163"/>
      <c r="E426" s="1163"/>
      <c r="F426" s="1163"/>
      <c r="G426" s="1163"/>
      <c r="H426" s="1163"/>
      <c r="I426" s="1176"/>
      <c r="J426" s="1176"/>
      <c r="K426" s="1176"/>
      <c r="L426" s="1176"/>
      <c r="M426" s="1176"/>
      <c r="N426" s="1176"/>
      <c r="O426" s="1176"/>
    </row>
    <row r="427" spans="1:18" ht="16.5" x14ac:dyDescent="0.2">
      <c r="A427" s="1197" t="s">
        <v>537</v>
      </c>
      <c r="B427" s="1159"/>
      <c r="C427" s="1160" t="s">
        <v>554</v>
      </c>
      <c r="D427" s="1160" t="s">
        <v>492</v>
      </c>
      <c r="E427" s="1160">
        <f>ROUND(E430*68%,0)</f>
        <v>1856</v>
      </c>
      <c r="F427" s="1160">
        <f>ROUND(F430*68%,0)</f>
        <v>1831</v>
      </c>
      <c r="G427" s="1160">
        <f>ROUND(F427*2,0)</f>
        <v>3662</v>
      </c>
      <c r="H427" s="1162" t="s">
        <v>493</v>
      </c>
      <c r="I427" s="1167">
        <f>ROUND(I430*33.08%,2)</f>
        <v>1.88</v>
      </c>
      <c r="J427" s="1167">
        <v>120</v>
      </c>
      <c r="K427" s="1167">
        <v>7.3</v>
      </c>
      <c r="L427" s="1167">
        <f>ROUND(G427*J427*12/10000000,2)</f>
        <v>0.53</v>
      </c>
      <c r="M427" s="1167">
        <f>ROUND(I427*1000000*K427/10000000,2)</f>
        <v>1.37</v>
      </c>
      <c r="N427" s="1167"/>
      <c r="O427" s="1167"/>
    </row>
    <row r="428" spans="1:18" ht="16.5" x14ac:dyDescent="0.2">
      <c r="A428" s="1197" t="s">
        <v>537</v>
      </c>
      <c r="B428" s="1159"/>
      <c r="C428" s="1160"/>
      <c r="D428" s="1160" t="s">
        <v>444</v>
      </c>
      <c r="E428" s="1160">
        <f>E430-E427</f>
        <v>874</v>
      </c>
      <c r="F428" s="1160">
        <f>F430-F427</f>
        <v>861</v>
      </c>
      <c r="G428" s="1160">
        <f>ROUND(F428*52,0)</f>
        <v>44772</v>
      </c>
      <c r="H428" s="1162" t="s">
        <v>411</v>
      </c>
      <c r="I428" s="1167">
        <f>I430-I427</f>
        <v>3.8100000000000014</v>
      </c>
      <c r="J428" s="1167">
        <v>175</v>
      </c>
      <c r="K428" s="1167">
        <v>8.5500000000000007</v>
      </c>
      <c r="L428" s="1167">
        <f>ROUND(((F428*J427*50*12)+((G428-(F428*50))*J428*12))/10000000,2)</f>
        <v>6.56</v>
      </c>
      <c r="M428" s="1167">
        <f>ROUND(I428*1000000*K428/10000000,2)</f>
        <v>3.26</v>
      </c>
      <c r="N428" s="1167"/>
      <c r="O428" s="1167"/>
    </row>
    <row r="429" spans="1:18" ht="16.5" x14ac:dyDescent="0.2">
      <c r="A429" s="1197" t="s">
        <v>537</v>
      </c>
      <c r="B429" s="1159"/>
      <c r="C429" s="1160"/>
      <c r="D429" s="1160" t="s">
        <v>556</v>
      </c>
      <c r="E429" s="1160"/>
      <c r="F429" s="1160"/>
      <c r="G429" s="1160"/>
      <c r="H429" s="1162"/>
      <c r="I429" s="1167"/>
      <c r="J429" s="1186">
        <v>150</v>
      </c>
      <c r="K429" s="1167"/>
      <c r="L429" s="1167"/>
      <c r="M429" s="1167"/>
      <c r="N429" s="1167"/>
      <c r="O429" s="1167"/>
    </row>
    <row r="430" spans="1:18" ht="16.5" x14ac:dyDescent="0.2">
      <c r="A430" s="1197" t="s">
        <v>537</v>
      </c>
      <c r="B430" s="1164"/>
      <c r="C430" s="1165"/>
      <c r="D430" s="1166" t="s">
        <v>486</v>
      </c>
      <c r="E430" s="1169">
        <f>E431-E425</f>
        <v>2730</v>
      </c>
      <c r="F430" s="1169">
        <f>F431-F425</f>
        <v>2692</v>
      </c>
      <c r="G430" s="1165">
        <f>SUM(G427:G428)</f>
        <v>48434</v>
      </c>
      <c r="H430" s="1165"/>
      <c r="I430" s="1170">
        <f>I431-I425</f>
        <v>5.6900000000000013</v>
      </c>
      <c r="J430" s="1170"/>
      <c r="K430" s="1170"/>
      <c r="L430" s="1170">
        <f>SUM(L427:L428)</f>
        <v>7.09</v>
      </c>
      <c r="M430" s="1170">
        <f>SUM(M427:M428)</f>
        <v>4.63</v>
      </c>
      <c r="N430" s="1170">
        <f>L430+M430</f>
        <v>11.719999999999999</v>
      </c>
      <c r="O430" s="1177">
        <f>ROUND(N430/I430*10,2)</f>
        <v>20.6</v>
      </c>
      <c r="R430" s="1224" t="e">
        <f>+N430-#REF!</f>
        <v>#REF!</v>
      </c>
    </row>
    <row r="431" spans="1:18" ht="16.5" x14ac:dyDescent="0.2">
      <c r="A431" s="1197" t="s">
        <v>537</v>
      </c>
      <c r="B431" s="1164">
        <v>3</v>
      </c>
      <c r="C431" s="1165" t="s">
        <v>553</v>
      </c>
      <c r="D431" s="1165"/>
      <c r="E431" s="1169">
        <f>Sales_FY24!$P$132</f>
        <v>8116</v>
      </c>
      <c r="F431" s="1169">
        <f>Sales_FY24!$V$132</f>
        <v>8002</v>
      </c>
      <c r="G431" s="1169">
        <f>G422+G430</f>
        <v>60142</v>
      </c>
      <c r="H431" s="1165"/>
      <c r="I431" s="1170">
        <f>Sales_FY24!$Q$132</f>
        <v>24.73</v>
      </c>
      <c r="J431" s="1170"/>
      <c r="K431" s="1170"/>
      <c r="L431" s="1170" t="e">
        <f>L425+L430</f>
        <v>#REF!</v>
      </c>
      <c r="M431" s="1170" t="e">
        <f>M425+M430</f>
        <v>#REF!</v>
      </c>
      <c r="N431" s="1170" t="e">
        <f>L431+M431</f>
        <v>#REF!</v>
      </c>
      <c r="O431" s="1177" t="e">
        <f>ROUND(N431/I431*10,2)</f>
        <v>#REF!</v>
      </c>
    </row>
    <row r="432" spans="1:18" ht="16.5" x14ac:dyDescent="0.2">
      <c r="A432" s="1197" t="s">
        <v>537</v>
      </c>
      <c r="B432" s="1163"/>
      <c r="C432" s="1163"/>
      <c r="D432" s="1163"/>
      <c r="E432" s="1163"/>
      <c r="F432" s="1163"/>
      <c r="G432" s="1163"/>
      <c r="H432" s="1163"/>
      <c r="I432" s="1176"/>
      <c r="J432" s="1176"/>
      <c r="K432" s="1176"/>
      <c r="L432" s="1176"/>
      <c r="M432" s="1176"/>
      <c r="N432" s="1176"/>
      <c r="O432" s="1176"/>
    </row>
    <row r="433" spans="1:18" ht="16.5" x14ac:dyDescent="0.2">
      <c r="A433" s="1197" t="s">
        <v>537</v>
      </c>
      <c r="B433" s="1159"/>
      <c r="C433" s="1160" t="s">
        <v>69</v>
      </c>
      <c r="D433" s="1160" t="s">
        <v>492</v>
      </c>
      <c r="E433" s="1160">
        <f>ROUND(E435*100%,0)</f>
        <v>336891</v>
      </c>
      <c r="F433" s="1160">
        <f>ROUND(F435*100%,0)</f>
        <v>328412</v>
      </c>
      <c r="G433" s="1160">
        <f>ROUND(F433*2.5,0)</f>
        <v>821030</v>
      </c>
      <c r="H433" s="1162" t="s">
        <v>426</v>
      </c>
      <c r="I433" s="1167">
        <f>ROUND(I435*22%,2)</f>
        <v>80.7</v>
      </c>
      <c r="J433" s="1167" t="e">
        <f>+#REF!</f>
        <v>#REF!</v>
      </c>
      <c r="K433" s="1167" t="e">
        <f>+#REF!</f>
        <v>#REF!</v>
      </c>
      <c r="L433" s="1167" t="e">
        <f>ROUND(G433*J433*12/10000000,2)</f>
        <v>#REF!</v>
      </c>
      <c r="M433" s="1167" t="e">
        <f>ROUND(I433*1000000*K433/10000000,2)</f>
        <v>#REF!</v>
      </c>
      <c r="N433" s="1167"/>
      <c r="O433" s="1167"/>
    </row>
    <row r="434" spans="1:18" ht="16.5" x14ac:dyDescent="0.2">
      <c r="A434" s="1197" t="s">
        <v>537</v>
      </c>
      <c r="B434" s="1159"/>
      <c r="C434" s="1160"/>
      <c r="D434" s="1160" t="s">
        <v>444</v>
      </c>
      <c r="E434" s="1160">
        <f>E435-E433</f>
        <v>0</v>
      </c>
      <c r="F434" s="1160">
        <f>F435-F433</f>
        <v>0</v>
      </c>
      <c r="G434" s="1160">
        <f>ROUND(F434*0,0)</f>
        <v>0</v>
      </c>
      <c r="H434" s="1162" t="s">
        <v>558</v>
      </c>
      <c r="I434" s="1167">
        <f>I435-I433</f>
        <v>286.13</v>
      </c>
      <c r="J434" s="1167" t="e">
        <f>+#REF!</f>
        <v>#REF!</v>
      </c>
      <c r="K434" s="1167" t="e">
        <f>+#REF!</f>
        <v>#REF!</v>
      </c>
      <c r="L434" s="1167" t="e">
        <f>ROUND(((F434*J433*50*12)+((G434-(F434*50))*J434*12))/10000000,2)</f>
        <v>#REF!</v>
      </c>
      <c r="M434" s="1167" t="e">
        <f>ROUND(I434*1000000*K434/10000000,2)</f>
        <v>#REF!</v>
      </c>
      <c r="N434" s="1167"/>
      <c r="O434" s="1167"/>
    </row>
    <row r="435" spans="1:18" ht="16.5" x14ac:dyDescent="0.2">
      <c r="A435" s="1197" t="s">
        <v>537</v>
      </c>
      <c r="B435" s="1164"/>
      <c r="C435" s="1165"/>
      <c r="D435" s="1166" t="s">
        <v>486</v>
      </c>
      <c r="E435" s="1165">
        <f>ROUND(E440*69.67%,0)</f>
        <v>336891</v>
      </c>
      <c r="F435" s="1165">
        <f>ROUND(F440*69.67%,0)</f>
        <v>328412</v>
      </c>
      <c r="G435" s="1165">
        <f>SUM(G433:G434)</f>
        <v>821030</v>
      </c>
      <c r="H435" s="1165"/>
      <c r="I435" s="1170">
        <f>ROUND(I440*66.5%,2)</f>
        <v>366.83</v>
      </c>
      <c r="J435" s="1170"/>
      <c r="K435" s="1170"/>
      <c r="L435" s="1170" t="e">
        <f>SUM(L433:L434)</f>
        <v>#REF!</v>
      </c>
      <c r="M435" s="1170" t="e">
        <f>SUM(M433:M434)</f>
        <v>#REF!</v>
      </c>
      <c r="N435" s="1170" t="e">
        <f>L435+M435</f>
        <v>#REF!</v>
      </c>
      <c r="O435" s="1177" t="e">
        <f>ROUND(N435/I435*10,2)</f>
        <v>#REF!</v>
      </c>
      <c r="R435" s="1224" t="e">
        <f>+N435-#REF!</f>
        <v>#REF!</v>
      </c>
    </row>
    <row r="436" spans="1:18" ht="16.5" x14ac:dyDescent="0.2">
      <c r="A436" s="1197" t="s">
        <v>537</v>
      </c>
      <c r="B436" s="1163"/>
      <c r="C436" s="1163"/>
      <c r="D436" s="1163"/>
      <c r="E436" s="1163"/>
      <c r="F436" s="1163"/>
      <c r="G436" s="1163"/>
      <c r="H436" s="1163"/>
      <c r="I436" s="1176"/>
      <c r="J436" s="1176"/>
      <c r="K436" s="1176"/>
      <c r="L436" s="1176"/>
      <c r="M436" s="1176"/>
      <c r="N436" s="1176"/>
      <c r="O436" s="1176"/>
    </row>
    <row r="437" spans="1:18" ht="16.5" x14ac:dyDescent="0.2">
      <c r="A437" s="1197" t="s">
        <v>537</v>
      </c>
      <c r="B437" s="1159"/>
      <c r="C437" s="1160" t="s">
        <v>76</v>
      </c>
      <c r="D437" s="1160" t="s">
        <v>492</v>
      </c>
      <c r="E437" s="1160">
        <f>ROUND(E439*100%,0)</f>
        <v>146661</v>
      </c>
      <c r="F437" s="1160">
        <f>ROUND(F439*100%,0)</f>
        <v>142970</v>
      </c>
      <c r="G437" s="1160">
        <f>ROUND(F437*1.5,0)</f>
        <v>214455</v>
      </c>
      <c r="H437" s="1162" t="s">
        <v>426</v>
      </c>
      <c r="I437" s="1167">
        <f>ROUND(I439*15.3%,2)</f>
        <v>28.27</v>
      </c>
      <c r="J437" s="1167">
        <v>125</v>
      </c>
      <c r="K437" s="1167">
        <v>8.4</v>
      </c>
      <c r="L437" s="1167">
        <f>ROUND(G437*J437*12/10000000,2)</f>
        <v>32.17</v>
      </c>
      <c r="M437" s="1167">
        <f>ROUND(I437*1000000*K437/10000000,2)</f>
        <v>23.75</v>
      </c>
      <c r="N437" s="1167"/>
      <c r="O437" s="1167"/>
    </row>
    <row r="438" spans="1:18" ht="16.5" x14ac:dyDescent="0.2">
      <c r="A438" s="1197" t="s">
        <v>537</v>
      </c>
      <c r="B438" s="1159"/>
      <c r="C438" s="1160"/>
      <c r="D438" s="1160" t="s">
        <v>444</v>
      </c>
      <c r="E438" s="1160">
        <f>E439-E437</f>
        <v>0</v>
      </c>
      <c r="F438" s="1160">
        <f>F439-F437</f>
        <v>0</v>
      </c>
      <c r="G438" s="1160">
        <f>ROUND(F438*0,0)</f>
        <v>0</v>
      </c>
      <c r="H438" s="1162" t="s">
        <v>558</v>
      </c>
      <c r="I438" s="1167">
        <f>I439-I437</f>
        <v>156.53</v>
      </c>
      <c r="J438" s="1167">
        <v>230</v>
      </c>
      <c r="K438" s="1167">
        <v>9.4</v>
      </c>
      <c r="L438" s="1167">
        <f>ROUND(((F438*J437*50*12)+((G438-(F438*50))*J438*12))/10000000,2)</f>
        <v>0</v>
      </c>
      <c r="M438" s="1167">
        <f>ROUND(I438*1000000*K438/10000000,2)</f>
        <v>147.13999999999999</v>
      </c>
      <c r="N438" s="1167"/>
      <c r="O438" s="1167"/>
    </row>
    <row r="439" spans="1:18" ht="16.5" x14ac:dyDescent="0.2">
      <c r="A439" s="1197" t="s">
        <v>537</v>
      </c>
      <c r="B439" s="1164"/>
      <c r="C439" s="1165"/>
      <c r="D439" s="1166" t="s">
        <v>486</v>
      </c>
      <c r="E439" s="1169">
        <f>E440-E435</f>
        <v>146661</v>
      </c>
      <c r="F439" s="1169">
        <f>F440-F435</f>
        <v>142970</v>
      </c>
      <c r="G439" s="1165">
        <f>SUM(G437:G438)</f>
        <v>214455</v>
      </c>
      <c r="H439" s="1165"/>
      <c r="I439" s="1170">
        <f>I440-I435</f>
        <v>184.8</v>
      </c>
      <c r="J439" s="1170"/>
      <c r="K439" s="1170"/>
      <c r="L439" s="1170">
        <f>SUM(L437:L438)</f>
        <v>32.17</v>
      </c>
      <c r="M439" s="1170">
        <f>SUM(M437:M438)</f>
        <v>170.89</v>
      </c>
      <c r="N439" s="1170">
        <f>L439+M439</f>
        <v>203.06</v>
      </c>
      <c r="O439" s="1177">
        <f>ROUND(N439/I439*10,2)</f>
        <v>10.99</v>
      </c>
      <c r="R439" s="1224" t="e">
        <f>+N439-#REF!</f>
        <v>#REF!</v>
      </c>
    </row>
    <row r="440" spans="1:18" ht="16.5" x14ac:dyDescent="0.2">
      <c r="A440" s="1197" t="s">
        <v>537</v>
      </c>
      <c r="B440" s="1164">
        <v>4</v>
      </c>
      <c r="C440" s="1165" t="s">
        <v>557</v>
      </c>
      <c r="D440" s="1165"/>
      <c r="E440" s="1169">
        <f>Sales_FY24!$P$133</f>
        <v>483552</v>
      </c>
      <c r="F440" s="1169">
        <f>Sales_FY24!$V$133</f>
        <v>471382</v>
      </c>
      <c r="G440" s="1169">
        <f>G435+G439</f>
        <v>1035485</v>
      </c>
      <c r="H440" s="1165"/>
      <c r="I440" s="1170">
        <f>Sales_FY24!$Q$133</f>
        <v>551.63</v>
      </c>
      <c r="J440" s="1170"/>
      <c r="K440" s="1170"/>
      <c r="L440" s="1170" t="e">
        <f>L435+L439</f>
        <v>#REF!</v>
      </c>
      <c r="M440" s="1170" t="e">
        <f>M435+M439</f>
        <v>#REF!</v>
      </c>
      <c r="N440" s="1170" t="e">
        <f>L440+M440</f>
        <v>#REF!</v>
      </c>
      <c r="O440" s="1177" t="e">
        <f>ROUND(N440/I440*10,2)</f>
        <v>#REF!</v>
      </c>
    </row>
    <row r="441" spans="1:18" ht="16.5" x14ac:dyDescent="0.2">
      <c r="A441" s="1197" t="s">
        <v>537</v>
      </c>
      <c r="B441" s="1163"/>
      <c r="C441" s="1163"/>
      <c r="D441" s="1163"/>
      <c r="E441" s="1163"/>
      <c r="F441" s="1163"/>
      <c r="G441" s="1163"/>
      <c r="H441" s="1163"/>
      <c r="I441" s="1176"/>
      <c r="J441" s="1176"/>
      <c r="K441" s="1176"/>
      <c r="L441" s="1176"/>
      <c r="M441" s="1176"/>
      <c r="N441" s="1176"/>
      <c r="O441" s="1176"/>
    </row>
    <row r="442" spans="1:18" ht="16.5" x14ac:dyDescent="0.2">
      <c r="A442" s="1197" t="s">
        <v>537</v>
      </c>
      <c r="B442" s="1159"/>
      <c r="C442" s="1160" t="s">
        <v>559</v>
      </c>
      <c r="D442" s="1160" t="s">
        <v>560</v>
      </c>
      <c r="E442" s="1160">
        <f>Sales_FY24!$P$134</f>
        <v>1021548</v>
      </c>
      <c r="F442" s="1160">
        <f>Sales_FY24!$V$134</f>
        <v>1012927</v>
      </c>
      <c r="G442" s="1160">
        <f>ROUND(F442*6.75,0)</f>
        <v>6837257</v>
      </c>
      <c r="H442" s="1162" t="s">
        <v>561</v>
      </c>
      <c r="I442" s="1167">
        <f>Sales_FY24!$Q$134</f>
        <v>6902.41</v>
      </c>
      <c r="J442" s="1167"/>
      <c r="K442" s="1167" t="e">
        <f>+#REF!</f>
        <v>#REF!</v>
      </c>
      <c r="L442" s="1167">
        <f>ROUND(G442*J442*12/10000000,2)</f>
        <v>0</v>
      </c>
      <c r="M442" s="1167" t="e">
        <f>ROUND(I442*1000000*K442/10000000,2)</f>
        <v>#REF!</v>
      </c>
      <c r="N442" s="1167" t="e">
        <f>L442+M442</f>
        <v>#REF!</v>
      </c>
      <c r="O442" s="1192" t="e">
        <f>ROUND(N442/I442*10,2)</f>
        <v>#REF!</v>
      </c>
    </row>
    <row r="443" spans="1:18" ht="16.5" x14ac:dyDescent="0.2">
      <c r="A443" s="1197" t="s">
        <v>537</v>
      </c>
      <c r="B443" s="1159"/>
      <c r="C443" s="1160" t="s">
        <v>562</v>
      </c>
      <c r="D443" s="1160" t="s">
        <v>563</v>
      </c>
      <c r="E443" s="1168">
        <f>Sales_FY24!$P$135</f>
        <v>934</v>
      </c>
      <c r="F443" s="1160">
        <f>Sales_FY24!$V$135</f>
        <v>933</v>
      </c>
      <c r="G443" s="1160">
        <f>ROUND(F443*26.45,0)</f>
        <v>24678</v>
      </c>
      <c r="H443" s="1162" t="s">
        <v>561</v>
      </c>
      <c r="I443" s="1167">
        <f>Sales_FY24!$Q$135</f>
        <v>16.41</v>
      </c>
      <c r="J443" s="1167" t="e">
        <f>+#REF!</f>
        <v>#REF!</v>
      </c>
      <c r="K443" s="1167" t="e">
        <f>+#REF!</f>
        <v>#REF!</v>
      </c>
      <c r="L443" s="1167" t="e">
        <f>ROUND(G443*J443*12/10000000,2)</f>
        <v>#REF!</v>
      </c>
      <c r="M443" s="1167" t="e">
        <f>ROUND(I443*1000000*K443/10000000,2)</f>
        <v>#REF!</v>
      </c>
      <c r="N443" s="1167" t="e">
        <f>L443+M443</f>
        <v>#REF!</v>
      </c>
      <c r="O443" s="1192" t="e">
        <f>ROUND(N443/I443*10,2)</f>
        <v>#REF!</v>
      </c>
    </row>
    <row r="444" spans="1:18" ht="16.5" x14ac:dyDescent="0.2">
      <c r="A444" s="1197" t="s">
        <v>537</v>
      </c>
      <c r="B444" s="1159"/>
      <c r="C444" s="1160" t="s">
        <v>564</v>
      </c>
      <c r="D444" s="1160" t="s">
        <v>565</v>
      </c>
      <c r="E444" s="1168">
        <f>Sales_FY24!$P$136</f>
        <v>560</v>
      </c>
      <c r="F444" s="1160">
        <f>Sales_FY24!$V$136</f>
        <v>540</v>
      </c>
      <c r="G444" s="1160">
        <f>ROUND(F444*7.25,0)</f>
        <v>3915</v>
      </c>
      <c r="H444" s="1162" t="s">
        <v>561</v>
      </c>
      <c r="I444" s="1167">
        <f>Sales_FY24!$Q$136</f>
        <v>0.9</v>
      </c>
      <c r="J444" s="1167" t="e">
        <f>+#REF!</f>
        <v>#REF!</v>
      </c>
      <c r="K444" s="1167" t="e">
        <f>+#REF!</f>
        <v>#REF!</v>
      </c>
      <c r="L444" s="1167" t="e">
        <f>ROUND(G444*J444*12/10000000,2)</f>
        <v>#REF!</v>
      </c>
      <c r="M444" s="1167" t="e">
        <f>ROUND(I444*1000000*K444/10000000,2)</f>
        <v>#REF!</v>
      </c>
      <c r="N444" s="1167" t="e">
        <f>L444+M444</f>
        <v>#REF!</v>
      </c>
      <c r="O444" s="1192" t="e">
        <f>ROUND(N444/I444*10,2)</f>
        <v>#REF!</v>
      </c>
    </row>
    <row r="445" spans="1:18" ht="16.5" x14ac:dyDescent="0.2">
      <c r="A445" s="1197" t="s">
        <v>537</v>
      </c>
      <c r="B445" s="1164">
        <v>5</v>
      </c>
      <c r="C445" s="1165" t="s">
        <v>566</v>
      </c>
      <c r="D445" s="1165"/>
      <c r="E445" s="1169">
        <f>SUM(E442:E444)</f>
        <v>1023042</v>
      </c>
      <c r="F445" s="1169">
        <f>SUM(F442:F444)</f>
        <v>1014400</v>
      </c>
      <c r="G445" s="1169">
        <f>SUM(G442:G444)</f>
        <v>6865850</v>
      </c>
      <c r="H445" s="1165"/>
      <c r="I445" s="1170">
        <f>SUM(I442:I444)</f>
        <v>6919.7199999999993</v>
      </c>
      <c r="J445" s="1170"/>
      <c r="K445" s="1170"/>
      <c r="L445" s="1170" t="e">
        <f>SUM(L442:L444)</f>
        <v>#REF!</v>
      </c>
      <c r="M445" s="1170" t="e">
        <f>SUM(M442:M444)</f>
        <v>#REF!</v>
      </c>
      <c r="N445" s="1170" t="e">
        <f>SUM(N442:N444)</f>
        <v>#REF!</v>
      </c>
      <c r="O445" s="1177" t="e">
        <f>ROUND(N445/I445*10,2)</f>
        <v>#REF!</v>
      </c>
    </row>
    <row r="446" spans="1:18" ht="16.5" x14ac:dyDescent="0.2">
      <c r="A446" s="1197" t="s">
        <v>537</v>
      </c>
      <c r="B446" s="1163"/>
      <c r="C446" s="1163"/>
      <c r="D446" s="1163"/>
      <c r="E446" s="1163"/>
      <c r="F446" s="1163"/>
      <c r="G446" s="1163"/>
      <c r="H446" s="1163"/>
      <c r="I446" s="1176"/>
      <c r="J446" s="1176"/>
      <c r="K446" s="1176"/>
      <c r="L446" s="1176"/>
      <c r="M446" s="1176"/>
      <c r="N446" s="1176"/>
      <c r="O446" s="1176"/>
    </row>
    <row r="447" spans="1:18" ht="16.5" x14ac:dyDescent="0.2">
      <c r="A447" s="1197" t="s">
        <v>537</v>
      </c>
      <c r="B447" s="1159"/>
      <c r="C447" s="1160" t="s">
        <v>9</v>
      </c>
      <c r="D447" s="1160" t="s">
        <v>568</v>
      </c>
      <c r="E447" s="1160">
        <f>ROUND(E452*65%,0)</f>
        <v>24272</v>
      </c>
      <c r="F447" s="1160">
        <f>ROUND(F452*65%,0)</f>
        <v>23804</v>
      </c>
      <c r="G447" s="1160">
        <f>ROUND(F447*4.4,0)</f>
        <v>104738</v>
      </c>
      <c r="H447" s="1162" t="s">
        <v>573</v>
      </c>
      <c r="I447" s="1167">
        <f>ROUND(I452*60%,2)</f>
        <v>76.88</v>
      </c>
      <c r="J447" s="1167" t="e">
        <f>+#REF!</f>
        <v>#REF!</v>
      </c>
      <c r="K447" s="1167" t="e">
        <f>+#REF!</f>
        <v>#REF!</v>
      </c>
      <c r="L447" s="1167" t="e">
        <f>ROUND(G447*J447*12/10000000,2)</f>
        <v>#REF!</v>
      </c>
      <c r="M447" s="1167" t="e">
        <f>ROUND(I447*1000000*K447/10000000,2)</f>
        <v>#REF!</v>
      </c>
      <c r="N447" s="1167"/>
      <c r="O447" s="1167"/>
    </row>
    <row r="448" spans="1:18" ht="16.5" x14ac:dyDescent="0.2">
      <c r="A448" s="1197" t="s">
        <v>537</v>
      </c>
      <c r="B448" s="1159"/>
      <c r="C448" s="1160"/>
      <c r="D448" s="1160" t="s">
        <v>569</v>
      </c>
      <c r="E448" s="1160">
        <f>ROUND(E452*25%,0)</f>
        <v>9335</v>
      </c>
      <c r="F448" s="1160">
        <f>ROUND(F452*25%,0)-1</f>
        <v>9155</v>
      </c>
      <c r="G448" s="1160">
        <f>ROUND(F448*16.2,0)</f>
        <v>148311</v>
      </c>
      <c r="H448" s="1162" t="s">
        <v>574</v>
      </c>
      <c r="I448" s="1167">
        <f>ROUND(I452*25%,2)</f>
        <v>32.03</v>
      </c>
      <c r="J448" s="1167" t="e">
        <f>+#REF!</f>
        <v>#REF!</v>
      </c>
      <c r="K448" s="1167" t="e">
        <f>+#REF!</f>
        <v>#REF!</v>
      </c>
      <c r="L448" s="1167" t="e">
        <f>ROUND(G448*J448*12/10000000,2)</f>
        <v>#REF!</v>
      </c>
      <c r="M448" s="1167" t="e">
        <f>ROUND(I448*1000000*K448/10000000,2)</f>
        <v>#REF!</v>
      </c>
      <c r="N448" s="1167"/>
      <c r="O448" s="1167"/>
    </row>
    <row r="449" spans="1:18" ht="16.5" x14ac:dyDescent="0.2">
      <c r="A449" s="1197" t="s">
        <v>537</v>
      </c>
      <c r="B449" s="1159"/>
      <c r="C449" s="1160"/>
      <c r="D449" s="1160" t="s">
        <v>570</v>
      </c>
      <c r="E449" s="1160">
        <f>ROUND(E452*7%,0)</f>
        <v>2614</v>
      </c>
      <c r="F449" s="1160">
        <f>ROUND(F452*7%,0)</f>
        <v>2564</v>
      </c>
      <c r="G449" s="1160">
        <f>ROUND(F449*58,0)</f>
        <v>148712</v>
      </c>
      <c r="H449" s="1162" t="s">
        <v>575</v>
      </c>
      <c r="I449" s="1167">
        <f>I452-I447-I448</f>
        <v>19.22</v>
      </c>
      <c r="J449" s="1167" t="e">
        <f>+#REF!</f>
        <v>#REF!</v>
      </c>
      <c r="K449" s="1167" t="e">
        <f>+#REF!</f>
        <v>#REF!</v>
      </c>
      <c r="L449" s="1167" t="e">
        <f>ROUND(G449*J449*12/10000000,2)</f>
        <v>#REF!</v>
      </c>
      <c r="M449" s="1167" t="e">
        <f>ROUND(I449*1000000*K449/10000000,2)</f>
        <v>#REF!</v>
      </c>
      <c r="N449" s="1167"/>
      <c r="O449" s="1167"/>
    </row>
    <row r="450" spans="1:18" ht="16.5" x14ac:dyDescent="0.2">
      <c r="A450" s="1197" t="s">
        <v>537</v>
      </c>
      <c r="B450" s="1159"/>
      <c r="C450" s="1160"/>
      <c r="D450" s="1160" t="s">
        <v>571</v>
      </c>
      <c r="E450" s="1160">
        <f>ROUND(E452*3%,0)</f>
        <v>1120</v>
      </c>
      <c r="F450" s="1160">
        <f>ROUND(F452*3%,0)</f>
        <v>1099</v>
      </c>
      <c r="G450" s="1160">
        <f>ROUND(F450*75,0)</f>
        <v>82425</v>
      </c>
      <c r="H450" s="1162"/>
      <c r="I450" s="1167"/>
      <c r="J450" s="1167" t="e">
        <f>+#REF!</f>
        <v>#REF!</v>
      </c>
      <c r="K450" s="1167"/>
      <c r="L450" s="1167" t="e">
        <f>ROUND(G450*J450*12/10000000,2)</f>
        <v>#REF!</v>
      </c>
      <c r="M450" s="1167"/>
      <c r="N450" s="1167"/>
      <c r="O450" s="1167"/>
    </row>
    <row r="451" spans="1:18" ht="16.5" x14ac:dyDescent="0.2">
      <c r="A451" s="1197" t="s">
        <v>537</v>
      </c>
      <c r="B451" s="1159"/>
      <c r="C451" s="1160"/>
      <c r="D451" s="1160" t="s">
        <v>572</v>
      </c>
      <c r="E451" s="1160">
        <f>E452-E447-E448-E449-E450</f>
        <v>0</v>
      </c>
      <c r="F451" s="1160">
        <f>F452-F447-F448-F449-F450</f>
        <v>0</v>
      </c>
      <c r="G451" s="1160">
        <f>ROUND(F451*124.15384,0)</f>
        <v>0</v>
      </c>
      <c r="H451" s="1162"/>
      <c r="I451" s="1167"/>
      <c r="J451" s="1167" t="e">
        <f>+#REF!</f>
        <v>#REF!</v>
      </c>
      <c r="K451" s="1167"/>
      <c r="L451" s="1167" t="e">
        <f>ROUND(G451*J451*12/10000000,2)</f>
        <v>#REF!</v>
      </c>
      <c r="M451" s="1167"/>
      <c r="N451" s="1167"/>
      <c r="O451" s="1167"/>
    </row>
    <row r="452" spans="1:18" ht="16.5" x14ac:dyDescent="0.2">
      <c r="A452" s="1197" t="s">
        <v>537</v>
      </c>
      <c r="B452" s="1164"/>
      <c r="C452" s="1165"/>
      <c r="D452" s="1166" t="s">
        <v>486</v>
      </c>
      <c r="E452" s="1165">
        <f>ROUND(E460*26%,0)</f>
        <v>37341</v>
      </c>
      <c r="F452" s="1165">
        <f>ROUND(F460*26%,0)</f>
        <v>36622</v>
      </c>
      <c r="G452" s="1165">
        <f>SUM(G447:G451)</f>
        <v>484186</v>
      </c>
      <c r="H452" s="1165"/>
      <c r="I452" s="1170">
        <f>ROUND(I460*37%,2)</f>
        <v>128.13</v>
      </c>
      <c r="J452" s="1170"/>
      <c r="K452" s="1170"/>
      <c r="L452" s="1170" t="e">
        <f>SUM(L447:L451)</f>
        <v>#REF!</v>
      </c>
      <c r="M452" s="1170" t="e">
        <f>SUM(M447:M451)</f>
        <v>#REF!</v>
      </c>
      <c r="N452" s="1170" t="e">
        <f>L452+M452</f>
        <v>#REF!</v>
      </c>
      <c r="O452" s="1177" t="e">
        <f>ROUND(N452/I452*10,2)</f>
        <v>#REF!</v>
      </c>
      <c r="R452" s="1224" t="e">
        <f>+N452-#REF!</f>
        <v>#REF!</v>
      </c>
    </row>
    <row r="453" spans="1:18" ht="16.5" x14ac:dyDescent="0.2">
      <c r="A453" s="1197" t="s">
        <v>537</v>
      </c>
      <c r="B453" s="1163"/>
      <c r="C453" s="1163"/>
      <c r="D453" s="1163"/>
      <c r="E453" s="1163"/>
      <c r="F453" s="1163"/>
      <c r="G453" s="1163"/>
      <c r="H453" s="1163"/>
      <c r="I453" s="1176"/>
      <c r="J453" s="1176"/>
      <c r="K453" s="1176"/>
      <c r="L453" s="1176"/>
      <c r="M453" s="1176"/>
      <c r="N453" s="1176"/>
      <c r="O453" s="1176"/>
    </row>
    <row r="454" spans="1:18" ht="16.5" x14ac:dyDescent="0.2">
      <c r="A454" s="1197" t="s">
        <v>537</v>
      </c>
      <c r="B454" s="1159"/>
      <c r="C454" s="1160" t="s">
        <v>11</v>
      </c>
      <c r="D454" s="1160" t="s">
        <v>568</v>
      </c>
      <c r="E454" s="1160">
        <f>ROUND(E459*70%,0)</f>
        <v>74396</v>
      </c>
      <c r="F454" s="1160">
        <f>ROUND(F459*70%,0)</f>
        <v>72962</v>
      </c>
      <c r="G454" s="1160">
        <f>ROUND(F454*2.36,0)</f>
        <v>172190</v>
      </c>
      <c r="H454" s="1162" t="s">
        <v>573</v>
      </c>
      <c r="I454" s="1167">
        <f>ROUND(I459*50%,2)</f>
        <v>109.08</v>
      </c>
      <c r="J454" s="1167">
        <v>90</v>
      </c>
      <c r="K454" s="1167">
        <v>5.85</v>
      </c>
      <c r="L454" s="1167">
        <f>ROUND(G454*J454*12/10000000,2)</f>
        <v>18.600000000000001</v>
      </c>
      <c r="M454" s="1167">
        <f>ROUND(I454*1000000*K454/10000000,2)</f>
        <v>63.81</v>
      </c>
      <c r="N454" s="1167"/>
      <c r="O454" s="1167"/>
    </row>
    <row r="455" spans="1:18" ht="16.5" x14ac:dyDescent="0.2">
      <c r="A455" s="1197" t="s">
        <v>537</v>
      </c>
      <c r="B455" s="1159"/>
      <c r="C455" s="1160"/>
      <c r="D455" s="1160" t="s">
        <v>569</v>
      </c>
      <c r="E455" s="1160">
        <f>ROUND(E459*20%,0)</f>
        <v>21256</v>
      </c>
      <c r="F455" s="1160">
        <f>ROUND(F459*20%,0)</f>
        <v>20846</v>
      </c>
      <c r="G455" s="1160">
        <f>ROUND(F455*14.78,0)</f>
        <v>308104</v>
      </c>
      <c r="H455" s="1162" t="s">
        <v>574</v>
      </c>
      <c r="I455" s="1167">
        <f>ROUND(I459*28%,2)</f>
        <v>61.08</v>
      </c>
      <c r="J455" s="1167">
        <v>100</v>
      </c>
      <c r="K455" s="1167">
        <v>6.85</v>
      </c>
      <c r="L455" s="1167">
        <f>ROUND(G455*J455*12/10000000,2)</f>
        <v>36.97</v>
      </c>
      <c r="M455" s="1167">
        <f>ROUND(I455*1000000*K455/10000000,2)</f>
        <v>41.84</v>
      </c>
      <c r="N455" s="1167"/>
      <c r="O455" s="1167"/>
    </row>
    <row r="456" spans="1:18" ht="16.5" x14ac:dyDescent="0.2">
      <c r="A456" s="1197" t="s">
        <v>537</v>
      </c>
      <c r="B456" s="1159"/>
      <c r="C456" s="1160"/>
      <c r="D456" s="1160" t="s">
        <v>570</v>
      </c>
      <c r="E456" s="1160">
        <f>ROUND(E459*7%,0)</f>
        <v>7440</v>
      </c>
      <c r="F456" s="1160">
        <f>ROUND(F459*7%,0)</f>
        <v>7296</v>
      </c>
      <c r="G456" s="1160">
        <f>ROUND(F456*50.22,0)</f>
        <v>366405</v>
      </c>
      <c r="H456" s="1162" t="s">
        <v>575</v>
      </c>
      <c r="I456" s="1167">
        <f>I459-I454-I455</f>
        <v>48.000000000000028</v>
      </c>
      <c r="J456" s="1167">
        <v>125</v>
      </c>
      <c r="K456" s="1167">
        <v>7.15</v>
      </c>
      <c r="L456" s="1167">
        <f>ROUND(G456*J456*12/10000000,2)</f>
        <v>54.96</v>
      </c>
      <c r="M456" s="1167">
        <f>ROUND(I456*1000000*K456/10000000,2)</f>
        <v>34.32</v>
      </c>
      <c r="N456" s="1167"/>
      <c r="O456" s="1167"/>
    </row>
    <row r="457" spans="1:18" ht="16.5" x14ac:dyDescent="0.2">
      <c r="A457" s="1197" t="s">
        <v>537</v>
      </c>
      <c r="B457" s="1159"/>
      <c r="C457" s="1160"/>
      <c r="D457" s="1160" t="s">
        <v>571</v>
      </c>
      <c r="E457" s="1160">
        <f>ROUND(E459*3%,0)</f>
        <v>3188</v>
      </c>
      <c r="F457" s="1160">
        <f>ROUND(F459*3%,0)</f>
        <v>3127</v>
      </c>
      <c r="G457" s="1160">
        <f>ROUND(F457*69.5,0)</f>
        <v>217327</v>
      </c>
      <c r="H457" s="1162"/>
      <c r="I457" s="1167"/>
      <c r="J457" s="1167">
        <v>190</v>
      </c>
      <c r="K457" s="1167"/>
      <c r="L457" s="1167">
        <f>ROUND(G457*J457*12/10000000,2)</f>
        <v>49.55</v>
      </c>
      <c r="M457" s="1167"/>
      <c r="N457" s="1167"/>
      <c r="O457" s="1167"/>
    </row>
    <row r="458" spans="1:18" ht="16.5" x14ac:dyDescent="0.2">
      <c r="A458" s="1197" t="s">
        <v>537</v>
      </c>
      <c r="B458" s="1159"/>
      <c r="C458" s="1160"/>
      <c r="D458" s="1160" t="s">
        <v>572</v>
      </c>
      <c r="E458" s="1160">
        <f>E459-E454-E455-E456-E457</f>
        <v>0</v>
      </c>
      <c r="F458" s="1160">
        <f>F459-F454-F455-F456-F457</f>
        <v>0</v>
      </c>
      <c r="G458" s="1160">
        <f>ROUND(F458*124.15384,0)</f>
        <v>0</v>
      </c>
      <c r="H458" s="1162"/>
      <c r="I458" s="1167"/>
      <c r="J458" s="1167">
        <v>225</v>
      </c>
      <c r="K458" s="1167"/>
      <c r="L458" s="1167">
        <f>ROUND(G458*J458*12/10000000,2)</f>
        <v>0</v>
      </c>
      <c r="M458" s="1167"/>
      <c r="N458" s="1167"/>
      <c r="O458" s="1167"/>
    </row>
    <row r="459" spans="1:18" ht="16.5" x14ac:dyDescent="0.2">
      <c r="A459" s="1197" t="s">
        <v>537</v>
      </c>
      <c r="B459" s="1164"/>
      <c r="C459" s="1165"/>
      <c r="D459" s="1166" t="s">
        <v>486</v>
      </c>
      <c r="E459" s="1169">
        <f>E460-E452</f>
        <v>106280</v>
      </c>
      <c r="F459" s="1169">
        <f>F460-F452</f>
        <v>104231</v>
      </c>
      <c r="G459" s="1165">
        <f>SUM(G454:G458)</f>
        <v>1064026</v>
      </c>
      <c r="H459" s="1165"/>
      <c r="I459" s="1170">
        <f>I460-I452</f>
        <v>218.16000000000003</v>
      </c>
      <c r="J459" s="1170"/>
      <c r="K459" s="1170"/>
      <c r="L459" s="1170">
        <f>SUM(L454:L458)</f>
        <v>160.07999999999998</v>
      </c>
      <c r="M459" s="1170">
        <f>SUM(M454:M458)</f>
        <v>139.97</v>
      </c>
      <c r="N459" s="1170">
        <f>L459+M459</f>
        <v>300.04999999999995</v>
      </c>
      <c r="O459" s="1177">
        <f>ROUND(N459/I459*10,2)</f>
        <v>13.75</v>
      </c>
      <c r="R459" s="1224" t="e">
        <f>+N459-#REF!</f>
        <v>#REF!</v>
      </c>
    </row>
    <row r="460" spans="1:18" ht="16.5" x14ac:dyDescent="0.2">
      <c r="A460" s="1197" t="s">
        <v>537</v>
      </c>
      <c r="B460" s="1164">
        <v>6</v>
      </c>
      <c r="C460" s="1165" t="s">
        <v>567</v>
      </c>
      <c r="D460" s="1165"/>
      <c r="E460" s="1169">
        <f>Sales_FY24!$P$137</f>
        <v>143621</v>
      </c>
      <c r="F460" s="1169">
        <f>Sales_FY24!$V$137</f>
        <v>140853</v>
      </c>
      <c r="G460" s="1169">
        <f>G452+G459</f>
        <v>1548212</v>
      </c>
      <c r="H460" s="1165"/>
      <c r="I460" s="1170">
        <f>Sales_FY24!$Q$137</f>
        <v>346.29</v>
      </c>
      <c r="J460" s="1170"/>
      <c r="K460" s="1170"/>
      <c r="L460" s="1170" t="e">
        <f>L452+L459</f>
        <v>#REF!</v>
      </c>
      <c r="M460" s="1170" t="e">
        <f>M452+M459</f>
        <v>#REF!</v>
      </c>
      <c r="N460" s="1170" t="e">
        <f>L460+M460</f>
        <v>#REF!</v>
      </c>
      <c r="O460" s="1177" t="e">
        <f>ROUND(N460/I460*10,2)</f>
        <v>#REF!</v>
      </c>
    </row>
    <row r="461" spans="1:18" ht="16.5" x14ac:dyDescent="0.2">
      <c r="A461" s="1197" t="s">
        <v>537</v>
      </c>
      <c r="B461" s="1163"/>
      <c r="C461" s="1163"/>
      <c r="D461" s="1163"/>
      <c r="E461" s="1163"/>
      <c r="F461" s="1163"/>
      <c r="G461" s="1163"/>
      <c r="H461" s="1163"/>
      <c r="I461" s="1176"/>
      <c r="J461" s="1176"/>
      <c r="K461" s="1176"/>
      <c r="L461" s="1176"/>
      <c r="M461" s="1176"/>
      <c r="N461" s="1176"/>
      <c r="O461" s="1176"/>
    </row>
    <row r="462" spans="1:18" ht="16.5" x14ac:dyDescent="0.2">
      <c r="A462" s="1197" t="s">
        <v>537</v>
      </c>
      <c r="B462" s="1159"/>
      <c r="C462" s="1160" t="s">
        <v>512</v>
      </c>
      <c r="D462" s="1160" t="s">
        <v>578</v>
      </c>
      <c r="E462" s="1168">
        <f>Sales_FY24!$P$138</f>
        <v>59578</v>
      </c>
      <c r="F462" s="1168">
        <f>Sales_FY24!$V$138</f>
        <v>57816</v>
      </c>
      <c r="G462" s="1160">
        <f>ROUND(F462*6,0)</f>
        <v>346896</v>
      </c>
      <c r="H462" s="1162" t="s">
        <v>561</v>
      </c>
      <c r="I462" s="1167">
        <f>Sales_FY24!$Q$138</f>
        <v>376.73</v>
      </c>
      <c r="J462" s="1167" t="e">
        <f>+#REF!</f>
        <v>#REF!</v>
      </c>
      <c r="K462" s="1167" t="e">
        <f>+#REF!</f>
        <v>#REF!</v>
      </c>
      <c r="L462" s="1167" t="e">
        <f>ROUND(G462*J462*12/10000000,2)</f>
        <v>#REF!</v>
      </c>
      <c r="M462" s="1167" t="e">
        <f>ROUND(I462*1000000*K462/10000000,2)</f>
        <v>#REF!</v>
      </c>
      <c r="N462" s="1167" t="e">
        <f>L462+M462</f>
        <v>#REF!</v>
      </c>
      <c r="O462" s="1192"/>
    </row>
    <row r="463" spans="1:18" ht="16.5" x14ac:dyDescent="0.2">
      <c r="A463" s="1197" t="s">
        <v>537</v>
      </c>
      <c r="B463" s="1159"/>
      <c r="C463" s="1160"/>
      <c r="D463" s="1160" t="s">
        <v>579</v>
      </c>
      <c r="E463" s="1168"/>
      <c r="F463" s="1168"/>
      <c r="G463" s="1160"/>
      <c r="H463" s="1162"/>
      <c r="I463" s="1167"/>
      <c r="J463" s="1167" t="e">
        <f>+#REF!</f>
        <v>#REF!</v>
      </c>
      <c r="K463" s="1167"/>
      <c r="L463" s="1167"/>
      <c r="M463" s="1167"/>
      <c r="N463" s="1167"/>
      <c r="O463" s="1192"/>
    </row>
    <row r="464" spans="1:18" ht="16.5" x14ac:dyDescent="0.2">
      <c r="A464" s="1197" t="s">
        <v>537</v>
      </c>
      <c r="B464" s="1164"/>
      <c r="C464" s="1165"/>
      <c r="D464" s="1166" t="s">
        <v>486</v>
      </c>
      <c r="E464" s="1169">
        <f>SUM(E462:E463)</f>
        <v>59578</v>
      </c>
      <c r="F464" s="1169">
        <f>SUM(F462:F463)</f>
        <v>57816</v>
      </c>
      <c r="G464" s="1169">
        <f>SUM(G462:G463)</f>
        <v>346896</v>
      </c>
      <c r="H464" s="1165"/>
      <c r="I464" s="1170">
        <f>SUM(I462:I463)</f>
        <v>376.73</v>
      </c>
      <c r="J464" s="1170"/>
      <c r="K464" s="1170"/>
      <c r="L464" s="1170" t="e">
        <f>SUM(L462:L463)</f>
        <v>#REF!</v>
      </c>
      <c r="M464" s="1170" t="e">
        <f>SUM(M462:M463)</f>
        <v>#REF!</v>
      </c>
      <c r="N464" s="1170" t="e">
        <f>L464+M464</f>
        <v>#REF!</v>
      </c>
      <c r="O464" s="1177" t="e">
        <f>ROUND(N464/I464*10,2)</f>
        <v>#REF!</v>
      </c>
    </row>
    <row r="465" spans="1:15" ht="16.5" x14ac:dyDescent="0.2">
      <c r="A465" s="1197" t="s">
        <v>537</v>
      </c>
      <c r="B465" s="1163"/>
      <c r="C465" s="1163"/>
      <c r="D465" s="1163"/>
      <c r="E465" s="1163"/>
      <c r="F465" s="1163"/>
      <c r="G465" s="1163"/>
      <c r="H465" s="1163"/>
      <c r="I465" s="1176"/>
      <c r="J465" s="1176"/>
      <c r="K465" s="1176"/>
      <c r="L465" s="1176"/>
      <c r="M465" s="1176"/>
      <c r="N465" s="1176"/>
      <c r="O465" s="1176"/>
    </row>
    <row r="466" spans="1:15" ht="16.5" x14ac:dyDescent="0.2">
      <c r="A466" s="1197" t="s">
        <v>537</v>
      </c>
      <c r="B466" s="1159"/>
      <c r="C466" s="1160" t="s">
        <v>513</v>
      </c>
      <c r="D466" s="1160" t="s">
        <v>580</v>
      </c>
      <c r="E466" s="1168">
        <f>Sales_FY24!$P$139</f>
        <v>31337</v>
      </c>
      <c r="F466" s="1168">
        <f>Sales_FY24!$V$139</f>
        <v>30586</v>
      </c>
      <c r="G466" s="1160">
        <f>ROUND(F466*3.5,0)</f>
        <v>107051</v>
      </c>
      <c r="H466" s="1162" t="s">
        <v>561</v>
      </c>
      <c r="I466" s="1167">
        <f>Sales_FY24!$Q$139</f>
        <v>166.32</v>
      </c>
      <c r="J466" s="1167" t="e">
        <f>+#REF!</f>
        <v>#REF!</v>
      </c>
      <c r="K466" s="1167" t="e">
        <f>+#REF!</f>
        <v>#REF!</v>
      </c>
      <c r="L466" s="1167" t="e">
        <f>ROUND(G466*J466*12/10000000,2)</f>
        <v>#REF!</v>
      </c>
      <c r="M466" s="1167" t="e">
        <f>ROUND(I466*1000000*K466/10000000,2)</f>
        <v>#REF!</v>
      </c>
      <c r="N466" s="1167" t="e">
        <f>L466+M466</f>
        <v>#REF!</v>
      </c>
      <c r="O466" s="1192" t="e">
        <f>ROUND(N466/I466*10,2)</f>
        <v>#REF!</v>
      </c>
    </row>
    <row r="467" spans="1:15" ht="16.5" x14ac:dyDescent="0.2">
      <c r="A467" s="1197" t="s">
        <v>537</v>
      </c>
      <c r="B467" s="1163"/>
      <c r="C467" s="1163"/>
      <c r="D467" s="1163"/>
      <c r="E467" s="1163"/>
      <c r="F467" s="1163"/>
      <c r="G467" s="1163"/>
      <c r="H467" s="1163"/>
      <c r="I467" s="1176"/>
      <c r="J467" s="1176"/>
      <c r="K467" s="1176"/>
      <c r="L467" s="1176"/>
      <c r="M467" s="1176"/>
      <c r="N467" s="1176"/>
      <c r="O467" s="1176"/>
    </row>
    <row r="468" spans="1:15" ht="16.5" x14ac:dyDescent="0.2">
      <c r="A468" s="1197" t="s">
        <v>537</v>
      </c>
      <c r="B468" s="1159"/>
      <c r="C468" s="1160" t="s">
        <v>526</v>
      </c>
      <c r="D468" s="1160" t="s">
        <v>581</v>
      </c>
      <c r="E468" s="1168">
        <f>Sales_FY24!$P$140</f>
        <v>0</v>
      </c>
      <c r="F468" s="1168">
        <f>Sales_FY24!$V$140</f>
        <v>0</v>
      </c>
      <c r="G468" s="1160">
        <f>ROUND(F468*10,0)</f>
        <v>0</v>
      </c>
      <c r="H468" s="1162" t="s">
        <v>561</v>
      </c>
      <c r="I468" s="1167">
        <f>Sales_FY24!$Q$140</f>
        <v>0</v>
      </c>
      <c r="J468" s="1167" t="e">
        <f>+#REF!</f>
        <v>#REF!</v>
      </c>
      <c r="K468" s="1167" t="e">
        <f>+#REF!</f>
        <v>#REF!</v>
      </c>
      <c r="L468" s="1167" t="e">
        <f>ROUND(G468*J468*12/10000000,2)</f>
        <v>#REF!</v>
      </c>
      <c r="M468" s="1167" t="e">
        <f>ROUND(I468*1000000*K468/10000000,2)</f>
        <v>#REF!</v>
      </c>
      <c r="N468" s="1167" t="e">
        <f>L468+M468</f>
        <v>#REF!</v>
      </c>
      <c r="O468" s="1192"/>
    </row>
    <row r="469" spans="1:15" ht="16.5" x14ac:dyDescent="0.2">
      <c r="A469" s="1197" t="s">
        <v>537</v>
      </c>
      <c r="B469" s="1159"/>
      <c r="C469" s="1160"/>
      <c r="D469" s="1160" t="s">
        <v>582</v>
      </c>
      <c r="E469" s="1168"/>
      <c r="F469" s="1168"/>
      <c r="G469" s="1160"/>
      <c r="H469" s="1162"/>
      <c r="I469" s="1167"/>
      <c r="J469" s="1167" t="e">
        <f>+#REF!</f>
        <v>#REF!</v>
      </c>
      <c r="K469" s="1167"/>
      <c r="L469" s="1167"/>
      <c r="M469" s="1167"/>
      <c r="N469" s="1167"/>
      <c r="O469" s="1192"/>
    </row>
    <row r="470" spans="1:15" ht="16.5" x14ac:dyDescent="0.2">
      <c r="A470" s="1197" t="s">
        <v>537</v>
      </c>
      <c r="B470" s="1159"/>
      <c r="C470" s="1160"/>
      <c r="D470" s="1160" t="s">
        <v>583</v>
      </c>
      <c r="E470" s="1168"/>
      <c r="F470" s="1168"/>
      <c r="G470" s="1160"/>
      <c r="H470" s="1162"/>
      <c r="I470" s="1167"/>
      <c r="J470" s="1167" t="e">
        <f>+#REF!</f>
        <v>#REF!</v>
      </c>
      <c r="K470" s="1167"/>
      <c r="L470" s="1167"/>
      <c r="M470" s="1167"/>
      <c r="N470" s="1167"/>
      <c r="O470" s="1192"/>
    </row>
    <row r="471" spans="1:15" ht="16.5" x14ac:dyDescent="0.2">
      <c r="A471" s="1197" t="s">
        <v>537</v>
      </c>
      <c r="B471" s="1164"/>
      <c r="C471" s="1165"/>
      <c r="D471" s="1166" t="s">
        <v>486</v>
      </c>
      <c r="E471" s="1169">
        <f>SUM(E468:E470)</f>
        <v>0</v>
      </c>
      <c r="F471" s="1169">
        <f>SUM(F468:F470)</f>
        <v>0</v>
      </c>
      <c r="G471" s="1169">
        <f>SUM(G468:G470)</f>
        <v>0</v>
      </c>
      <c r="H471" s="1165"/>
      <c r="I471" s="1170">
        <f>SUM(I468:I470)</f>
        <v>0</v>
      </c>
      <c r="J471" s="1170"/>
      <c r="K471" s="1170"/>
      <c r="L471" s="1170" t="e">
        <f>SUM(L468:L470)</f>
        <v>#REF!</v>
      </c>
      <c r="M471" s="1170" t="e">
        <f>SUM(M468:M470)</f>
        <v>#REF!</v>
      </c>
      <c r="N471" s="1170" t="e">
        <f>L471+M471</f>
        <v>#REF!</v>
      </c>
      <c r="O471" s="1177"/>
    </row>
    <row r="472" spans="1:15" ht="16.5" x14ac:dyDescent="0.2">
      <c r="A472" s="1197" t="s">
        <v>537</v>
      </c>
      <c r="B472" s="1164">
        <v>7</v>
      </c>
      <c r="C472" s="1165" t="s">
        <v>577</v>
      </c>
      <c r="D472" s="1165"/>
      <c r="E472" s="1169">
        <f>E464+E466+E471</f>
        <v>90915</v>
      </c>
      <c r="F472" s="1169">
        <f>F464+F466+F471</f>
        <v>88402</v>
      </c>
      <c r="G472" s="1169">
        <f>G464+G466+G471</f>
        <v>453947</v>
      </c>
      <c r="H472" s="1165"/>
      <c r="I472" s="1170">
        <f>I464+I466+I471</f>
        <v>543.04999999999995</v>
      </c>
      <c r="J472" s="1170"/>
      <c r="K472" s="1170"/>
      <c r="L472" s="1170" t="e">
        <f>L464+L466+L471</f>
        <v>#REF!</v>
      </c>
      <c r="M472" s="1170" t="e">
        <f>M464+M466+M471</f>
        <v>#REF!</v>
      </c>
      <c r="N472" s="1170" t="e">
        <f>L472+M472</f>
        <v>#REF!</v>
      </c>
      <c r="O472" s="1177" t="e">
        <f>ROUND(N472/I472*10,2)</f>
        <v>#REF!</v>
      </c>
    </row>
    <row r="473" spans="1:15" ht="16.5" x14ac:dyDescent="0.2">
      <c r="A473" s="1197" t="s">
        <v>537</v>
      </c>
      <c r="B473" s="1163"/>
      <c r="C473" s="1163"/>
      <c r="D473" s="1163"/>
      <c r="E473" s="1163"/>
      <c r="F473" s="1163"/>
      <c r="G473" s="1163"/>
      <c r="H473" s="1163"/>
      <c r="I473" s="1176"/>
      <c r="J473" s="1176"/>
      <c r="K473" s="1176"/>
      <c r="L473" s="1176"/>
      <c r="M473" s="1176"/>
      <c r="N473" s="1176"/>
      <c r="O473" s="1176"/>
    </row>
    <row r="474" spans="1:15" ht="16.5" x14ac:dyDescent="0.2">
      <c r="A474" s="1197" t="s">
        <v>537</v>
      </c>
      <c r="B474" s="1159"/>
      <c r="C474" s="1160" t="s">
        <v>584</v>
      </c>
      <c r="D474" s="1160" t="s">
        <v>586</v>
      </c>
      <c r="E474" s="1160">
        <f>ROUND(E476*99.88242%,0)</f>
        <v>306445</v>
      </c>
      <c r="F474" s="1160">
        <f>ROUND(F476*99.88242%,0)</f>
        <v>271835</v>
      </c>
      <c r="G474" s="1160">
        <f>ROUND(F474*2.25,0)</f>
        <v>611629</v>
      </c>
      <c r="H474" s="1162" t="s">
        <v>561</v>
      </c>
      <c r="I474" s="1167">
        <f>ROUND(I476*99.00373%,2)</f>
        <v>39.75</v>
      </c>
      <c r="J474" s="1167" t="e">
        <f>+#REF!</f>
        <v>#REF!</v>
      </c>
      <c r="K474" s="1167" t="e">
        <f>+#REF!</f>
        <v>#REF!</v>
      </c>
      <c r="L474" s="1167" t="e">
        <f>ROUND(G474*J474*4/10000000,2)</f>
        <v>#REF!</v>
      </c>
      <c r="M474" s="1198" t="e">
        <f>ROUND(I474*1000000*K474/10000000,2)-ROUND(I474*1000000*K474/10000000,2)</f>
        <v>#REF!</v>
      </c>
      <c r="N474" s="1167" t="e">
        <f>L474+M474</f>
        <v>#REF!</v>
      </c>
      <c r="O474" s="1192"/>
    </row>
    <row r="475" spans="1:15" ht="16.5" x14ac:dyDescent="0.2">
      <c r="A475" s="1197" t="s">
        <v>537</v>
      </c>
      <c r="B475" s="1159"/>
      <c r="C475" s="1160" t="s">
        <v>585</v>
      </c>
      <c r="D475" s="1160" t="s">
        <v>586</v>
      </c>
      <c r="E475" s="1168">
        <f>E476-E474</f>
        <v>361</v>
      </c>
      <c r="F475" s="1168">
        <f>F476-F474</f>
        <v>320</v>
      </c>
      <c r="G475" s="1160">
        <f>ROUND(F475*2.1,0)</f>
        <v>672</v>
      </c>
      <c r="H475" s="1162" t="s">
        <v>561</v>
      </c>
      <c r="I475" s="1167">
        <f>I476-I474</f>
        <v>0.39999999999999858</v>
      </c>
      <c r="J475" s="1167" t="e">
        <f>+#REF!</f>
        <v>#REF!</v>
      </c>
      <c r="K475" s="1167" t="e">
        <f>+#REF!</f>
        <v>#REF!</v>
      </c>
      <c r="L475" s="1167" t="e">
        <f>ROUND(G475*J475*12/10000000,2)</f>
        <v>#REF!</v>
      </c>
      <c r="M475" s="1167" t="e">
        <f>ROUND(I475*1000000*K475/10000000,2)</f>
        <v>#REF!</v>
      </c>
      <c r="N475" s="1167" t="e">
        <f>L475+M475</f>
        <v>#REF!</v>
      </c>
      <c r="O475" s="1192"/>
    </row>
    <row r="476" spans="1:15" ht="16.5" x14ac:dyDescent="0.2">
      <c r="A476" s="1197" t="s">
        <v>537</v>
      </c>
      <c r="B476" s="1164">
        <v>8</v>
      </c>
      <c r="C476" s="1165" t="s">
        <v>587</v>
      </c>
      <c r="D476" s="1165"/>
      <c r="E476" s="1169">
        <f>Sales_FY24!$P$141</f>
        <v>306806</v>
      </c>
      <c r="F476" s="1169">
        <f>Sales_FY24!$V$141</f>
        <v>272155</v>
      </c>
      <c r="G476" s="1169">
        <f>SUM(G474:G475)</f>
        <v>612301</v>
      </c>
      <c r="H476" s="1165"/>
      <c r="I476" s="1170">
        <f>Sales_FY24!$Q$141</f>
        <v>40.15</v>
      </c>
      <c r="J476" s="1170"/>
      <c r="K476" s="1170"/>
      <c r="L476" s="1170" t="e">
        <f>SUM(L474:L475)</f>
        <v>#REF!</v>
      </c>
      <c r="M476" s="1170" t="e">
        <f>SUM(M474:M475)</f>
        <v>#REF!</v>
      </c>
      <c r="N476" s="1170" t="e">
        <f>L476+M476</f>
        <v>#REF!</v>
      </c>
      <c r="O476" s="1177" t="e">
        <f>ROUND(N476/I476*10,2)</f>
        <v>#REF!</v>
      </c>
    </row>
    <row r="477" spans="1:15" ht="16.5" x14ac:dyDescent="0.2">
      <c r="A477" s="1197" t="s">
        <v>537</v>
      </c>
      <c r="B477" s="1163"/>
      <c r="C477" s="1163"/>
      <c r="D477" s="1163"/>
      <c r="E477" s="1163"/>
      <c r="F477" s="1163"/>
      <c r="G477" s="1163"/>
      <c r="H477" s="1163"/>
      <c r="I477" s="1176"/>
      <c r="J477" s="1176"/>
      <c r="K477" s="1176"/>
      <c r="L477" s="1176"/>
      <c r="M477" s="1176"/>
      <c r="N477" s="1176"/>
      <c r="O477" s="1176"/>
    </row>
    <row r="478" spans="1:15" ht="16.5" x14ac:dyDescent="0.2">
      <c r="A478" s="1197" t="s">
        <v>537</v>
      </c>
      <c r="B478" s="1194"/>
      <c r="C478" s="1195" t="s">
        <v>588</v>
      </c>
      <c r="D478" s="1195"/>
      <c r="E478" s="1196">
        <f>E407+E420+E431+E440+E445+E460+E472+E476</f>
        <v>6161464</v>
      </c>
      <c r="F478" s="1196">
        <f>F407+F420+F431+F440+F445+F460+F472+F476</f>
        <v>6028076</v>
      </c>
      <c r="G478" s="1196">
        <f>G407+G420+G431+G440+G445+G460+G472+G476</f>
        <v>14937796</v>
      </c>
      <c r="H478" s="1195"/>
      <c r="I478" s="1193">
        <f>I407+I420+I431+I440+I445+I460+I472+I476</f>
        <v>10404.909999999998</v>
      </c>
      <c r="J478" s="1193"/>
      <c r="K478" s="1193"/>
      <c r="L478" s="1193" t="e">
        <f>L407+L420+L431+L440+L445+L460+L472+L476</f>
        <v>#REF!</v>
      </c>
      <c r="M478" s="1193" t="e">
        <f>M407+M420+M431+M440+M445+M460+M472+M476</f>
        <v>#REF!</v>
      </c>
      <c r="N478" s="1193" t="e">
        <f>L478+M478</f>
        <v>#REF!</v>
      </c>
      <c r="O478" s="1193" t="e">
        <f>ROUND(N478/I478*10,2)</f>
        <v>#REF!</v>
      </c>
    </row>
    <row r="479" spans="1:15" ht="16.5" x14ac:dyDescent="0.2">
      <c r="A479" s="1197" t="s">
        <v>537</v>
      </c>
      <c r="B479" s="1163"/>
      <c r="C479" s="1163"/>
      <c r="D479" s="1163"/>
      <c r="E479" s="1163"/>
      <c r="F479" s="1176"/>
      <c r="G479" s="1163"/>
      <c r="H479" s="1163"/>
      <c r="I479" s="1176"/>
      <c r="J479" s="1176"/>
      <c r="K479" s="1176"/>
      <c r="L479" s="1176"/>
      <c r="M479" s="1176"/>
      <c r="N479" s="1176"/>
      <c r="O479" s="1176"/>
    </row>
    <row r="480" spans="1:15" ht="16.5" x14ac:dyDescent="0.2">
      <c r="A480" s="1197" t="s">
        <v>537</v>
      </c>
      <c r="B480" s="1159">
        <v>9</v>
      </c>
      <c r="C480" s="1160" t="s">
        <v>16</v>
      </c>
      <c r="D480" s="1160" t="s">
        <v>589</v>
      </c>
      <c r="E480" s="1168">
        <f>Sales_FY24!$P$144</f>
        <v>477</v>
      </c>
      <c r="F480" s="1168">
        <f>Sales_FY24!$V$144</f>
        <v>461</v>
      </c>
      <c r="G480" s="1160">
        <f>ROUND(F480*290,0)</f>
        <v>133690</v>
      </c>
      <c r="H480" s="1162" t="s">
        <v>561</v>
      </c>
      <c r="I480" s="1167">
        <f>Sales_FY24!$Q$144</f>
        <v>394.15</v>
      </c>
      <c r="J480" s="1167" t="e">
        <f>+#REF!</f>
        <v>#REF!</v>
      </c>
      <c r="K480" s="1167" t="e">
        <f>+#REF!</f>
        <v>#REF!</v>
      </c>
      <c r="L480" s="1167" t="e">
        <f>ROUND((G480*85%)*J480*12/10000000,2)</f>
        <v>#REF!</v>
      </c>
      <c r="M480" s="1167" t="e">
        <f>ROUND(I480*1000000*K480/10000000,2)</f>
        <v>#REF!</v>
      </c>
      <c r="N480" s="1167" t="e">
        <f>L480+M480</f>
        <v>#REF!</v>
      </c>
      <c r="O480" s="1192" t="e">
        <f>ROUND(N480/I480*10,2)</f>
        <v>#REF!</v>
      </c>
    </row>
    <row r="481" spans="1:18" ht="16.5" x14ac:dyDescent="0.2">
      <c r="A481" s="1197" t="s">
        <v>537</v>
      </c>
      <c r="B481" s="1163"/>
      <c r="C481" s="1163"/>
      <c r="D481" s="1163"/>
      <c r="E481" s="1163"/>
      <c r="F481" s="1163"/>
      <c r="G481" s="1163"/>
      <c r="H481" s="1163"/>
      <c r="I481" s="1176"/>
      <c r="J481" s="1176"/>
      <c r="K481" s="1176"/>
      <c r="L481" s="1176"/>
      <c r="M481" s="1176"/>
      <c r="N481" s="1176"/>
      <c r="O481" s="1176"/>
    </row>
    <row r="482" spans="1:18" ht="16.5" x14ac:dyDescent="0.2">
      <c r="A482" s="1197" t="s">
        <v>537</v>
      </c>
      <c r="B482" s="1159"/>
      <c r="C482" s="1160" t="s">
        <v>593</v>
      </c>
      <c r="D482" s="1160" t="s">
        <v>589</v>
      </c>
      <c r="E482" s="1168">
        <f>E484</f>
        <v>0</v>
      </c>
      <c r="F482" s="1168">
        <f>F484</f>
        <v>0</v>
      </c>
      <c r="G482" s="1160">
        <f>ROUND(F482*0,0)</f>
        <v>0</v>
      </c>
      <c r="H482" s="1162" t="s">
        <v>591</v>
      </c>
      <c r="I482" s="1167">
        <f>ROUND(I484*0%,2)</f>
        <v>0</v>
      </c>
      <c r="J482" s="1167" t="e">
        <f>+#REF!</f>
        <v>#REF!</v>
      </c>
      <c r="K482" s="1167" t="e">
        <f>+#REF!</f>
        <v>#REF!</v>
      </c>
      <c r="L482" s="1167" t="e">
        <f>ROUND((G482*85%)*J482*12/10000000,2)</f>
        <v>#REF!</v>
      </c>
      <c r="M482" s="1167" t="e">
        <f>ROUND(I482*1000000*K482/10000000,2)</f>
        <v>#REF!</v>
      </c>
      <c r="N482" s="1167"/>
      <c r="O482" s="1192"/>
    </row>
    <row r="483" spans="1:18" ht="16.5" x14ac:dyDescent="0.2">
      <c r="A483" s="1197" t="s">
        <v>537</v>
      </c>
      <c r="B483" s="1159"/>
      <c r="C483" s="1160"/>
      <c r="D483" s="1160"/>
      <c r="E483" s="1168"/>
      <c r="F483" s="1168"/>
      <c r="G483" s="1160"/>
      <c r="H483" s="1162" t="s">
        <v>590</v>
      </c>
      <c r="I483" s="1167">
        <f>I484-I482</f>
        <v>0</v>
      </c>
      <c r="J483" s="1167"/>
      <c r="K483" s="1167" t="e">
        <f>+#REF!</f>
        <v>#REF!</v>
      </c>
      <c r="L483" s="1167"/>
      <c r="M483" s="1167" t="e">
        <f>ROUND(I483*1000000*K483/10000000,2)</f>
        <v>#REF!</v>
      </c>
      <c r="N483" s="1167"/>
      <c r="O483" s="1192"/>
    </row>
    <row r="484" spans="1:18" ht="16.5" x14ac:dyDescent="0.2">
      <c r="A484" s="1197" t="s">
        <v>537</v>
      </c>
      <c r="B484" s="1164"/>
      <c r="C484" s="1165"/>
      <c r="D484" s="1166" t="s">
        <v>486</v>
      </c>
      <c r="E484" s="1169">
        <f>ROUND(E489*0%,0)</f>
        <v>0</v>
      </c>
      <c r="F484" s="1169">
        <f>ROUND(F489*0%,0)</f>
        <v>0</v>
      </c>
      <c r="G484" s="1169">
        <f>SUM(G482:G483)</f>
        <v>0</v>
      </c>
      <c r="H484" s="1165"/>
      <c r="I484" s="1170">
        <f>ROUND(I489*0%,2)</f>
        <v>0</v>
      </c>
      <c r="J484" s="1170"/>
      <c r="K484" s="1170"/>
      <c r="L484" s="1170" t="e">
        <f>SUM(L482:L483)</f>
        <v>#REF!</v>
      </c>
      <c r="M484" s="1170" t="e">
        <f>SUM(M482:M483)</f>
        <v>#REF!</v>
      </c>
      <c r="N484" s="1170" t="e">
        <f>L484+M484</f>
        <v>#REF!</v>
      </c>
      <c r="O484" s="1177"/>
      <c r="R484" s="1224" t="e">
        <f>+N484-#REF!</f>
        <v>#REF!</v>
      </c>
    </row>
    <row r="485" spans="1:18" ht="16.5" x14ac:dyDescent="0.2">
      <c r="A485" s="1197" t="s">
        <v>537</v>
      </c>
      <c r="B485" s="1163"/>
      <c r="C485" s="1163"/>
      <c r="D485" s="1163"/>
      <c r="E485" s="1163"/>
      <c r="F485" s="1163"/>
      <c r="G485" s="1163"/>
      <c r="H485" s="1163"/>
      <c r="I485" s="1176"/>
      <c r="J485" s="1176"/>
      <c r="K485" s="1176"/>
      <c r="L485" s="1176"/>
      <c r="M485" s="1176"/>
      <c r="N485" s="1176"/>
      <c r="O485" s="1176"/>
    </row>
    <row r="486" spans="1:18" ht="16.5" x14ac:dyDescent="0.2">
      <c r="A486" s="1197" t="s">
        <v>537</v>
      </c>
      <c r="B486" s="1159"/>
      <c r="C486" s="1160" t="s">
        <v>594</v>
      </c>
      <c r="D486" s="1160" t="s">
        <v>589</v>
      </c>
      <c r="E486" s="1168">
        <f>E488</f>
        <v>2405</v>
      </c>
      <c r="F486" s="1168">
        <f>F488</f>
        <v>2311</v>
      </c>
      <c r="G486" s="1160">
        <f>ROUND(F486*469,0)</f>
        <v>1083859</v>
      </c>
      <c r="H486" s="1162" t="s">
        <v>591</v>
      </c>
      <c r="I486" s="1167">
        <f>ROUND(I488*75%,2)</f>
        <v>727.12</v>
      </c>
      <c r="J486" s="1167">
        <v>275</v>
      </c>
      <c r="K486" s="1167">
        <v>7.5</v>
      </c>
      <c r="L486" s="1167">
        <f>ROUND((G486*85%)*J486*12/10000000,2)</f>
        <v>304.02</v>
      </c>
      <c r="M486" s="1167">
        <f>ROUND(I486*1000000*K486/10000000,2)</f>
        <v>545.34</v>
      </c>
      <c r="N486" s="1167"/>
      <c r="O486" s="1192"/>
    </row>
    <row r="487" spans="1:18" ht="16.5" x14ac:dyDescent="0.2">
      <c r="A487" s="1197" t="s">
        <v>537</v>
      </c>
      <c r="B487" s="1159"/>
      <c r="C487" s="1160"/>
      <c r="D487" s="1160"/>
      <c r="E487" s="1168"/>
      <c r="F487" s="1168"/>
      <c r="G487" s="1160"/>
      <c r="H487" s="1162" t="s">
        <v>590</v>
      </c>
      <c r="I487" s="1167">
        <f>I488-I486</f>
        <v>242.37</v>
      </c>
      <c r="J487" s="1167"/>
      <c r="K487" s="1167">
        <v>7.8</v>
      </c>
      <c r="L487" s="1167"/>
      <c r="M487" s="1167">
        <f>ROUND(I487*1000000*K487/10000000,2)</f>
        <v>189.05</v>
      </c>
      <c r="N487" s="1167"/>
      <c r="O487" s="1192"/>
    </row>
    <row r="488" spans="1:18" ht="16.5" x14ac:dyDescent="0.2">
      <c r="A488" s="1197" t="s">
        <v>537</v>
      </c>
      <c r="B488" s="1164"/>
      <c r="C488" s="1165"/>
      <c r="D488" s="1166" t="s">
        <v>486</v>
      </c>
      <c r="E488" s="1169">
        <f>E489-E484</f>
        <v>2405</v>
      </c>
      <c r="F488" s="1169">
        <f>F489-F484</f>
        <v>2311</v>
      </c>
      <c r="G488" s="1169">
        <f>SUM(G486:G487)</f>
        <v>1083859</v>
      </c>
      <c r="H488" s="1165"/>
      <c r="I488" s="1170">
        <f>I489-I484</f>
        <v>969.49</v>
      </c>
      <c r="J488" s="1170"/>
      <c r="K488" s="1170"/>
      <c r="L488" s="1170">
        <f>SUM(L486:L487)</f>
        <v>304.02</v>
      </c>
      <c r="M488" s="1170">
        <f>SUM(M486:M487)</f>
        <v>734.3900000000001</v>
      </c>
      <c r="N488" s="1170">
        <f>L488+M488</f>
        <v>1038.4100000000001</v>
      </c>
      <c r="O488" s="1177"/>
      <c r="R488" s="1224" t="e">
        <f>+N488-#REF!</f>
        <v>#REF!</v>
      </c>
    </row>
    <row r="489" spans="1:18" ht="16.5" x14ac:dyDescent="0.2">
      <c r="A489" s="1197" t="s">
        <v>537</v>
      </c>
      <c r="B489" s="1164">
        <v>10</v>
      </c>
      <c r="C489" s="1165" t="s">
        <v>592</v>
      </c>
      <c r="D489" s="1165"/>
      <c r="E489" s="1169">
        <f>Sales_FY24!$P$145</f>
        <v>2405</v>
      </c>
      <c r="F489" s="1169">
        <f>Sales_FY24!$V$145</f>
        <v>2311</v>
      </c>
      <c r="G489" s="1169">
        <f>G484+G488</f>
        <v>1083859</v>
      </c>
      <c r="H489" s="1165"/>
      <c r="I489" s="1170">
        <f>Sales_FY24!$Q$145</f>
        <v>969.49</v>
      </c>
      <c r="J489" s="1170"/>
      <c r="K489" s="1170"/>
      <c r="L489" s="1169" t="e">
        <f>L484+L488</f>
        <v>#REF!</v>
      </c>
      <c r="M489" s="1169" t="e">
        <f>M484+M488</f>
        <v>#REF!</v>
      </c>
      <c r="N489" s="1170" t="e">
        <f>L489+M489</f>
        <v>#REF!</v>
      </c>
      <c r="O489" s="1177" t="e">
        <f>ROUND(N489/I489*10,2)</f>
        <v>#REF!</v>
      </c>
    </row>
    <row r="490" spans="1:18" ht="16.5" x14ac:dyDescent="0.2">
      <c r="A490" s="1197" t="s">
        <v>537</v>
      </c>
      <c r="B490" s="1163"/>
      <c r="C490" s="1163"/>
      <c r="D490" s="1163"/>
      <c r="E490" s="1163"/>
      <c r="F490" s="1163"/>
      <c r="G490" s="1163"/>
      <c r="H490" s="1163"/>
      <c r="I490" s="1176"/>
      <c r="J490" s="1176"/>
      <c r="K490" s="1176"/>
      <c r="L490" s="1176"/>
      <c r="M490" s="1176"/>
      <c r="N490" s="1176"/>
      <c r="O490" s="1176"/>
    </row>
    <row r="491" spans="1:18" ht="16.5" x14ac:dyDescent="0.2">
      <c r="A491" s="1197" t="s">
        <v>537</v>
      </c>
      <c r="B491" s="1159"/>
      <c r="C491" s="1160" t="s">
        <v>596</v>
      </c>
      <c r="D491" s="1160" t="s">
        <v>589</v>
      </c>
      <c r="E491" s="1168">
        <f>E493</f>
        <v>0</v>
      </c>
      <c r="F491" s="1168">
        <f>F493</f>
        <v>0</v>
      </c>
      <c r="G491" s="1160">
        <f>ROUND(F491*0,0)</f>
        <v>0</v>
      </c>
      <c r="H491" s="1162" t="s">
        <v>598</v>
      </c>
      <c r="I491" s="1167">
        <f>ROUND(I493*0%,2)</f>
        <v>0</v>
      </c>
      <c r="J491" s="1167" t="e">
        <f>+#REF!</f>
        <v>#REF!</v>
      </c>
      <c r="K491" s="1167" t="e">
        <f>+#REF!</f>
        <v>#REF!</v>
      </c>
      <c r="L491" s="1167" t="e">
        <f>ROUND((G491*85%)*J491*12/10000000,2)</f>
        <v>#REF!</v>
      </c>
      <c r="M491" s="1167" t="e">
        <f>ROUND(I491*1000000*K491/10000000,2)</f>
        <v>#REF!</v>
      </c>
      <c r="N491" s="1167"/>
      <c r="O491" s="1192"/>
    </row>
    <row r="492" spans="1:18" ht="16.5" x14ac:dyDescent="0.2">
      <c r="A492" s="1197" t="s">
        <v>537</v>
      </c>
      <c r="B492" s="1159"/>
      <c r="C492" s="1160"/>
      <c r="D492" s="1160"/>
      <c r="E492" s="1168"/>
      <c r="F492" s="1168"/>
      <c r="G492" s="1160"/>
      <c r="H492" s="1162" t="s">
        <v>599</v>
      </c>
      <c r="I492" s="1167">
        <f>I493-I491</f>
        <v>0</v>
      </c>
      <c r="J492" s="1167"/>
      <c r="K492" s="1167" t="e">
        <f>+#REF!</f>
        <v>#REF!</v>
      </c>
      <c r="L492" s="1167"/>
      <c r="M492" s="1167" t="e">
        <f>ROUND(I492*1000000*K492/10000000,2)</f>
        <v>#REF!</v>
      </c>
      <c r="N492" s="1167"/>
      <c r="O492" s="1192"/>
    </row>
    <row r="493" spans="1:18" ht="16.5" x14ac:dyDescent="0.2">
      <c r="A493" s="1197" t="s">
        <v>537</v>
      </c>
      <c r="B493" s="1164"/>
      <c r="C493" s="1165"/>
      <c r="D493" s="1166" t="s">
        <v>486</v>
      </c>
      <c r="E493" s="1169">
        <f>ROUND(E498*0%,0)</f>
        <v>0</v>
      </c>
      <c r="F493" s="1169">
        <f>ROUND(F498*0%,0)</f>
        <v>0</v>
      </c>
      <c r="G493" s="1169">
        <f>SUM(G491:G492)</f>
        <v>0</v>
      </c>
      <c r="H493" s="1165"/>
      <c r="I493" s="1170">
        <f>ROUND(I498*0%,2)</f>
        <v>0</v>
      </c>
      <c r="J493" s="1170"/>
      <c r="K493" s="1170"/>
      <c r="L493" s="1170" t="e">
        <f>SUM(L491:L492)</f>
        <v>#REF!</v>
      </c>
      <c r="M493" s="1170" t="e">
        <f>SUM(M491:M492)</f>
        <v>#REF!</v>
      </c>
      <c r="N493" s="1170" t="e">
        <f>L493+M493</f>
        <v>#REF!</v>
      </c>
      <c r="O493" s="1177"/>
      <c r="R493" s="1224" t="e">
        <f>+N493-#REF!</f>
        <v>#REF!</v>
      </c>
    </row>
    <row r="494" spans="1:18" ht="16.5" x14ac:dyDescent="0.2">
      <c r="A494" s="1197" t="s">
        <v>537</v>
      </c>
      <c r="B494" s="1163"/>
      <c r="C494" s="1163"/>
      <c r="D494" s="1163"/>
      <c r="E494" s="1163"/>
      <c r="F494" s="1163"/>
      <c r="G494" s="1163"/>
      <c r="H494" s="1163"/>
      <c r="I494" s="1176"/>
      <c r="J494" s="1176"/>
      <c r="K494" s="1176"/>
      <c r="L494" s="1176"/>
      <c r="M494" s="1176"/>
      <c r="N494" s="1176"/>
      <c r="O494" s="1176"/>
    </row>
    <row r="495" spans="1:18" ht="16.5" x14ac:dyDescent="0.2">
      <c r="A495" s="1197" t="s">
        <v>537</v>
      </c>
      <c r="B495" s="1159"/>
      <c r="C495" s="1160" t="s">
        <v>597</v>
      </c>
      <c r="D495" s="1160" t="s">
        <v>589</v>
      </c>
      <c r="E495" s="1168">
        <f>E497</f>
        <v>830</v>
      </c>
      <c r="F495" s="1168">
        <f>F497</f>
        <v>806</v>
      </c>
      <c r="G495" s="1160">
        <f>ROUND(F495*155,0)</f>
        <v>124930</v>
      </c>
      <c r="H495" s="1162" t="s">
        <v>598</v>
      </c>
      <c r="I495" s="1167">
        <f>ROUND(I497*70.15%,2)</f>
        <v>94.15</v>
      </c>
      <c r="J495" s="1167">
        <v>300</v>
      </c>
      <c r="K495" s="1167">
        <v>9.3000000000000007</v>
      </c>
      <c r="L495" s="1167">
        <f>ROUND((G495*85%)*J495*12/10000000,2)</f>
        <v>38.229999999999997</v>
      </c>
      <c r="M495" s="1167">
        <f>ROUND(I495*1000000*K495/10000000,2)</f>
        <v>87.56</v>
      </c>
      <c r="N495" s="1167"/>
      <c r="O495" s="1192"/>
    </row>
    <row r="496" spans="1:18" ht="16.5" x14ac:dyDescent="0.2">
      <c r="A496" s="1197" t="s">
        <v>537</v>
      </c>
      <c r="B496" s="1159"/>
      <c r="C496" s="1160"/>
      <c r="D496" s="1160"/>
      <c r="E496" s="1168"/>
      <c r="F496" s="1168"/>
      <c r="G496" s="1160"/>
      <c r="H496" s="1162" t="s">
        <v>599</v>
      </c>
      <c r="I496" s="1167">
        <f>I497-I495</f>
        <v>40.06</v>
      </c>
      <c r="J496" s="1167"/>
      <c r="K496" s="1167">
        <v>9.4</v>
      </c>
      <c r="L496" s="1167"/>
      <c r="M496" s="1167">
        <f>ROUND(I496*1000000*K496/10000000,2)</f>
        <v>37.659999999999997</v>
      </c>
      <c r="N496" s="1167"/>
      <c r="O496" s="1192"/>
    </row>
    <row r="497" spans="1:18" ht="16.5" x14ac:dyDescent="0.2">
      <c r="A497" s="1197" t="s">
        <v>537</v>
      </c>
      <c r="B497" s="1164"/>
      <c r="C497" s="1165"/>
      <c r="D497" s="1166" t="s">
        <v>486</v>
      </c>
      <c r="E497" s="1169">
        <f>E498-E493</f>
        <v>830</v>
      </c>
      <c r="F497" s="1169">
        <f>F498-F493</f>
        <v>806</v>
      </c>
      <c r="G497" s="1169">
        <f>SUM(G495:G496)</f>
        <v>124930</v>
      </c>
      <c r="H497" s="1165"/>
      <c r="I497" s="1170">
        <f>I498-I493</f>
        <v>134.21</v>
      </c>
      <c r="J497" s="1170"/>
      <c r="K497" s="1170"/>
      <c r="L497" s="1170">
        <f>SUM(L495:L496)</f>
        <v>38.229999999999997</v>
      </c>
      <c r="M497" s="1170">
        <f>SUM(M495:M496)</f>
        <v>125.22</v>
      </c>
      <c r="N497" s="1170">
        <f>L497+M497</f>
        <v>163.44999999999999</v>
      </c>
      <c r="O497" s="1177"/>
      <c r="R497" s="1224" t="e">
        <f>+N497-#REF!</f>
        <v>#REF!</v>
      </c>
    </row>
    <row r="498" spans="1:18" ht="16.5" x14ac:dyDescent="0.2">
      <c r="A498" s="1197" t="s">
        <v>537</v>
      </c>
      <c r="B498" s="1164">
        <v>11</v>
      </c>
      <c r="C498" s="1165" t="s">
        <v>595</v>
      </c>
      <c r="D498" s="1165"/>
      <c r="E498" s="1169">
        <f>Sales_FY24!$P$146</f>
        <v>830</v>
      </c>
      <c r="F498" s="1169">
        <f>Sales_FY24!$V$146</f>
        <v>806</v>
      </c>
      <c r="G498" s="1169">
        <f>G493+G497</f>
        <v>124930</v>
      </c>
      <c r="H498" s="1165"/>
      <c r="I498" s="1170">
        <f>Sales_FY24!$Q$146</f>
        <v>134.21</v>
      </c>
      <c r="J498" s="1170"/>
      <c r="K498" s="1170"/>
      <c r="L498" s="1170" t="e">
        <f>L493+L497</f>
        <v>#REF!</v>
      </c>
      <c r="M498" s="1170" t="e">
        <f>M493+M497</f>
        <v>#REF!</v>
      </c>
      <c r="N498" s="1170" t="e">
        <f>L498+M498</f>
        <v>#REF!</v>
      </c>
      <c r="O498" s="1177" t="e">
        <f>ROUND(N498/I498*10,2)</f>
        <v>#REF!</v>
      </c>
    </row>
    <row r="499" spans="1:18" ht="16.5" x14ac:dyDescent="0.2">
      <c r="A499" s="1197" t="s">
        <v>537</v>
      </c>
      <c r="B499" s="1163"/>
      <c r="C499" s="1163"/>
      <c r="D499" s="1163"/>
      <c r="E499" s="1163"/>
      <c r="F499" s="1163"/>
      <c r="G499" s="1163"/>
      <c r="H499" s="1163"/>
      <c r="I499" s="1176"/>
      <c r="J499" s="1176"/>
      <c r="K499" s="1176"/>
      <c r="L499" s="1176"/>
      <c r="M499" s="1176"/>
      <c r="N499" s="1176"/>
      <c r="O499" s="1176"/>
    </row>
    <row r="500" spans="1:18" ht="16.5" x14ac:dyDescent="0.2">
      <c r="A500" s="1197" t="s">
        <v>537</v>
      </c>
      <c r="B500" s="1159"/>
      <c r="C500" s="1160" t="s">
        <v>601</v>
      </c>
      <c r="D500" s="1160" t="s">
        <v>589</v>
      </c>
      <c r="E500" s="1168">
        <f>E502</f>
        <v>262</v>
      </c>
      <c r="F500" s="1168">
        <f>F502</f>
        <v>254</v>
      </c>
      <c r="G500" s="1160">
        <f>ROUND(F500*129,0)</f>
        <v>32766</v>
      </c>
      <c r="H500" s="1162" t="s">
        <v>591</v>
      </c>
      <c r="I500" s="1167">
        <f>ROUND(I502*75%,2)</f>
        <v>35.46</v>
      </c>
      <c r="J500" s="1167" t="e">
        <f>+#REF!</f>
        <v>#REF!</v>
      </c>
      <c r="K500" s="1167" t="e">
        <f>+#REF!</f>
        <v>#REF!</v>
      </c>
      <c r="L500" s="1167" t="e">
        <f>ROUND((G500*85%)*J500*12/10000000,2)</f>
        <v>#REF!</v>
      </c>
      <c r="M500" s="1167" t="e">
        <f>ROUND(I500*1000000*K500/10000000,2)</f>
        <v>#REF!</v>
      </c>
      <c r="N500" s="1167"/>
      <c r="O500" s="1192"/>
    </row>
    <row r="501" spans="1:18" ht="16.5" x14ac:dyDescent="0.2">
      <c r="A501" s="1197" t="s">
        <v>537</v>
      </c>
      <c r="B501" s="1159"/>
      <c r="C501" s="1160"/>
      <c r="D501" s="1160"/>
      <c r="E501" s="1168"/>
      <c r="F501" s="1168"/>
      <c r="G501" s="1160"/>
      <c r="H501" s="1162" t="s">
        <v>590</v>
      </c>
      <c r="I501" s="1167">
        <f>I502-I500</f>
        <v>11.82</v>
      </c>
      <c r="J501" s="1167"/>
      <c r="K501" s="1167" t="e">
        <f>+#REF!</f>
        <v>#REF!</v>
      </c>
      <c r="L501" s="1167"/>
      <c r="M501" s="1167" t="e">
        <f>ROUND(I501*1000000*K501/10000000,2)</f>
        <v>#REF!</v>
      </c>
      <c r="N501" s="1167"/>
      <c r="O501" s="1192"/>
    </row>
    <row r="502" spans="1:18" ht="16.5" x14ac:dyDescent="0.2">
      <c r="A502" s="1197" t="s">
        <v>537</v>
      </c>
      <c r="B502" s="1164"/>
      <c r="C502" s="1165"/>
      <c r="D502" s="1166" t="s">
        <v>486</v>
      </c>
      <c r="E502" s="1169">
        <f>ROUND(E507*60.62053%,0)</f>
        <v>262</v>
      </c>
      <c r="F502" s="1169">
        <f>ROUND(F507*60.62053%,0)</f>
        <v>254</v>
      </c>
      <c r="G502" s="1169">
        <f>SUM(G500:G501)</f>
        <v>32766</v>
      </c>
      <c r="H502" s="1165"/>
      <c r="I502" s="1170">
        <f>ROUND(I507*67%,2)</f>
        <v>47.28</v>
      </c>
      <c r="J502" s="1170"/>
      <c r="K502" s="1170"/>
      <c r="L502" s="1170" t="e">
        <f>SUM(L500:L501)</f>
        <v>#REF!</v>
      </c>
      <c r="M502" s="1170" t="e">
        <f>SUM(M500:M501)</f>
        <v>#REF!</v>
      </c>
      <c r="N502" s="1170" t="e">
        <f>L502+M502</f>
        <v>#REF!</v>
      </c>
      <c r="O502" s="1177" t="e">
        <f>ROUND(N502/I502*10,2)</f>
        <v>#REF!</v>
      </c>
    </row>
    <row r="503" spans="1:18" ht="16.5" x14ac:dyDescent="0.2">
      <c r="A503" s="1197" t="s">
        <v>537</v>
      </c>
      <c r="B503" s="1163"/>
      <c r="C503" s="1163"/>
      <c r="D503" s="1163"/>
      <c r="E503" s="1163"/>
      <c r="F503" s="1163"/>
      <c r="G503" s="1163"/>
      <c r="H503" s="1163"/>
      <c r="I503" s="1176"/>
      <c r="J503" s="1176"/>
      <c r="K503" s="1176"/>
      <c r="L503" s="1176"/>
      <c r="M503" s="1176"/>
      <c r="N503" s="1176"/>
      <c r="O503" s="1176"/>
    </row>
    <row r="504" spans="1:18" ht="16.5" x14ac:dyDescent="0.2">
      <c r="A504" s="1197" t="s">
        <v>537</v>
      </c>
      <c r="B504" s="1159"/>
      <c r="C504" s="1160" t="s">
        <v>602</v>
      </c>
      <c r="D504" s="1160" t="s">
        <v>589</v>
      </c>
      <c r="E504" s="1168">
        <f>E506</f>
        <v>170</v>
      </c>
      <c r="F504" s="1168">
        <f>F506</f>
        <v>165</v>
      </c>
      <c r="G504" s="1160">
        <f>ROUND(F504*169,0)</f>
        <v>27885</v>
      </c>
      <c r="H504" s="1162" t="s">
        <v>591</v>
      </c>
      <c r="I504" s="1167">
        <f>ROUND(I506*80%,2)</f>
        <v>18.62</v>
      </c>
      <c r="J504" s="1167" t="e">
        <f>+#REF!</f>
        <v>#REF!</v>
      </c>
      <c r="K504" s="1167" t="e">
        <f>+#REF!</f>
        <v>#REF!</v>
      </c>
      <c r="L504" s="1167" t="e">
        <f>ROUND((G504*85%)*J504*12/10000000,2)</f>
        <v>#REF!</v>
      </c>
      <c r="M504" s="1167" t="e">
        <f>ROUND(I504*1000000*K504/10000000,2)</f>
        <v>#REF!</v>
      </c>
      <c r="N504" s="1167"/>
      <c r="O504" s="1192"/>
    </row>
    <row r="505" spans="1:18" ht="16.5" x14ac:dyDescent="0.2">
      <c r="A505" s="1197" t="s">
        <v>537</v>
      </c>
      <c r="B505" s="1159"/>
      <c r="C505" s="1160"/>
      <c r="D505" s="1160"/>
      <c r="E505" s="1168"/>
      <c r="F505" s="1168"/>
      <c r="G505" s="1160"/>
      <c r="H505" s="1162" t="s">
        <v>590</v>
      </c>
      <c r="I505" s="1167">
        <f>I506-I504</f>
        <v>4.66</v>
      </c>
      <c r="J505" s="1167"/>
      <c r="K505" s="1167" t="e">
        <f>+#REF!</f>
        <v>#REF!</v>
      </c>
      <c r="L505" s="1167"/>
      <c r="M505" s="1167" t="e">
        <f>ROUND(I505*1000000*K505/10000000,2)</f>
        <v>#REF!</v>
      </c>
      <c r="N505" s="1167"/>
      <c r="O505" s="1192"/>
    </row>
    <row r="506" spans="1:18" ht="16.5" x14ac:dyDescent="0.2">
      <c r="A506" s="1197" t="s">
        <v>537</v>
      </c>
      <c r="B506" s="1164"/>
      <c r="C506" s="1165"/>
      <c r="D506" s="1166" t="s">
        <v>486</v>
      </c>
      <c r="E506" s="1169">
        <f>E507-E502</f>
        <v>170</v>
      </c>
      <c r="F506" s="1169">
        <f>F507-F502</f>
        <v>165</v>
      </c>
      <c r="G506" s="1169">
        <f>SUM(G504:G505)</f>
        <v>27885</v>
      </c>
      <c r="H506" s="1165"/>
      <c r="I506" s="1170">
        <f>I507-I502</f>
        <v>23.28</v>
      </c>
      <c r="J506" s="1170"/>
      <c r="K506" s="1170"/>
      <c r="L506" s="1170" t="e">
        <f>SUM(L504:L505)</f>
        <v>#REF!</v>
      </c>
      <c r="M506" s="1170" t="e">
        <f>SUM(M504:M505)</f>
        <v>#REF!</v>
      </c>
      <c r="N506" s="1170" t="e">
        <f>L506+M506</f>
        <v>#REF!</v>
      </c>
      <c r="O506" s="1177" t="e">
        <f>ROUND(N506/I506*10,2)</f>
        <v>#REF!</v>
      </c>
    </row>
    <row r="507" spans="1:18" ht="16.5" x14ac:dyDescent="0.2">
      <c r="A507" s="1197" t="s">
        <v>537</v>
      </c>
      <c r="B507" s="1164">
        <v>12</v>
      </c>
      <c r="C507" s="1165" t="s">
        <v>600</v>
      </c>
      <c r="D507" s="1165"/>
      <c r="E507" s="1169">
        <f>Sales_FY24!$P$147</f>
        <v>432</v>
      </c>
      <c r="F507" s="1169">
        <f>Sales_FY24!$V$147</f>
        <v>419</v>
      </c>
      <c r="G507" s="1169">
        <f>G502+G506</f>
        <v>60651</v>
      </c>
      <c r="H507" s="1165"/>
      <c r="I507" s="1170">
        <f>Sales_FY24!$Q$147</f>
        <v>70.56</v>
      </c>
      <c r="J507" s="1170"/>
      <c r="K507" s="1170"/>
      <c r="L507" s="1170" t="e">
        <f>L502+L506</f>
        <v>#REF!</v>
      </c>
      <c r="M507" s="1170" t="e">
        <f>M502+M506</f>
        <v>#REF!</v>
      </c>
      <c r="N507" s="1170" t="e">
        <f>L507+M507</f>
        <v>#REF!</v>
      </c>
      <c r="O507" s="1177" t="e">
        <f>ROUND(N507/I507*10,2)</f>
        <v>#REF!</v>
      </c>
    </row>
    <row r="508" spans="1:18" ht="16.5" x14ac:dyDescent="0.2">
      <c r="A508" s="1197" t="s">
        <v>537</v>
      </c>
      <c r="B508" s="1163"/>
      <c r="C508" s="1163"/>
      <c r="D508" s="1163"/>
      <c r="E508" s="1163"/>
      <c r="F508" s="1163"/>
      <c r="G508" s="1163"/>
      <c r="H508" s="1163"/>
      <c r="I508" s="1176"/>
      <c r="J508" s="1176"/>
      <c r="K508" s="1176"/>
      <c r="L508" s="1176"/>
      <c r="M508" s="1176"/>
      <c r="N508" s="1176"/>
      <c r="O508" s="1176"/>
    </row>
    <row r="509" spans="1:18" ht="16.5" x14ac:dyDescent="0.2">
      <c r="A509" s="1197" t="s">
        <v>537</v>
      </c>
      <c r="B509" s="1159"/>
      <c r="C509" s="1160" t="s">
        <v>612</v>
      </c>
      <c r="D509" s="1160" t="s">
        <v>604</v>
      </c>
      <c r="E509" s="1168">
        <f>ROUND(E513*55.45631%,0)</f>
        <v>238</v>
      </c>
      <c r="F509" s="1168">
        <f>ROUND(F513*55.45631%,0)</f>
        <v>228</v>
      </c>
      <c r="G509" s="1160">
        <f>ROUND(F509*2730,0)</f>
        <v>622440</v>
      </c>
      <c r="H509" s="1162" t="s">
        <v>561</v>
      </c>
      <c r="I509" s="1167">
        <f>ROUND(I513*66.92322%,2)</f>
        <v>355.63</v>
      </c>
      <c r="J509" s="1167" t="e">
        <f>+#REF!</f>
        <v>#REF!</v>
      </c>
      <c r="K509" s="1167" t="e">
        <f>+#REF!</f>
        <v>#REF!</v>
      </c>
      <c r="L509" s="1167" t="e">
        <f>IF((ROUND(G509*J509*1/10000000,2))&gt;(ROUND(I509*1000000*K509/10000000,2)),(ROUND(G509*J509*1/10000000,2)),0)</f>
        <v>#REF!</v>
      </c>
      <c r="M509" s="1167" t="e">
        <f>IF((ROUND(I509*1000000*K509/10000000,2))&gt;(ROUND(G509*J509*1/10000000,2)),(ROUND(I509*1000000*K509/10000000,2)),0)</f>
        <v>#REF!</v>
      </c>
      <c r="N509" s="1167" t="e">
        <f>L509+M509</f>
        <v>#REF!</v>
      </c>
      <c r="O509" s="1192" t="e">
        <f>ROUND(N509/I509*10,2)</f>
        <v>#REF!</v>
      </c>
    </row>
    <row r="510" spans="1:18" ht="16.5" x14ac:dyDescent="0.2">
      <c r="A510" s="1197" t="s">
        <v>537</v>
      </c>
      <c r="B510" s="1159"/>
      <c r="C510" s="1160" t="s">
        <v>613</v>
      </c>
      <c r="D510" s="1160" t="s">
        <v>604</v>
      </c>
      <c r="E510" s="1168">
        <f>ROUND(E513*40.17475%,0)</f>
        <v>173</v>
      </c>
      <c r="F510" s="1168">
        <f>ROUND(F513*40.17475%,0)</f>
        <v>166</v>
      </c>
      <c r="G510" s="1160">
        <f>ROUND(F510*956,0)</f>
        <v>158696</v>
      </c>
      <c r="H510" s="1162" t="s">
        <v>561</v>
      </c>
      <c r="I510" s="1167">
        <f>ROUND(I513*32.93187%,2)</f>
        <v>175</v>
      </c>
      <c r="J510" s="1167" t="e">
        <f>+#REF!</f>
        <v>#REF!</v>
      </c>
      <c r="K510" s="1167" t="e">
        <f>+#REF!</f>
        <v>#REF!</v>
      </c>
      <c r="L510" s="1167" t="e">
        <f>ROUND(G510*J510*12/10000000,2)</f>
        <v>#REF!</v>
      </c>
      <c r="M510" s="1167" t="e">
        <f>ROUND(I510*1000000*K510/10000000,2)</f>
        <v>#REF!</v>
      </c>
      <c r="N510" s="1167" t="e">
        <f>L510+M510</f>
        <v>#REF!</v>
      </c>
      <c r="O510" s="1192"/>
    </row>
    <row r="511" spans="1:18" ht="16.5" x14ac:dyDescent="0.2">
      <c r="A511" s="1197" t="s">
        <v>537</v>
      </c>
      <c r="B511" s="1159"/>
      <c r="C511" s="1160" t="s">
        <v>614</v>
      </c>
      <c r="D511" s="1160" t="s">
        <v>604</v>
      </c>
      <c r="E511" s="1168">
        <f>ROUND(E513*3.39805%,0)</f>
        <v>15</v>
      </c>
      <c r="F511" s="1168">
        <f>ROUND(F513*3.39805%,0)</f>
        <v>14</v>
      </c>
      <c r="G511" s="1160">
        <f>ROUND(F511*75,0)</f>
        <v>1050</v>
      </c>
      <c r="H511" s="1162" t="s">
        <v>561</v>
      </c>
      <c r="I511" s="1167">
        <f>ROUND(I513*0.14113%,2)</f>
        <v>0.75</v>
      </c>
      <c r="J511" s="1167" t="e">
        <f>+#REF!</f>
        <v>#REF!</v>
      </c>
      <c r="K511" s="1167" t="e">
        <f>+#REF!</f>
        <v>#REF!</v>
      </c>
      <c r="L511" s="1167" t="e">
        <f>ROUND(G511*J511*12/10000000,2)</f>
        <v>#REF!</v>
      </c>
      <c r="M511" s="1167" t="e">
        <f>ROUND(I511*1000000*K511/10000000,2)</f>
        <v>#REF!</v>
      </c>
      <c r="N511" s="1167" t="e">
        <f>L511+M511</f>
        <v>#REF!</v>
      </c>
      <c r="O511" s="1192"/>
    </row>
    <row r="512" spans="1:18" ht="16.5" x14ac:dyDescent="0.2">
      <c r="A512" s="1197" t="s">
        <v>537</v>
      </c>
      <c r="B512" s="1159"/>
      <c r="C512" s="1160" t="s">
        <v>615</v>
      </c>
      <c r="D512" s="1160" t="s">
        <v>604</v>
      </c>
      <c r="E512" s="1168">
        <f>ROUND(E513*0.93023%,0)</f>
        <v>4</v>
      </c>
      <c r="F512" s="1168">
        <f>ROUND(F513*0.93023%,0)</f>
        <v>4</v>
      </c>
      <c r="G512" s="1160">
        <f>ROUND(F512*158,0)</f>
        <v>632</v>
      </c>
      <c r="H512" s="1162" t="s">
        <v>561</v>
      </c>
      <c r="I512" s="1167">
        <f>+I513-I509-I510-I511</f>
        <v>1.999999999998181E-2</v>
      </c>
      <c r="J512" s="1167" t="e">
        <f>+#REF!</f>
        <v>#REF!</v>
      </c>
      <c r="K512" s="1167" t="e">
        <f>+#REF!</f>
        <v>#REF!</v>
      </c>
      <c r="L512" s="1167" t="e">
        <f>IF((ROUND(G512*J512*1/10000000,2))&gt;(ROUND(I512*1000000*K512/10000000,2)),(ROUND(G512*J512*1/10000000,2)),0)</f>
        <v>#REF!</v>
      </c>
      <c r="M512" s="1167" t="e">
        <f>IF((ROUND(I512*1000000*K512/10000000,2))&gt;(ROUND(G512*J512*1/10000000,2)),(ROUND(I512*1000000*K512/10000000,2)),0)</f>
        <v>#REF!</v>
      </c>
      <c r="N512" s="1167" t="e">
        <f>L512+M512</f>
        <v>#REF!</v>
      </c>
      <c r="O512" s="1192" t="e">
        <f>ROUND(N512/I512*10,2)</f>
        <v>#REF!</v>
      </c>
    </row>
    <row r="513" spans="1:15" ht="16.5" x14ac:dyDescent="0.2">
      <c r="A513" s="1197" t="s">
        <v>537</v>
      </c>
      <c r="B513" s="1164">
        <v>13</v>
      </c>
      <c r="C513" s="1165" t="s">
        <v>603</v>
      </c>
      <c r="D513" s="1165"/>
      <c r="E513" s="1169">
        <f>Sales_FY24!$P$148</f>
        <v>430</v>
      </c>
      <c r="F513" s="1169">
        <f>Sales_FY24!$V$148</f>
        <v>412</v>
      </c>
      <c r="G513" s="1169">
        <f>SUM(G509:G512)</f>
        <v>782818</v>
      </c>
      <c r="H513" s="1165"/>
      <c r="I513" s="1170">
        <f>Sales_FY24!$Q$148</f>
        <v>531.4</v>
      </c>
      <c r="J513" s="1170"/>
      <c r="K513" s="1170"/>
      <c r="L513" s="1170" t="e">
        <f>SUM(L509:L512)</f>
        <v>#REF!</v>
      </c>
      <c r="M513" s="1170" t="e">
        <f>SUM(M509:M512)</f>
        <v>#REF!</v>
      </c>
      <c r="N513" s="1170" t="e">
        <f>L513+M513</f>
        <v>#REF!</v>
      </c>
      <c r="O513" s="1177" t="e">
        <f>ROUND(N513/I513*10,2)</f>
        <v>#REF!</v>
      </c>
    </row>
    <row r="514" spans="1:15" ht="16.5" x14ac:dyDescent="0.2">
      <c r="A514" s="1197" t="s">
        <v>537</v>
      </c>
      <c r="B514" s="1163"/>
      <c r="C514" s="1163"/>
      <c r="D514" s="1163"/>
      <c r="E514" s="1163"/>
      <c r="F514" s="1163"/>
      <c r="G514" s="1163"/>
      <c r="H514" s="1163"/>
      <c r="I514" s="1176"/>
      <c r="J514" s="1176"/>
      <c r="K514" s="1176"/>
      <c r="L514" s="1176"/>
      <c r="M514" s="1176"/>
      <c r="N514" s="1176"/>
      <c r="O514" s="1176"/>
    </row>
    <row r="515" spans="1:15" ht="16.5" x14ac:dyDescent="0.2">
      <c r="A515" s="1197" t="s">
        <v>537</v>
      </c>
      <c r="B515" s="1159">
        <v>14</v>
      </c>
      <c r="C515" s="1160" t="s">
        <v>312</v>
      </c>
      <c r="D515" s="1160" t="s">
        <v>589</v>
      </c>
      <c r="E515" s="1168">
        <f>Sales_FY24!$P$149</f>
        <v>33</v>
      </c>
      <c r="F515" s="1168">
        <f>Sales_FY24!$V$149</f>
        <v>33</v>
      </c>
      <c r="G515" s="1160">
        <f>ROUND(F515*273,0)</f>
        <v>9009</v>
      </c>
      <c r="H515" s="1162" t="s">
        <v>561</v>
      </c>
      <c r="I515" s="1167">
        <f>Sales_FY24!$Q$149</f>
        <v>16.899999999999999</v>
      </c>
      <c r="J515" s="1167" t="e">
        <f>+#REF!</f>
        <v>#REF!</v>
      </c>
      <c r="K515" s="1167" t="e">
        <f>+#REF!</f>
        <v>#REF!</v>
      </c>
      <c r="L515" s="1167" t="e">
        <f>ROUND((G515*85%)*J515*12/10000000,2)</f>
        <v>#REF!</v>
      </c>
      <c r="M515" s="1167" t="e">
        <f>ROUND(I515*1000000*K515/10000000,2)</f>
        <v>#REF!</v>
      </c>
      <c r="N515" s="1167" t="e">
        <f>L515+M515</f>
        <v>#REF!</v>
      </c>
      <c r="O515" s="1192" t="e">
        <f>ROUND(N515/I515*10,2)</f>
        <v>#REF!</v>
      </c>
    </row>
    <row r="516" spans="1:15" ht="16.5" x14ac:dyDescent="0.2">
      <c r="A516" s="1197" t="s">
        <v>537</v>
      </c>
      <c r="B516" s="1163"/>
      <c r="C516" s="1163"/>
      <c r="D516" s="1163"/>
      <c r="E516" s="1163"/>
      <c r="F516" s="1163"/>
      <c r="G516" s="1163"/>
      <c r="H516" s="1163"/>
      <c r="I516" s="1176"/>
      <c r="J516" s="1176"/>
      <c r="K516" s="1176"/>
      <c r="L516" s="1176"/>
      <c r="M516" s="1176"/>
      <c r="N516" s="1176"/>
      <c r="O516" s="1176"/>
    </row>
    <row r="517" spans="1:15" ht="16.5" x14ac:dyDescent="0.2">
      <c r="A517" s="1197" t="s">
        <v>537</v>
      </c>
      <c r="B517" s="1159">
        <v>15</v>
      </c>
      <c r="C517" s="1160" t="s">
        <v>313</v>
      </c>
      <c r="D517" s="1160" t="s">
        <v>589</v>
      </c>
      <c r="E517" s="1168">
        <f>Sales_FY24!$P$150</f>
        <v>135</v>
      </c>
      <c r="F517" s="1168">
        <f>Sales_FY24!$V$150</f>
        <v>131</v>
      </c>
      <c r="G517" s="1160">
        <f>ROUND(F517*162,0)</f>
        <v>21222</v>
      </c>
      <c r="H517" s="1162" t="s">
        <v>561</v>
      </c>
      <c r="I517" s="1167">
        <f>Sales_FY24!$Q$150</f>
        <v>9.0500000000000007</v>
      </c>
      <c r="J517" s="1167" t="e">
        <f>+#REF!</f>
        <v>#REF!</v>
      </c>
      <c r="K517" s="1167" t="e">
        <f>+#REF!</f>
        <v>#REF!</v>
      </c>
      <c r="L517" s="1167" t="e">
        <f>ROUND((G517*100%)*J517*12/10000000,2)</f>
        <v>#REF!</v>
      </c>
      <c r="M517" s="1167" t="e">
        <f>ROUND(I517*1000000*K517/10000000,2)</f>
        <v>#REF!</v>
      </c>
      <c r="N517" s="1167" t="e">
        <f>L517+M517</f>
        <v>#REF!</v>
      </c>
      <c r="O517" s="1192" t="e">
        <f>ROUND(N517/I517*10,2)</f>
        <v>#REF!</v>
      </c>
    </row>
    <row r="518" spans="1:15" ht="16.5" x14ac:dyDescent="0.2">
      <c r="A518" s="1197" t="s">
        <v>537</v>
      </c>
      <c r="B518" s="1163"/>
      <c r="C518" s="1163"/>
      <c r="D518" s="1163"/>
      <c r="E518" s="1163"/>
      <c r="F518" s="1163"/>
      <c r="G518" s="1163"/>
      <c r="H518" s="1163"/>
      <c r="I518" s="1176"/>
      <c r="J518" s="1176"/>
      <c r="K518" s="1176"/>
      <c r="L518" s="1176"/>
      <c r="M518" s="1176"/>
      <c r="N518" s="1176"/>
      <c r="O518" s="1176"/>
    </row>
    <row r="519" spans="1:15" ht="16.5" x14ac:dyDescent="0.2">
      <c r="A519" s="1197" t="s">
        <v>537</v>
      </c>
      <c r="B519" s="1194"/>
      <c r="C519" s="1195" t="s">
        <v>605</v>
      </c>
      <c r="D519" s="1195"/>
      <c r="E519" s="1196">
        <f>E480+E489+E498+E507+E513+E515+E517</f>
        <v>4742</v>
      </c>
      <c r="F519" s="1196">
        <f>F480+F489+F498+F507+F513+F515+F517</f>
        <v>4573</v>
      </c>
      <c r="G519" s="1196">
        <f>G480+G489+G498+G507+G513+G515+G517</f>
        <v>2216179</v>
      </c>
      <c r="H519" s="1195"/>
      <c r="I519" s="1193">
        <f>I480+I489+I498+I507+I513+I515+I517</f>
        <v>2125.7600000000002</v>
      </c>
      <c r="J519" s="1193"/>
      <c r="K519" s="1193"/>
      <c r="L519" s="1193" t="e">
        <f>L480+L489+L498+L507+L513+L515+L517</f>
        <v>#REF!</v>
      </c>
      <c r="M519" s="1193" t="e">
        <f>M480+M489+M498+M507+M513+M515+M517</f>
        <v>#REF!</v>
      </c>
      <c r="N519" s="1193" t="e">
        <f>L519+M519</f>
        <v>#REF!</v>
      </c>
      <c r="O519" s="1193" t="e">
        <f>ROUND(N519/I519*10,2)</f>
        <v>#REF!</v>
      </c>
    </row>
    <row r="520" spans="1:15" ht="16.5" x14ac:dyDescent="0.2">
      <c r="A520" s="1197" t="s">
        <v>537</v>
      </c>
      <c r="B520" s="1163"/>
      <c r="C520" s="1163"/>
      <c r="D520" s="1163"/>
      <c r="E520" s="1163"/>
      <c r="F520" s="1163"/>
      <c r="G520" s="1163"/>
      <c r="H520" s="1163"/>
      <c r="I520" s="1176"/>
      <c r="J520" s="1176"/>
      <c r="K520" s="1176"/>
      <c r="L520" s="1176"/>
      <c r="M520" s="1176"/>
      <c r="N520" s="1176"/>
      <c r="O520" s="1176"/>
    </row>
    <row r="521" spans="1:15" ht="16.5" x14ac:dyDescent="0.2">
      <c r="A521" s="1197" t="s">
        <v>537</v>
      </c>
      <c r="B521" s="1194"/>
      <c r="C521" s="1195" t="s">
        <v>606</v>
      </c>
      <c r="D521" s="1195"/>
      <c r="E521" s="1196">
        <f>E478+E519</f>
        <v>6166206</v>
      </c>
      <c r="F521" s="1196">
        <f>F478+F519</f>
        <v>6032649</v>
      </c>
      <c r="G521" s="1196">
        <f>G478+G519</f>
        <v>17153975</v>
      </c>
      <c r="H521" s="1195"/>
      <c r="I521" s="1193">
        <f>I478+I519</f>
        <v>12530.669999999998</v>
      </c>
      <c r="J521" s="1193"/>
      <c r="K521" s="1193"/>
      <c r="L521" s="1193" t="e">
        <f>L478+L519</f>
        <v>#REF!</v>
      </c>
      <c r="M521" s="1193" t="e">
        <f>M478+M519</f>
        <v>#REF!</v>
      </c>
      <c r="N521" s="1193" t="e">
        <f>L521+M521</f>
        <v>#REF!</v>
      </c>
      <c r="O521" s="1193" t="e">
        <f>ROUND(N521/I521*10,2)</f>
        <v>#REF!</v>
      </c>
    </row>
    <row r="522" spans="1:15" ht="16.5" x14ac:dyDescent="0.2">
      <c r="A522" s="1197" t="s">
        <v>537</v>
      </c>
      <c r="B522" s="1163"/>
      <c r="C522" s="1163"/>
      <c r="D522" s="1163"/>
      <c r="E522" s="1163"/>
      <c r="F522" s="1163"/>
      <c r="G522" s="1163"/>
      <c r="H522" s="1163"/>
      <c r="I522" s="1176"/>
      <c r="J522" s="1176"/>
      <c r="K522" s="1176"/>
      <c r="L522" s="1176"/>
      <c r="M522" s="1176"/>
      <c r="N522" s="1176"/>
      <c r="O522" s="1176"/>
    </row>
    <row r="523" spans="1:15" ht="16.5" x14ac:dyDescent="0.2">
      <c r="A523" s="1197" t="s">
        <v>537</v>
      </c>
      <c r="B523" s="1159">
        <v>16</v>
      </c>
      <c r="C523" s="1160"/>
      <c r="D523" s="1160"/>
      <c r="E523" s="1168"/>
      <c r="F523" s="1168"/>
      <c r="G523" s="1160"/>
      <c r="H523" s="1162"/>
      <c r="I523" s="1167"/>
      <c r="J523" s="1167"/>
      <c r="K523" s="1167"/>
      <c r="L523" s="1167"/>
      <c r="M523" s="1167"/>
      <c r="N523" s="1167"/>
      <c r="O523" s="1192"/>
    </row>
    <row r="524" spans="1:15" ht="16.5" x14ac:dyDescent="0.2">
      <c r="A524" s="1197" t="s">
        <v>537</v>
      </c>
      <c r="B524" s="1163"/>
      <c r="C524" s="1163"/>
      <c r="D524" s="1163"/>
      <c r="E524" s="1163"/>
      <c r="F524" s="1163"/>
      <c r="G524" s="1163"/>
      <c r="H524" s="1163"/>
      <c r="I524" s="1176"/>
      <c r="J524" s="1176"/>
      <c r="K524" s="1176"/>
      <c r="L524" s="1176"/>
      <c r="M524" s="1176"/>
      <c r="N524" s="1176"/>
      <c r="O524" s="1176"/>
    </row>
    <row r="525" spans="1:15" ht="16.5" x14ac:dyDescent="0.2">
      <c r="A525" s="1197" t="s">
        <v>537</v>
      </c>
      <c r="B525" s="1159">
        <v>17</v>
      </c>
      <c r="C525" s="1160"/>
      <c r="D525" s="1160"/>
      <c r="E525" s="1168"/>
      <c r="F525" s="1168"/>
      <c r="G525" s="1160"/>
      <c r="H525" s="1162"/>
      <c r="I525" s="1167"/>
      <c r="J525" s="1167"/>
      <c r="K525" s="1167"/>
      <c r="L525" s="1167"/>
      <c r="M525" s="1167"/>
      <c r="N525" s="1167"/>
      <c r="O525" s="1192"/>
    </row>
    <row r="526" spans="1:15" ht="16.5" x14ac:dyDescent="0.2">
      <c r="A526" s="1197" t="s">
        <v>537</v>
      </c>
      <c r="B526" s="1163"/>
      <c r="C526" s="1163"/>
      <c r="D526" s="1163"/>
      <c r="E526" s="1163"/>
      <c r="F526" s="1163"/>
      <c r="G526" s="1163"/>
      <c r="H526" s="1163"/>
      <c r="I526" s="1176"/>
      <c r="J526" s="1176"/>
      <c r="K526" s="1176"/>
      <c r="L526" s="1176"/>
      <c r="M526" s="1176"/>
      <c r="N526" s="1176"/>
      <c r="O526" s="1176"/>
    </row>
    <row r="527" spans="1:15" ht="16.5" x14ac:dyDescent="0.2">
      <c r="A527" s="1197" t="s">
        <v>537</v>
      </c>
      <c r="B527" s="1159">
        <v>18</v>
      </c>
      <c r="C527" s="1160"/>
      <c r="D527" s="1160" t="s">
        <v>305</v>
      </c>
      <c r="E527" s="1168"/>
      <c r="F527" s="1168"/>
      <c r="G527" s="1160"/>
      <c r="H527" s="1162"/>
      <c r="I527" s="1167"/>
      <c r="J527" s="1167"/>
      <c r="K527" s="1167"/>
      <c r="L527" s="1167">
        <v>0</v>
      </c>
      <c r="M527" s="1167">
        <f>ROUND((111.56+5.29)+((111.56+5.29)*10.23715%)+5.29,2)+21.82</f>
        <v>155.91999999999999</v>
      </c>
      <c r="N527" s="1167">
        <f>L527+M527</f>
        <v>155.91999999999999</v>
      </c>
      <c r="O527" s="1192"/>
    </row>
    <row r="528" spans="1:15" ht="16.5" x14ac:dyDescent="0.2">
      <c r="A528" s="1197" t="s">
        <v>537</v>
      </c>
      <c r="B528" s="1163"/>
      <c r="C528" s="1163"/>
      <c r="D528" s="1163"/>
      <c r="E528" s="1163"/>
      <c r="F528" s="1163"/>
      <c r="G528" s="1163"/>
      <c r="H528" s="1163"/>
      <c r="I528" s="1176"/>
      <c r="J528" s="1176"/>
      <c r="K528" s="1176"/>
      <c r="L528" s="1176"/>
      <c r="M528" s="1176"/>
      <c r="N528" s="1176"/>
      <c r="O528" s="1176"/>
    </row>
    <row r="529" spans="1:19" ht="16.5" x14ac:dyDescent="0.2">
      <c r="A529" s="1197" t="s">
        <v>537</v>
      </c>
      <c r="B529" s="1194"/>
      <c r="C529" s="1195" t="s">
        <v>607</v>
      </c>
      <c r="D529" s="1195"/>
      <c r="E529" s="1196">
        <f>E521+E527+E523+E525</f>
        <v>6166206</v>
      </c>
      <c r="F529" s="1196">
        <f>F521+F527+F523+F525</f>
        <v>6032649</v>
      </c>
      <c r="G529" s="1196">
        <f>G521+G527+G523+G525</f>
        <v>17153975</v>
      </c>
      <c r="H529" s="1195"/>
      <c r="I529" s="1193">
        <f>I521+I527+I523+I525</f>
        <v>12530.669999999998</v>
      </c>
      <c r="J529" s="1193"/>
      <c r="K529" s="1193"/>
      <c r="L529" s="1193" t="e">
        <f>L521+L527+L523+L525</f>
        <v>#REF!</v>
      </c>
      <c r="M529" s="1193" t="e">
        <f>M521+M527+M523+M525</f>
        <v>#REF!</v>
      </c>
      <c r="N529" s="1193" t="e">
        <f>L529+M529</f>
        <v>#REF!</v>
      </c>
      <c r="O529" s="1193" t="e">
        <f>ROUND(N529/I529*10,2)</f>
        <v>#REF!</v>
      </c>
      <c r="R529" s="1224" t="e">
        <f>+#REF!</f>
        <v>#REF!</v>
      </c>
      <c r="S529" s="1224" t="e">
        <f>+N529-R529</f>
        <v>#REF!</v>
      </c>
    </row>
    <row r="531" spans="1:19" x14ac:dyDescent="0.15">
      <c r="L531" s="1224"/>
      <c r="M531" s="1224"/>
      <c r="N531" s="1224"/>
      <c r="O531" s="1224"/>
    </row>
    <row r="532" spans="1:19" x14ac:dyDescent="0.15">
      <c r="N532" s="1224"/>
    </row>
    <row r="533" spans="1:19" x14ac:dyDescent="0.15">
      <c r="B533" s="1172" t="s">
        <v>609</v>
      </c>
      <c r="D533" s="1173" t="s">
        <v>608</v>
      </c>
    </row>
    <row r="534" spans="1:19" x14ac:dyDescent="0.15">
      <c r="B534" s="1187" t="s">
        <v>472</v>
      </c>
      <c r="C534" s="1187" t="s">
        <v>474</v>
      </c>
      <c r="D534" s="1188" t="s">
        <v>3</v>
      </c>
      <c r="E534" s="1187" t="s">
        <v>49</v>
      </c>
      <c r="F534" s="1187" t="s">
        <v>469</v>
      </c>
      <c r="G534" s="1187" t="s">
        <v>467</v>
      </c>
      <c r="H534" s="1188" t="s">
        <v>475</v>
      </c>
      <c r="I534" s="1188" t="s">
        <v>475</v>
      </c>
      <c r="J534" s="1187" t="s">
        <v>477</v>
      </c>
      <c r="K534" s="1187" t="s">
        <v>480</v>
      </c>
      <c r="L534" s="1189" t="s">
        <v>610</v>
      </c>
      <c r="M534" s="1189" t="s">
        <v>611</v>
      </c>
      <c r="N534" s="1189" t="s">
        <v>488</v>
      </c>
      <c r="O534" s="1189" t="s">
        <v>489</v>
      </c>
    </row>
    <row r="535" spans="1:19" x14ac:dyDescent="0.15">
      <c r="B535" s="1190" t="s">
        <v>473</v>
      </c>
      <c r="C535" s="1190" t="s">
        <v>31</v>
      </c>
      <c r="D535" s="1191"/>
      <c r="E535" s="1190" t="s">
        <v>33</v>
      </c>
      <c r="F535" s="1190" t="s">
        <v>33</v>
      </c>
      <c r="G535" s="1190" t="s">
        <v>468</v>
      </c>
      <c r="H535" s="1191" t="s">
        <v>487</v>
      </c>
      <c r="I535" s="1191" t="s">
        <v>476</v>
      </c>
      <c r="J535" s="1190" t="s">
        <v>479</v>
      </c>
      <c r="K535" s="1190" t="s">
        <v>478</v>
      </c>
      <c r="L535" s="1190" t="s">
        <v>481</v>
      </c>
      <c r="M535" s="1190" t="s">
        <v>481</v>
      </c>
      <c r="N535" s="1190" t="s">
        <v>481</v>
      </c>
      <c r="O535" s="1190" t="s">
        <v>478</v>
      </c>
    </row>
    <row r="536" spans="1:19" ht="16.5" x14ac:dyDescent="0.2">
      <c r="A536" s="1197" t="s">
        <v>541</v>
      </c>
      <c r="B536" s="1159"/>
      <c r="C536" s="1160" t="s">
        <v>38</v>
      </c>
      <c r="D536" s="1160" t="s">
        <v>482</v>
      </c>
      <c r="E536" s="1168">
        <f>Sales_FY24!$P$167</f>
        <v>590514</v>
      </c>
      <c r="F536" s="1168">
        <f>Sales_FY24!$V$167</f>
        <v>590514</v>
      </c>
      <c r="G536" s="1160">
        <f>ROUND(E536*0.1,0)</f>
        <v>59051</v>
      </c>
      <c r="H536" s="1167"/>
      <c r="I536" s="1167">
        <f>Sales_FY24!$Q$167</f>
        <v>263.05</v>
      </c>
      <c r="J536" s="1167" t="e">
        <f>+#REF!</f>
        <v>#REF!</v>
      </c>
      <c r="K536" s="1167" t="e">
        <f>+#REF!</f>
        <v>#REF!</v>
      </c>
      <c r="L536" s="1167"/>
      <c r="M536" s="1167" t="e">
        <f>ROUND(I536*1000000*K536/10000000,2)</f>
        <v>#REF!</v>
      </c>
      <c r="N536" s="1175" t="e">
        <f>+L536+M536</f>
        <v>#REF!</v>
      </c>
      <c r="O536" s="1171" t="e">
        <f>ROUND(N536/I536*10,2)</f>
        <v>#REF!</v>
      </c>
    </row>
    <row r="537" spans="1:19" ht="16.5" x14ac:dyDescent="0.2">
      <c r="A537" s="1197" t="s">
        <v>541</v>
      </c>
      <c r="B537" s="1159"/>
      <c r="C537" s="1160" t="s">
        <v>38</v>
      </c>
      <c r="D537" s="1161" t="s">
        <v>483</v>
      </c>
      <c r="E537" s="1168">
        <f>Sales_FY24!$P$168</f>
        <v>7161</v>
      </c>
      <c r="F537" s="1168">
        <f>Sales_FY24!$V$168</f>
        <v>7161</v>
      </c>
      <c r="G537" s="1160">
        <f>ROUND(E537*0.1,0)</f>
        <v>716</v>
      </c>
      <c r="H537" s="1162" t="s">
        <v>426</v>
      </c>
      <c r="I537" s="1167">
        <f>ROUND(F537*50*12/1000000,2)</f>
        <v>4.3</v>
      </c>
      <c r="J537" s="1167">
        <v>100</v>
      </c>
      <c r="K537" s="1167">
        <f>+K548</f>
        <v>4.0999999999999996</v>
      </c>
      <c r="L537" s="1167">
        <f>ROUND((F537*J537*12)/10000000,2)</f>
        <v>0.86</v>
      </c>
      <c r="M537" s="1167">
        <f>ROUND(I537*1000000*K537/10000000,2)</f>
        <v>1.76</v>
      </c>
      <c r="N537" s="1167"/>
      <c r="O537" s="1167"/>
    </row>
    <row r="538" spans="1:19" ht="16.5" x14ac:dyDescent="0.2">
      <c r="A538" s="1197" t="s">
        <v>541</v>
      </c>
      <c r="B538" s="1159"/>
      <c r="C538" s="1160"/>
      <c r="D538" s="1161"/>
      <c r="E538" s="1160"/>
      <c r="F538" s="1160"/>
      <c r="G538" s="1160"/>
      <c r="H538" s="1162" t="s">
        <v>432</v>
      </c>
      <c r="I538" s="1167">
        <f>I539-I537</f>
        <v>3.3</v>
      </c>
      <c r="J538" s="1167"/>
      <c r="K538" s="1167">
        <f>+K549</f>
        <v>5.6</v>
      </c>
      <c r="L538" s="1167"/>
      <c r="M538" s="1167">
        <f>ROUND(I538*1000000*K538/10000000,2)</f>
        <v>1.85</v>
      </c>
      <c r="N538" s="1167"/>
      <c r="O538" s="1167"/>
    </row>
    <row r="539" spans="1:19" ht="16.5" x14ac:dyDescent="0.2">
      <c r="A539" s="1197" t="s">
        <v>541</v>
      </c>
      <c r="B539" s="1172"/>
      <c r="C539" s="1173"/>
      <c r="D539" s="1174" t="s">
        <v>486</v>
      </c>
      <c r="E539" s="1173">
        <f>SUM(E537:E538)</f>
        <v>7161</v>
      </c>
      <c r="F539" s="1173">
        <f>SUM(F537:F538)</f>
        <v>7161</v>
      </c>
      <c r="G539" s="1173">
        <f>SUM(G537:G538)</f>
        <v>716</v>
      </c>
      <c r="H539" s="1173"/>
      <c r="I539" s="1175">
        <f>Sales_FY24!$Q$168</f>
        <v>7.6</v>
      </c>
      <c r="J539" s="1175"/>
      <c r="K539" s="1175"/>
      <c r="L539" s="1175">
        <f>SUM(L537:L538)</f>
        <v>0.86</v>
      </c>
      <c r="M539" s="1175">
        <f>SUM(M537:M538)</f>
        <v>3.6100000000000003</v>
      </c>
      <c r="N539" s="1175">
        <f>+L539+M539</f>
        <v>4.4700000000000006</v>
      </c>
      <c r="O539" s="1171">
        <f>ROUND(N539/I539*10,2)</f>
        <v>5.88</v>
      </c>
    </row>
    <row r="540" spans="1:19" ht="16.5" x14ac:dyDescent="0.2">
      <c r="A540" s="1197" t="s">
        <v>541</v>
      </c>
      <c r="B540" s="1164">
        <v>1</v>
      </c>
      <c r="C540" s="1165" t="s">
        <v>484</v>
      </c>
      <c r="D540" s="1165"/>
      <c r="E540" s="1169">
        <f>+E536+E539</f>
        <v>597675</v>
      </c>
      <c r="F540" s="1169">
        <f>+F536+F539</f>
        <v>597675</v>
      </c>
      <c r="G540" s="1169">
        <f>+G536+G539</f>
        <v>59767</v>
      </c>
      <c r="H540" s="1165"/>
      <c r="I540" s="1170">
        <f>+I536+I539</f>
        <v>270.65000000000003</v>
      </c>
      <c r="J540" s="1170"/>
      <c r="K540" s="1170"/>
      <c r="L540" s="1170">
        <f>+L536+L539</f>
        <v>0.86</v>
      </c>
      <c r="M540" s="1170" t="e">
        <f>+M536+M539</f>
        <v>#REF!</v>
      </c>
      <c r="N540" s="1170" t="e">
        <f>L540+M540</f>
        <v>#REF!</v>
      </c>
      <c r="O540" s="1170"/>
      <c r="R540" s="1224" t="e">
        <f>+N540-#REF!</f>
        <v>#REF!</v>
      </c>
    </row>
    <row r="541" spans="1:19" ht="16.5" x14ac:dyDescent="0.2">
      <c r="A541" s="1197" t="s">
        <v>541</v>
      </c>
      <c r="B541" s="1163"/>
      <c r="C541" s="1163"/>
      <c r="D541" s="1163"/>
      <c r="E541" s="1163"/>
      <c r="F541" s="1163"/>
      <c r="G541" s="1163"/>
      <c r="H541" s="1163"/>
      <c r="I541" s="1176"/>
      <c r="J541" s="1176"/>
      <c r="K541" s="1176"/>
      <c r="L541" s="1176"/>
      <c r="M541" s="1176"/>
      <c r="N541" s="1176"/>
      <c r="O541" s="1176"/>
    </row>
    <row r="542" spans="1:19" ht="16.5" x14ac:dyDescent="0.2">
      <c r="A542" s="1197" t="s">
        <v>541</v>
      </c>
      <c r="B542" s="1159"/>
      <c r="C542" s="1160" t="s">
        <v>485</v>
      </c>
      <c r="D542" s="1160" t="s">
        <v>43</v>
      </c>
      <c r="E542" s="1160">
        <f>ROUND(E546*78%,0)</f>
        <v>834171</v>
      </c>
      <c r="F542" s="1160">
        <f>ROUND(F546*78%,0)</f>
        <v>818362</v>
      </c>
      <c r="G542" s="1160">
        <f>ROUND(F542*0.8,0)</f>
        <v>654690</v>
      </c>
      <c r="H542" s="1162" t="s">
        <v>426</v>
      </c>
      <c r="I542" s="1167">
        <f>ROUND(I546*28.317%,2)</f>
        <v>296.22000000000003</v>
      </c>
      <c r="J542" s="1167" t="e">
        <f>+#REF!</f>
        <v>#REF!</v>
      </c>
      <c r="K542" s="1167" t="e">
        <f>+#REF!</f>
        <v>#REF!</v>
      </c>
      <c r="L542" s="1167" t="e">
        <f>ROUND((F542*J542*12)/10000000,2)</f>
        <v>#REF!</v>
      </c>
      <c r="M542" s="1167" t="e">
        <f>ROUND(I542*1000000*K542/10000000,2)</f>
        <v>#REF!</v>
      </c>
      <c r="N542" s="1167"/>
      <c r="O542" s="1171"/>
    </row>
    <row r="543" spans="1:19" ht="16.5" x14ac:dyDescent="0.2">
      <c r="A543" s="1197" t="s">
        <v>541</v>
      </c>
      <c r="B543" s="1159"/>
      <c r="C543" s="1160"/>
      <c r="D543" s="1160" t="s">
        <v>451</v>
      </c>
      <c r="E543" s="1160">
        <f>ROUND(E546*22%,0)</f>
        <v>235279</v>
      </c>
      <c r="F543" s="1160">
        <f>ROUND(F546*22%,0)</f>
        <v>230820</v>
      </c>
      <c r="G543" s="1160">
        <f>ROUND(F543*3.25,0)</f>
        <v>750165</v>
      </c>
      <c r="H543" s="1162" t="s">
        <v>432</v>
      </c>
      <c r="I543" s="1167">
        <f>ROUND(I546*33.39%,2)</f>
        <v>349.29</v>
      </c>
      <c r="J543" s="1167" t="e">
        <f>+#REF!</f>
        <v>#REF!</v>
      </c>
      <c r="K543" s="1167" t="e">
        <f>+#REF!</f>
        <v>#REF!</v>
      </c>
      <c r="L543" s="1167" t="e">
        <f>ROUND(((F543*J542*12)+((G543-F543)*J543*12))/10000000,2)</f>
        <v>#REF!</v>
      </c>
      <c r="M543" s="1167" t="e">
        <f>ROUND(I543*1000000*K543/10000000,2)</f>
        <v>#REF!</v>
      </c>
      <c r="N543" s="1167"/>
      <c r="O543" s="1167"/>
    </row>
    <row r="544" spans="1:19" ht="16.5" x14ac:dyDescent="0.2">
      <c r="A544" s="1197" t="s">
        <v>541</v>
      </c>
      <c r="B544" s="1159"/>
      <c r="C544" s="1160"/>
      <c r="D544" s="1160" t="s">
        <v>444</v>
      </c>
      <c r="E544" s="1160">
        <f>+E546-E542-E543</f>
        <v>0</v>
      </c>
      <c r="F544" s="1160">
        <f>+F546-F542-F543</f>
        <v>0</v>
      </c>
      <c r="G544" s="1160">
        <f>ROUND(F544*0,0)</f>
        <v>0</v>
      </c>
      <c r="H544" s="1162" t="s">
        <v>380</v>
      </c>
      <c r="I544" s="1167">
        <f>ROUND(I546*24.553%,2)</f>
        <v>256.85000000000002</v>
      </c>
      <c r="J544" s="1167" t="e">
        <f>+#REF!</f>
        <v>#REF!</v>
      </c>
      <c r="K544" s="1167" t="e">
        <f>+#REF!</f>
        <v>#REF!</v>
      </c>
      <c r="L544" s="1167" t="e">
        <f>ROUND(((F544*J542*12)+(F544*49*12*J543)+((G544-(F544*50))*12*J544))/10000000,2)</f>
        <v>#REF!</v>
      </c>
      <c r="M544" s="1167" t="e">
        <f>ROUND(I544*1000000*K544/10000000,2)</f>
        <v>#REF!</v>
      </c>
      <c r="N544" s="1167"/>
      <c r="O544" s="1167"/>
    </row>
    <row r="545" spans="1:18" ht="16.5" x14ac:dyDescent="0.2">
      <c r="A545" s="1197" t="s">
        <v>541</v>
      </c>
      <c r="B545" s="1159"/>
      <c r="C545" s="1160"/>
      <c r="D545" s="1160"/>
      <c r="E545" s="1160"/>
      <c r="F545" s="1160"/>
      <c r="G545" s="1160"/>
      <c r="H545" s="1162" t="s">
        <v>411</v>
      </c>
      <c r="I545" s="1167">
        <f>+I546-I542-I543-I544</f>
        <v>143.72999999999985</v>
      </c>
      <c r="J545" s="1167"/>
      <c r="K545" s="1167" t="e">
        <f>+#REF!</f>
        <v>#REF!</v>
      </c>
      <c r="L545" s="1167"/>
      <c r="M545" s="1167" t="e">
        <f>ROUND(I545*1000000*K545/10000000,2)</f>
        <v>#REF!</v>
      </c>
      <c r="N545" s="1167"/>
      <c r="O545" s="1167"/>
    </row>
    <row r="546" spans="1:18" ht="16.5" x14ac:dyDescent="0.2">
      <c r="A546" s="1197" t="s">
        <v>541</v>
      </c>
      <c r="B546" s="1164"/>
      <c r="C546" s="1165"/>
      <c r="D546" s="1166" t="s">
        <v>486</v>
      </c>
      <c r="E546" s="1165">
        <f>ROUND(E553*50.71%,0)</f>
        <v>1069450</v>
      </c>
      <c r="F546" s="1165">
        <f>ROUND(F553*50.71%,0)</f>
        <v>1049182</v>
      </c>
      <c r="G546" s="1165">
        <f>SUM(G542:G545)</f>
        <v>1404855</v>
      </c>
      <c r="H546" s="1165"/>
      <c r="I546" s="1170">
        <f>ROUND(I553*73.34%,2)</f>
        <v>1046.0899999999999</v>
      </c>
      <c r="J546" s="1170"/>
      <c r="K546" s="1170"/>
      <c r="L546" s="1170" t="e">
        <f>SUM(L542:L545)</f>
        <v>#REF!</v>
      </c>
      <c r="M546" s="1170" t="e">
        <f>SUM(M542:M545)</f>
        <v>#REF!</v>
      </c>
      <c r="N546" s="1170" t="e">
        <f>L546+M546</f>
        <v>#REF!</v>
      </c>
      <c r="O546" s="1177" t="e">
        <f>ROUND(N546/I546*10,2)</f>
        <v>#REF!</v>
      </c>
      <c r="R546" s="1224" t="e">
        <f>+N546-#REF!</f>
        <v>#REF!</v>
      </c>
    </row>
    <row r="547" spans="1:18" ht="16.5" x14ac:dyDescent="0.2">
      <c r="A547" s="1197" t="s">
        <v>541</v>
      </c>
      <c r="B547" s="1163"/>
      <c r="C547" s="1163"/>
      <c r="D547" s="1163"/>
      <c r="E547" s="1163"/>
      <c r="F547" s="1163"/>
      <c r="G547" s="1163"/>
      <c r="H547" s="1163"/>
      <c r="I547" s="1176"/>
      <c r="J547" s="1176"/>
      <c r="K547" s="1176"/>
      <c r="L547" s="1176"/>
      <c r="M547" s="1176"/>
      <c r="N547" s="1176"/>
      <c r="O547" s="1176"/>
    </row>
    <row r="548" spans="1:18" ht="16.5" x14ac:dyDescent="0.2">
      <c r="A548" s="1197" t="s">
        <v>541</v>
      </c>
      <c r="B548" s="1159"/>
      <c r="C548" s="1160" t="s">
        <v>555</v>
      </c>
      <c r="D548" s="1160" t="s">
        <v>43</v>
      </c>
      <c r="E548" s="1160">
        <f>ROUND(E552*91%,0)</f>
        <v>945947</v>
      </c>
      <c r="F548" s="1160">
        <f>ROUND(F552*91%,0)</f>
        <v>928020</v>
      </c>
      <c r="G548" s="1160">
        <f>ROUND(F548*0.75,0)</f>
        <v>696015</v>
      </c>
      <c r="H548" s="1162" t="s">
        <v>426</v>
      </c>
      <c r="I548" s="1167">
        <f>ROUND(I552*42.843%,2)</f>
        <v>162.91</v>
      </c>
      <c r="J548" s="1167">
        <v>100</v>
      </c>
      <c r="K548" s="1167">
        <v>4.0999999999999996</v>
      </c>
      <c r="L548" s="1167">
        <f>ROUND((F548*J548*12)/10000000,2)</f>
        <v>111.36</v>
      </c>
      <c r="M548" s="1167">
        <f>ROUND(I548*1000000*K548/10000000,2)</f>
        <v>66.790000000000006</v>
      </c>
      <c r="N548" s="1167"/>
      <c r="O548" s="1167"/>
    </row>
    <row r="549" spans="1:18" ht="16.5" x14ac:dyDescent="0.2">
      <c r="A549" s="1197" t="s">
        <v>541</v>
      </c>
      <c r="B549" s="1159"/>
      <c r="C549" s="1160"/>
      <c r="D549" s="1160" t="s">
        <v>451</v>
      </c>
      <c r="E549" s="1160">
        <f>ROUND(E552*8.99998%,0)</f>
        <v>93555</v>
      </c>
      <c r="F549" s="1160">
        <f>ROUND(F552*8.99998%,0)</f>
        <v>91782</v>
      </c>
      <c r="G549" s="1160">
        <f>ROUND(F549*2.885,0)</f>
        <v>264791</v>
      </c>
      <c r="H549" s="1162" t="s">
        <v>432</v>
      </c>
      <c r="I549" s="1167">
        <f>ROUND(I552*39.42%,2)</f>
        <v>149.9</v>
      </c>
      <c r="J549" s="1167">
        <v>110</v>
      </c>
      <c r="K549" s="1167">
        <v>5.6</v>
      </c>
      <c r="L549" s="1167">
        <f>ROUND(((F549*J548*12)+((G549-F549)*J549*12))/10000000,2)</f>
        <v>33.85</v>
      </c>
      <c r="M549" s="1167">
        <f>ROUND(I549*1000000*K549/10000000,2)</f>
        <v>83.94</v>
      </c>
      <c r="N549" s="1167"/>
      <c r="O549" s="1167"/>
    </row>
    <row r="550" spans="1:18" ht="16.5" x14ac:dyDescent="0.2">
      <c r="A550" s="1197" t="s">
        <v>541</v>
      </c>
      <c r="B550" s="1159"/>
      <c r="C550" s="1160"/>
      <c r="D550" s="1160" t="s">
        <v>444</v>
      </c>
      <c r="E550" s="1160">
        <f>+E552-E548-E549</f>
        <v>0</v>
      </c>
      <c r="F550" s="1160">
        <f>+F552-F548-F549</f>
        <v>0</v>
      </c>
      <c r="G550" s="1160">
        <f>ROUND(F550*0,0)</f>
        <v>0</v>
      </c>
      <c r="H550" s="1162" t="s">
        <v>380</v>
      </c>
      <c r="I550" s="1167">
        <f>ROUND(I552*12.307%,2)</f>
        <v>46.8</v>
      </c>
      <c r="J550" s="1167">
        <v>175</v>
      </c>
      <c r="K550" s="1167">
        <v>7.15</v>
      </c>
      <c r="L550" s="1167">
        <f>ROUND(((F550*J548*12)+(F550*49*12*J549)+((G550-(F550*50))*12*J550))/10000000,2)</f>
        <v>0</v>
      </c>
      <c r="M550" s="1167">
        <f>ROUND(I550*1000000*K550/10000000,2)</f>
        <v>33.46</v>
      </c>
      <c r="N550" s="1167"/>
      <c r="O550" s="1167"/>
    </row>
    <row r="551" spans="1:18" ht="16.5" x14ac:dyDescent="0.2">
      <c r="A551" s="1197" t="s">
        <v>541</v>
      </c>
      <c r="B551" s="1159"/>
      <c r="C551" s="1160"/>
      <c r="D551" s="1160"/>
      <c r="E551" s="1160"/>
      <c r="F551" s="1160"/>
      <c r="G551" s="1160"/>
      <c r="H551" s="1162" t="s">
        <v>411</v>
      </c>
      <c r="I551" s="1167">
        <f>+I552-I548-I549-I550</f>
        <v>20.649999999999991</v>
      </c>
      <c r="J551" s="1167"/>
      <c r="K551" s="1167">
        <v>8.1999999999999993</v>
      </c>
      <c r="L551" s="1167"/>
      <c r="M551" s="1167">
        <f>ROUND(I551*1000000*K551/10000000,2)</f>
        <v>16.93</v>
      </c>
      <c r="N551" s="1167"/>
      <c r="O551" s="1167"/>
    </row>
    <row r="552" spans="1:18" ht="16.5" x14ac:dyDescent="0.2">
      <c r="A552" s="1197" t="s">
        <v>541</v>
      </c>
      <c r="B552" s="1164"/>
      <c r="C552" s="1165"/>
      <c r="D552" s="1166" t="s">
        <v>486</v>
      </c>
      <c r="E552" s="1169">
        <f>E553-E546</f>
        <v>1039502</v>
      </c>
      <c r="F552" s="1169">
        <f>F553-F546</f>
        <v>1019802</v>
      </c>
      <c r="G552" s="1165">
        <f>SUM(G548:G551)</f>
        <v>960806</v>
      </c>
      <c r="H552" s="1165"/>
      <c r="I552" s="1170">
        <f>I553-I546</f>
        <v>380.26</v>
      </c>
      <c r="J552" s="1170"/>
      <c r="K552" s="1170"/>
      <c r="L552" s="1170">
        <f>SUM(L548:L551)</f>
        <v>145.21</v>
      </c>
      <c r="M552" s="1170">
        <f>SUM(M548:M551)</f>
        <v>201.12000000000003</v>
      </c>
      <c r="N552" s="1170">
        <f>L552+M552</f>
        <v>346.33000000000004</v>
      </c>
      <c r="O552" s="1177">
        <f>ROUND(N552/I552*10,2)</f>
        <v>9.11</v>
      </c>
      <c r="R552" s="1224" t="e">
        <f>+N552-#REF!</f>
        <v>#REF!</v>
      </c>
    </row>
    <row r="553" spans="1:18" ht="16.5" x14ac:dyDescent="0.2">
      <c r="A553" s="1197" t="s">
        <v>541</v>
      </c>
      <c r="B553" s="1164">
        <v>2</v>
      </c>
      <c r="C553" s="1165" t="s">
        <v>490</v>
      </c>
      <c r="D553" s="1165"/>
      <c r="E553" s="1169">
        <f>Sales_FY24!$P$169</f>
        <v>2108952</v>
      </c>
      <c r="F553" s="1169">
        <f>Sales_FY24!$V$169</f>
        <v>2068984</v>
      </c>
      <c r="G553" s="1169">
        <f>G546+G552</f>
        <v>2365661</v>
      </c>
      <c r="H553" s="1165"/>
      <c r="I553" s="1170">
        <f>Sales_FY24!$Q$169</f>
        <v>1426.35</v>
      </c>
      <c r="J553" s="1170"/>
      <c r="K553" s="1170"/>
      <c r="L553" s="1170" t="e">
        <f>L546+L552</f>
        <v>#REF!</v>
      </c>
      <c r="M553" s="1170" t="e">
        <f>M546+M552</f>
        <v>#REF!</v>
      </c>
      <c r="N553" s="1170" t="e">
        <f>L553+M553</f>
        <v>#REF!</v>
      </c>
      <c r="O553" s="1177" t="e">
        <f>ROUND(N553/I553*10,2)</f>
        <v>#REF!</v>
      </c>
      <c r="R553" s="1224"/>
    </row>
    <row r="554" spans="1:18" ht="16.5" x14ac:dyDescent="0.2">
      <c r="A554" s="1197" t="s">
        <v>541</v>
      </c>
      <c r="B554" s="1163"/>
      <c r="C554" s="1163"/>
      <c r="D554" s="1163"/>
      <c r="E554" s="1163"/>
      <c r="F554" s="1163"/>
      <c r="G554" s="1163"/>
      <c r="H554" s="1163"/>
      <c r="I554" s="1176"/>
      <c r="J554" s="1176"/>
      <c r="K554" s="1176"/>
      <c r="L554" s="1176"/>
      <c r="M554" s="1176"/>
      <c r="N554" s="1176"/>
      <c r="O554" s="1176"/>
    </row>
    <row r="555" spans="1:18" ht="16.5" x14ac:dyDescent="0.2">
      <c r="A555" s="1197" t="s">
        <v>541</v>
      </c>
      <c r="B555" s="1159"/>
      <c r="C555" s="1160" t="s">
        <v>491</v>
      </c>
      <c r="D555" s="1160" t="s">
        <v>492</v>
      </c>
      <c r="E555" s="1160">
        <f>ROUND(E558*100%,0)</f>
        <v>4457</v>
      </c>
      <c r="F555" s="1160">
        <f>ROUND(F558*100%,0)</f>
        <v>4350</v>
      </c>
      <c r="G555" s="1160">
        <f>ROUND(F555*2.85,0)</f>
        <v>12398</v>
      </c>
      <c r="H555" s="1162" t="s">
        <v>493</v>
      </c>
      <c r="I555" s="1167">
        <f>ROUND(I558*35.5%,2)</f>
        <v>4.04</v>
      </c>
      <c r="J555" s="1167" t="e">
        <f>+#REF!</f>
        <v>#REF!</v>
      </c>
      <c r="K555" s="1167" t="e">
        <f>+#REF!</f>
        <v>#REF!</v>
      </c>
      <c r="L555" s="1167" t="e">
        <f>ROUND(G555*J555*12/10000000,2)</f>
        <v>#REF!</v>
      </c>
      <c r="M555" s="1167" t="e">
        <f>ROUND(I555*1000000*K555/10000000,2)</f>
        <v>#REF!</v>
      </c>
      <c r="N555" s="1167"/>
      <c r="O555" s="1167"/>
    </row>
    <row r="556" spans="1:18" ht="16.5" x14ac:dyDescent="0.2">
      <c r="A556" s="1197" t="s">
        <v>541</v>
      </c>
      <c r="B556" s="1159"/>
      <c r="C556" s="1160"/>
      <c r="D556" s="1160" t="s">
        <v>444</v>
      </c>
      <c r="E556" s="1160">
        <f>E558-E555</f>
        <v>0</v>
      </c>
      <c r="F556" s="1160">
        <f>F558-F555</f>
        <v>0</v>
      </c>
      <c r="G556" s="1160">
        <f>ROUND(F556*23.54637,0)</f>
        <v>0</v>
      </c>
      <c r="H556" s="1162" t="s">
        <v>411</v>
      </c>
      <c r="I556" s="1167">
        <f>I558-I555</f>
        <v>7.3299999999999992</v>
      </c>
      <c r="J556" s="1167" t="e">
        <f>+#REF!</f>
        <v>#REF!</v>
      </c>
      <c r="K556" s="1167" t="e">
        <f>+#REF!</f>
        <v>#REF!</v>
      </c>
      <c r="L556" s="1167" t="e">
        <f>ROUND(((F556*J555*50*12)+((G556-(F556*50))*J556*12))/10000000,2)</f>
        <v>#REF!</v>
      </c>
      <c r="M556" s="1167" t="e">
        <f>ROUND(I556*1000000*K556/10000000,2)</f>
        <v>#REF!</v>
      </c>
      <c r="N556" s="1167"/>
      <c r="O556" s="1167"/>
    </row>
    <row r="557" spans="1:18" ht="16.5" x14ac:dyDescent="0.2">
      <c r="A557" s="1197" t="s">
        <v>541</v>
      </c>
      <c r="B557" s="1159"/>
      <c r="C557" s="1160"/>
      <c r="D557" s="1160" t="s">
        <v>556</v>
      </c>
      <c r="E557" s="1160"/>
      <c r="F557" s="1160"/>
      <c r="G557" s="1160"/>
      <c r="H557" s="1162"/>
      <c r="I557" s="1167"/>
      <c r="J557" s="1186" t="e">
        <f>+#REF!</f>
        <v>#REF!</v>
      </c>
      <c r="K557" s="1167"/>
      <c r="L557" s="1167"/>
      <c r="M557" s="1167"/>
      <c r="N557" s="1167"/>
      <c r="O557" s="1167"/>
    </row>
    <row r="558" spans="1:18" ht="16.5" x14ac:dyDescent="0.2">
      <c r="A558" s="1197" t="s">
        <v>541</v>
      </c>
      <c r="B558" s="1164"/>
      <c r="C558" s="1165"/>
      <c r="D558" s="1166" t="s">
        <v>486</v>
      </c>
      <c r="E558" s="1165">
        <f>ROUND(E564*71.99%,0)</f>
        <v>4457</v>
      </c>
      <c r="F558" s="1165">
        <f>ROUND(F564*71.99%,0)</f>
        <v>4350</v>
      </c>
      <c r="G558" s="1165">
        <f>SUM(G555:G556)</f>
        <v>12398</v>
      </c>
      <c r="H558" s="1165"/>
      <c r="I558" s="1170">
        <f>ROUND(I564*84.35%,2)</f>
        <v>11.37</v>
      </c>
      <c r="J558" s="1170"/>
      <c r="K558" s="1170"/>
      <c r="L558" s="1170" t="e">
        <f>SUM(L555:L556)</f>
        <v>#REF!</v>
      </c>
      <c r="M558" s="1170" t="e">
        <f>SUM(M555:M556)</f>
        <v>#REF!</v>
      </c>
      <c r="N558" s="1170" t="e">
        <f>L558+M558</f>
        <v>#REF!</v>
      </c>
      <c r="O558" s="1177" t="e">
        <f>ROUND(N558/I558*10,2)</f>
        <v>#REF!</v>
      </c>
      <c r="R558" s="1224" t="e">
        <f>+N558-#REF!</f>
        <v>#REF!</v>
      </c>
    </row>
    <row r="559" spans="1:18" ht="16.5" x14ac:dyDescent="0.2">
      <c r="A559" s="1197" t="s">
        <v>541</v>
      </c>
      <c r="B559" s="1163"/>
      <c r="C559" s="1163"/>
      <c r="D559" s="1163"/>
      <c r="E559" s="1163"/>
      <c r="F559" s="1163"/>
      <c r="G559" s="1163"/>
      <c r="H559" s="1163"/>
      <c r="I559" s="1176"/>
      <c r="J559" s="1176"/>
      <c r="K559" s="1176"/>
      <c r="L559" s="1176"/>
      <c r="M559" s="1176"/>
      <c r="N559" s="1176"/>
      <c r="O559" s="1176"/>
    </row>
    <row r="560" spans="1:18" ht="16.5" x14ac:dyDescent="0.2">
      <c r="A560" s="1197" t="s">
        <v>541</v>
      </c>
      <c r="B560" s="1159"/>
      <c r="C560" s="1160" t="s">
        <v>554</v>
      </c>
      <c r="D560" s="1160" t="s">
        <v>492</v>
      </c>
      <c r="E560" s="1160">
        <f>ROUND(E563*100%,0)</f>
        <v>1734</v>
      </c>
      <c r="F560" s="1160">
        <f>ROUND(F563*100%,0)</f>
        <v>1692</v>
      </c>
      <c r="G560" s="1160">
        <f>ROUND(F560*2.5,0)</f>
        <v>4230</v>
      </c>
      <c r="H560" s="1162" t="s">
        <v>493</v>
      </c>
      <c r="I560" s="1167">
        <f>ROUND(I563*65%,2)</f>
        <v>1.37</v>
      </c>
      <c r="J560" s="1167">
        <v>120</v>
      </c>
      <c r="K560" s="1167">
        <v>7.3</v>
      </c>
      <c r="L560" s="1167">
        <f>ROUND(G560*J560*12/10000000,2)</f>
        <v>0.61</v>
      </c>
      <c r="M560" s="1167">
        <f>ROUND(I560*1000000*K560/10000000,2)</f>
        <v>1</v>
      </c>
      <c r="N560" s="1167"/>
      <c r="O560" s="1167"/>
    </row>
    <row r="561" spans="1:18" ht="16.5" x14ac:dyDescent="0.2">
      <c r="A561" s="1197" t="s">
        <v>541</v>
      </c>
      <c r="B561" s="1159"/>
      <c r="C561" s="1160"/>
      <c r="D561" s="1160" t="s">
        <v>444</v>
      </c>
      <c r="E561" s="1160">
        <f>E563-E560</f>
        <v>0</v>
      </c>
      <c r="F561" s="1160">
        <f>F563-F560</f>
        <v>0</v>
      </c>
      <c r="G561" s="1160">
        <f>ROUND(F561*19.14236,0)</f>
        <v>0</v>
      </c>
      <c r="H561" s="1162" t="s">
        <v>411</v>
      </c>
      <c r="I561" s="1167">
        <f>I563-I560</f>
        <v>0.7400000000000011</v>
      </c>
      <c r="J561" s="1167">
        <v>175</v>
      </c>
      <c r="K561" s="1167">
        <v>8.5500000000000007</v>
      </c>
      <c r="L561" s="1167">
        <f>ROUND(((F561*J560*50*12)+((G561-(F561*50))*J561*12))/10000000,2)</f>
        <v>0</v>
      </c>
      <c r="M561" s="1167">
        <f>ROUND(I561*1000000*K561/10000000,2)</f>
        <v>0.63</v>
      </c>
      <c r="N561" s="1167"/>
      <c r="O561" s="1167"/>
    </row>
    <row r="562" spans="1:18" ht="16.5" x14ac:dyDescent="0.2">
      <c r="A562" s="1197" t="s">
        <v>541</v>
      </c>
      <c r="B562" s="1159"/>
      <c r="C562" s="1160"/>
      <c r="D562" s="1160" t="s">
        <v>556</v>
      </c>
      <c r="E562" s="1160"/>
      <c r="F562" s="1160"/>
      <c r="G562" s="1160"/>
      <c r="H562" s="1162"/>
      <c r="I562" s="1167"/>
      <c r="J562" s="1186">
        <v>150</v>
      </c>
      <c r="K562" s="1167"/>
      <c r="L562" s="1167"/>
      <c r="M562" s="1167"/>
      <c r="N562" s="1167"/>
      <c r="O562" s="1167"/>
    </row>
    <row r="563" spans="1:18" ht="16.5" x14ac:dyDescent="0.2">
      <c r="A563" s="1197" t="s">
        <v>541</v>
      </c>
      <c r="B563" s="1164"/>
      <c r="C563" s="1165"/>
      <c r="D563" s="1166" t="s">
        <v>486</v>
      </c>
      <c r="E563" s="1169">
        <f>E564-E558</f>
        <v>1734</v>
      </c>
      <c r="F563" s="1169">
        <f>F564-F558</f>
        <v>1692</v>
      </c>
      <c r="G563" s="1165">
        <f>SUM(G560:G561)</f>
        <v>4230</v>
      </c>
      <c r="H563" s="1165"/>
      <c r="I563" s="1170">
        <f>I564-I558</f>
        <v>2.1100000000000012</v>
      </c>
      <c r="J563" s="1170"/>
      <c r="K563" s="1170"/>
      <c r="L563" s="1170">
        <f>SUM(L560:L561)</f>
        <v>0.61</v>
      </c>
      <c r="M563" s="1170">
        <f>SUM(M560:M561)</f>
        <v>1.63</v>
      </c>
      <c r="N563" s="1170">
        <f>L563+M563</f>
        <v>2.2399999999999998</v>
      </c>
      <c r="O563" s="1177">
        <f>ROUND(N563/I563*10,2)</f>
        <v>10.62</v>
      </c>
      <c r="R563" s="1224" t="e">
        <f>+N563-#REF!</f>
        <v>#REF!</v>
      </c>
    </row>
    <row r="564" spans="1:18" ht="16.5" x14ac:dyDescent="0.2">
      <c r="A564" s="1197" t="s">
        <v>541</v>
      </c>
      <c r="B564" s="1164">
        <v>3</v>
      </c>
      <c r="C564" s="1165" t="s">
        <v>553</v>
      </c>
      <c r="D564" s="1165"/>
      <c r="E564" s="1169">
        <f>Sales_FY24!$P$170</f>
        <v>6191</v>
      </c>
      <c r="F564" s="1169">
        <f>Sales_FY24!$V$170</f>
        <v>6042</v>
      </c>
      <c r="G564" s="1169">
        <f>G555+G563</f>
        <v>16628</v>
      </c>
      <c r="H564" s="1165"/>
      <c r="I564" s="1170">
        <f>Sales_FY24!$Q$170</f>
        <v>13.48</v>
      </c>
      <c r="J564" s="1170"/>
      <c r="K564" s="1170"/>
      <c r="L564" s="1170" t="e">
        <f>L558+L563</f>
        <v>#REF!</v>
      </c>
      <c r="M564" s="1170" t="e">
        <f>M558+M563</f>
        <v>#REF!</v>
      </c>
      <c r="N564" s="1170" t="e">
        <f>L564+M564</f>
        <v>#REF!</v>
      </c>
      <c r="O564" s="1177" t="e">
        <f>ROUND(N564/I564*10,2)</f>
        <v>#REF!</v>
      </c>
    </row>
    <row r="565" spans="1:18" ht="16.5" x14ac:dyDescent="0.2">
      <c r="A565" s="1197" t="s">
        <v>541</v>
      </c>
      <c r="B565" s="1163"/>
      <c r="C565" s="1163"/>
      <c r="D565" s="1163"/>
      <c r="E565" s="1163"/>
      <c r="F565" s="1163"/>
      <c r="G565" s="1163"/>
      <c r="H565" s="1163"/>
      <c r="I565" s="1176"/>
      <c r="J565" s="1176"/>
      <c r="K565" s="1176"/>
      <c r="L565" s="1176"/>
      <c r="M565" s="1176"/>
      <c r="N565" s="1176"/>
      <c r="O565" s="1176"/>
    </row>
    <row r="566" spans="1:18" ht="16.5" x14ac:dyDescent="0.2">
      <c r="A566" s="1197" t="s">
        <v>541</v>
      </c>
      <c r="B566" s="1159"/>
      <c r="C566" s="1160" t="s">
        <v>69</v>
      </c>
      <c r="D566" s="1160" t="s">
        <v>492</v>
      </c>
      <c r="E566" s="1160">
        <f>ROUND(E568*100%,0)</f>
        <v>253681</v>
      </c>
      <c r="F566" s="1160">
        <f>ROUND(F568*100%,0)</f>
        <v>248324</v>
      </c>
      <c r="G566" s="1160">
        <f>ROUND(F566*2.25,0)</f>
        <v>558729</v>
      </c>
      <c r="H566" s="1162" t="s">
        <v>426</v>
      </c>
      <c r="I566" s="1167">
        <f>ROUND(I568*30.76%,2)</f>
        <v>97.42</v>
      </c>
      <c r="J566" s="1167" t="e">
        <f>+#REF!</f>
        <v>#REF!</v>
      </c>
      <c r="K566" s="1167" t="e">
        <f>+#REF!</f>
        <v>#REF!</v>
      </c>
      <c r="L566" s="1167" t="e">
        <f>ROUND(G566*J566*12/10000000,2)</f>
        <v>#REF!</v>
      </c>
      <c r="M566" s="1167" t="e">
        <f>ROUND(I566*1000000*K566/10000000,2)</f>
        <v>#REF!</v>
      </c>
      <c r="N566" s="1167"/>
      <c r="O566" s="1167"/>
    </row>
    <row r="567" spans="1:18" ht="16.5" x14ac:dyDescent="0.2">
      <c r="A567" s="1197" t="s">
        <v>541</v>
      </c>
      <c r="B567" s="1159"/>
      <c r="C567" s="1160"/>
      <c r="D567" s="1160" t="s">
        <v>444</v>
      </c>
      <c r="E567" s="1160">
        <f>E568-E566</f>
        <v>0</v>
      </c>
      <c r="F567" s="1160">
        <f>F568-F566</f>
        <v>0</v>
      </c>
      <c r="G567" s="1160">
        <f>ROUND(F567*0,0)</f>
        <v>0</v>
      </c>
      <c r="H567" s="1162" t="s">
        <v>558</v>
      </c>
      <c r="I567" s="1167">
        <f>I568-I566</f>
        <v>219.3</v>
      </c>
      <c r="J567" s="1167" t="e">
        <f>+#REF!</f>
        <v>#REF!</v>
      </c>
      <c r="K567" s="1167" t="e">
        <f>+#REF!</f>
        <v>#REF!</v>
      </c>
      <c r="L567" s="1167" t="e">
        <f>ROUND(((F567*J566*50*12)+((G567-(F567*50))*J567*12))/10000000,2)</f>
        <v>#REF!</v>
      </c>
      <c r="M567" s="1167" t="e">
        <f>ROUND(I567*1000000*K567/10000000,2)</f>
        <v>#REF!</v>
      </c>
      <c r="N567" s="1167"/>
      <c r="O567" s="1167"/>
    </row>
    <row r="568" spans="1:18" ht="16.5" x14ac:dyDescent="0.2">
      <c r="A568" s="1197" t="s">
        <v>541</v>
      </c>
      <c r="B568" s="1164"/>
      <c r="C568" s="1165"/>
      <c r="D568" s="1166" t="s">
        <v>486</v>
      </c>
      <c r="E568" s="1165">
        <f>ROUND(E573*74.27987%,0)</f>
        <v>253681</v>
      </c>
      <c r="F568" s="1165">
        <f>ROUND(F573*74.27987%,0)</f>
        <v>248324</v>
      </c>
      <c r="G568" s="1165">
        <f>SUM(G566:G567)</f>
        <v>558729</v>
      </c>
      <c r="H568" s="1165"/>
      <c r="I568" s="1170">
        <f>ROUND(I573*73.9%,2)</f>
        <v>316.72000000000003</v>
      </c>
      <c r="J568" s="1170"/>
      <c r="K568" s="1170"/>
      <c r="L568" s="1170" t="e">
        <f>SUM(L566:L567)</f>
        <v>#REF!</v>
      </c>
      <c r="M568" s="1170" t="e">
        <f>SUM(M566:M567)</f>
        <v>#REF!</v>
      </c>
      <c r="N568" s="1170" t="e">
        <f>L568+M568</f>
        <v>#REF!</v>
      </c>
      <c r="O568" s="1177" t="e">
        <f>ROUND(N568/I568*10,2)</f>
        <v>#REF!</v>
      </c>
      <c r="R568" s="1224" t="e">
        <f>+N568-#REF!</f>
        <v>#REF!</v>
      </c>
    </row>
    <row r="569" spans="1:18" ht="16.5" x14ac:dyDescent="0.2">
      <c r="A569" s="1197" t="s">
        <v>541</v>
      </c>
      <c r="B569" s="1163"/>
      <c r="C569" s="1163"/>
      <c r="D569" s="1163"/>
      <c r="E569" s="1163"/>
      <c r="F569" s="1163"/>
      <c r="G569" s="1163"/>
      <c r="H569" s="1163"/>
      <c r="I569" s="1176"/>
      <c r="J569" s="1176"/>
      <c r="K569" s="1176"/>
      <c r="L569" s="1176"/>
      <c r="M569" s="1176"/>
      <c r="N569" s="1176"/>
      <c r="O569" s="1176"/>
    </row>
    <row r="570" spans="1:18" ht="16.5" x14ac:dyDescent="0.2">
      <c r="A570" s="1197" t="s">
        <v>541</v>
      </c>
      <c r="B570" s="1159"/>
      <c r="C570" s="1160" t="s">
        <v>76</v>
      </c>
      <c r="D570" s="1160" t="s">
        <v>492</v>
      </c>
      <c r="E570" s="1160">
        <f>ROUND(E572*100%,0)</f>
        <v>87840</v>
      </c>
      <c r="F570" s="1160">
        <f>ROUND(F572*100%,0)</f>
        <v>85985</v>
      </c>
      <c r="G570" s="1160">
        <f>ROUND(F570*1.75,0)</f>
        <v>150474</v>
      </c>
      <c r="H570" s="1162" t="s">
        <v>426</v>
      </c>
      <c r="I570" s="1167">
        <f>ROUND(I572*28.08%,2)</f>
        <v>31.41</v>
      </c>
      <c r="J570" s="1167">
        <v>125</v>
      </c>
      <c r="K570" s="1167">
        <v>8.4</v>
      </c>
      <c r="L570" s="1167">
        <f>ROUND(G570*J570*12/10000000,2)</f>
        <v>22.57</v>
      </c>
      <c r="M570" s="1167">
        <f>ROUND(I570*1000000*K570/10000000,2)</f>
        <v>26.38</v>
      </c>
      <c r="N570" s="1167"/>
      <c r="O570" s="1167"/>
    </row>
    <row r="571" spans="1:18" ht="16.5" x14ac:dyDescent="0.2">
      <c r="A571" s="1197" t="s">
        <v>541</v>
      </c>
      <c r="B571" s="1159"/>
      <c r="C571" s="1160"/>
      <c r="D571" s="1160" t="s">
        <v>444</v>
      </c>
      <c r="E571" s="1160">
        <f>E572-E570</f>
        <v>0</v>
      </c>
      <c r="F571" s="1160">
        <f>F572-F570</f>
        <v>0</v>
      </c>
      <c r="G571" s="1160">
        <f>ROUND(F571*0,0)</f>
        <v>0</v>
      </c>
      <c r="H571" s="1162" t="s">
        <v>558</v>
      </c>
      <c r="I571" s="1167">
        <f>I572-I570</f>
        <v>80.44999999999996</v>
      </c>
      <c r="J571" s="1167">
        <v>230</v>
      </c>
      <c r="K571" s="1167">
        <v>9.4</v>
      </c>
      <c r="L571" s="1167">
        <f>ROUND(((F571*J570*50*12)+((G571-(F571*50))*J571*12))/10000000,2)</f>
        <v>0</v>
      </c>
      <c r="M571" s="1167">
        <f>ROUND(I571*1000000*K571/10000000,2)</f>
        <v>75.62</v>
      </c>
      <c r="N571" s="1167"/>
      <c r="O571" s="1167"/>
    </row>
    <row r="572" spans="1:18" ht="16.5" x14ac:dyDescent="0.2">
      <c r="A572" s="1197" t="s">
        <v>541</v>
      </c>
      <c r="B572" s="1164"/>
      <c r="C572" s="1165"/>
      <c r="D572" s="1166" t="s">
        <v>486</v>
      </c>
      <c r="E572" s="1169">
        <f>E573-E568</f>
        <v>87840</v>
      </c>
      <c r="F572" s="1169">
        <f>F573-F568</f>
        <v>85985</v>
      </c>
      <c r="G572" s="1165">
        <f>SUM(G570:G571)</f>
        <v>150474</v>
      </c>
      <c r="H572" s="1165"/>
      <c r="I572" s="1170">
        <f>I573-I568</f>
        <v>111.85999999999996</v>
      </c>
      <c r="J572" s="1170"/>
      <c r="K572" s="1170"/>
      <c r="L572" s="1170">
        <f>SUM(L570:L571)</f>
        <v>22.57</v>
      </c>
      <c r="M572" s="1170">
        <f>SUM(M570:M571)</f>
        <v>102</v>
      </c>
      <c r="N572" s="1170">
        <f>L572+M572</f>
        <v>124.57</v>
      </c>
      <c r="O572" s="1177">
        <f>ROUND(N572/I572*10,2)</f>
        <v>11.14</v>
      </c>
      <c r="R572" s="1224" t="e">
        <f>+N572-#REF!</f>
        <v>#REF!</v>
      </c>
    </row>
    <row r="573" spans="1:18" ht="16.5" x14ac:dyDescent="0.2">
      <c r="A573" s="1197" t="s">
        <v>541</v>
      </c>
      <c r="B573" s="1164">
        <v>4</v>
      </c>
      <c r="C573" s="1165" t="s">
        <v>557</v>
      </c>
      <c r="D573" s="1165"/>
      <c r="E573" s="1169">
        <f>Sales_FY24!$P$171</f>
        <v>341521</v>
      </c>
      <c r="F573" s="1169">
        <f>Sales_FY24!$V$171</f>
        <v>334309</v>
      </c>
      <c r="G573" s="1169">
        <f>G568+G572</f>
        <v>709203</v>
      </c>
      <c r="H573" s="1165"/>
      <c r="I573" s="1170">
        <f>Sales_FY24!$Q$171</f>
        <v>428.58</v>
      </c>
      <c r="J573" s="1170"/>
      <c r="K573" s="1170"/>
      <c r="L573" s="1170" t="e">
        <f>L568+L572</f>
        <v>#REF!</v>
      </c>
      <c r="M573" s="1170" t="e">
        <f>M568+M572</f>
        <v>#REF!</v>
      </c>
      <c r="N573" s="1170" t="e">
        <f>L573+M573</f>
        <v>#REF!</v>
      </c>
      <c r="O573" s="1177" t="e">
        <f>ROUND(N573/I573*10,2)</f>
        <v>#REF!</v>
      </c>
    </row>
    <row r="574" spans="1:18" ht="16.5" x14ac:dyDescent="0.2">
      <c r="A574" s="1197" t="s">
        <v>541</v>
      </c>
      <c r="B574" s="1163"/>
      <c r="C574" s="1163"/>
      <c r="D574" s="1163"/>
      <c r="E574" s="1163"/>
      <c r="F574" s="1163"/>
      <c r="G574" s="1163"/>
      <c r="H574" s="1163"/>
      <c r="I574" s="1176"/>
      <c r="J574" s="1176"/>
      <c r="K574" s="1176"/>
      <c r="L574" s="1176"/>
      <c r="M574" s="1176"/>
      <c r="N574" s="1176"/>
      <c r="O574" s="1176"/>
    </row>
    <row r="575" spans="1:18" ht="16.5" x14ac:dyDescent="0.2">
      <c r="A575" s="1197" t="s">
        <v>541</v>
      </c>
      <c r="B575" s="1159"/>
      <c r="C575" s="1160" t="s">
        <v>559</v>
      </c>
      <c r="D575" s="1160" t="s">
        <v>560</v>
      </c>
      <c r="E575" s="1160">
        <f>Sales_FY24!$P$172</f>
        <v>439477</v>
      </c>
      <c r="F575" s="1160">
        <f>Sales_FY24!$V$172</f>
        <v>434092</v>
      </c>
      <c r="G575" s="1160">
        <f>ROUND(F575*5.78,0)</f>
        <v>2509052</v>
      </c>
      <c r="H575" s="1162" t="s">
        <v>561</v>
      </c>
      <c r="I575" s="1167">
        <f>Sales_FY24!$Q$172</f>
        <v>3659.82</v>
      </c>
      <c r="J575" s="1167"/>
      <c r="K575" s="1167" t="e">
        <f>+#REF!</f>
        <v>#REF!</v>
      </c>
      <c r="L575" s="1167">
        <f>ROUND(G575*J575*12/10000000,2)</f>
        <v>0</v>
      </c>
      <c r="M575" s="1167" t="e">
        <f>ROUND(I575*1000000*K575/10000000,2)</f>
        <v>#REF!</v>
      </c>
      <c r="N575" s="1167" t="e">
        <f>L575+M575</f>
        <v>#REF!</v>
      </c>
      <c r="O575" s="1192" t="e">
        <f>ROUND(N575/I575*10,2)</f>
        <v>#REF!</v>
      </c>
    </row>
    <row r="576" spans="1:18" ht="16.5" x14ac:dyDescent="0.2">
      <c r="A576" s="1197" t="s">
        <v>541</v>
      </c>
      <c r="B576" s="1159"/>
      <c r="C576" s="1160" t="s">
        <v>562</v>
      </c>
      <c r="D576" s="1160" t="s">
        <v>563</v>
      </c>
      <c r="E576" s="1168">
        <f>Sales_FY24!$P$173</f>
        <v>2384</v>
      </c>
      <c r="F576" s="1160">
        <f>Sales_FY24!$V$173</f>
        <v>2345</v>
      </c>
      <c r="G576" s="1160">
        <f>ROUND(F576*15,0)</f>
        <v>35175</v>
      </c>
      <c r="H576" s="1162" t="s">
        <v>561</v>
      </c>
      <c r="I576" s="1167">
        <f>Sales_FY24!$Q$173</f>
        <v>3.73</v>
      </c>
      <c r="J576" s="1167" t="e">
        <f>+#REF!</f>
        <v>#REF!</v>
      </c>
      <c r="K576" s="1167" t="e">
        <f>+#REF!</f>
        <v>#REF!</v>
      </c>
      <c r="L576" s="1167" t="e">
        <f>ROUND(G576*J576*12/10000000,2)</f>
        <v>#REF!</v>
      </c>
      <c r="M576" s="1167" t="e">
        <f>ROUND(I576*1000000*K576/10000000,2)</f>
        <v>#REF!</v>
      </c>
      <c r="N576" s="1167" t="e">
        <f>L576+M576</f>
        <v>#REF!</v>
      </c>
      <c r="O576" s="1192" t="e">
        <f>ROUND(N576/I576*10,2)</f>
        <v>#REF!</v>
      </c>
    </row>
    <row r="577" spans="1:18" ht="16.5" x14ac:dyDescent="0.2">
      <c r="A577" s="1197" t="s">
        <v>541</v>
      </c>
      <c r="B577" s="1159"/>
      <c r="C577" s="1160" t="s">
        <v>564</v>
      </c>
      <c r="D577" s="1160" t="s">
        <v>565</v>
      </c>
      <c r="E577" s="1168">
        <f>Sales_FY24!$P$174</f>
        <v>675</v>
      </c>
      <c r="F577" s="1160">
        <f>Sales_FY24!$V$174</f>
        <v>647</v>
      </c>
      <c r="G577" s="1160">
        <f>ROUND(F577*5.38,0)</f>
        <v>3481</v>
      </c>
      <c r="H577" s="1162" t="s">
        <v>561</v>
      </c>
      <c r="I577" s="1167">
        <f>Sales_FY24!$Q$174</f>
        <v>5.33</v>
      </c>
      <c r="J577" s="1167" t="e">
        <f>+#REF!</f>
        <v>#REF!</v>
      </c>
      <c r="K577" s="1167" t="e">
        <f>+#REF!</f>
        <v>#REF!</v>
      </c>
      <c r="L577" s="1167" t="e">
        <f>ROUND(G577*J577*12/10000000,2)</f>
        <v>#REF!</v>
      </c>
      <c r="M577" s="1167" t="e">
        <f>ROUND(I577*1000000*K577/10000000,2)</f>
        <v>#REF!</v>
      </c>
      <c r="N577" s="1167" t="e">
        <f>L577+M577</f>
        <v>#REF!</v>
      </c>
      <c r="O577" s="1192" t="e">
        <f>ROUND(N577/I577*10,2)</f>
        <v>#REF!</v>
      </c>
    </row>
    <row r="578" spans="1:18" ht="16.5" x14ac:dyDescent="0.2">
      <c r="A578" s="1197" t="s">
        <v>541</v>
      </c>
      <c r="B578" s="1164">
        <v>5</v>
      </c>
      <c r="C578" s="1165" t="s">
        <v>566</v>
      </c>
      <c r="D578" s="1165"/>
      <c r="E578" s="1169">
        <f>SUM(E575:E577)</f>
        <v>442536</v>
      </c>
      <c r="F578" s="1169">
        <f>SUM(F575:F577)</f>
        <v>437084</v>
      </c>
      <c r="G578" s="1169">
        <f>SUM(G575:G577)</f>
        <v>2547708</v>
      </c>
      <c r="H578" s="1165"/>
      <c r="I578" s="1170">
        <f>SUM(I575:I577)</f>
        <v>3668.88</v>
      </c>
      <c r="J578" s="1170"/>
      <c r="K578" s="1170"/>
      <c r="L578" s="1170" t="e">
        <f>SUM(L575:L577)</f>
        <v>#REF!</v>
      </c>
      <c r="M578" s="1170" t="e">
        <f>SUM(M575:M577)</f>
        <v>#REF!</v>
      </c>
      <c r="N578" s="1170" t="e">
        <f>SUM(N575:N577)</f>
        <v>#REF!</v>
      </c>
      <c r="O578" s="1177" t="e">
        <f>ROUND(N578/I578*10,2)</f>
        <v>#REF!</v>
      </c>
    </row>
    <row r="579" spans="1:18" ht="16.5" x14ac:dyDescent="0.2">
      <c r="A579" s="1197" t="s">
        <v>541</v>
      </c>
      <c r="B579" s="1163"/>
      <c r="C579" s="1163"/>
      <c r="D579" s="1163"/>
      <c r="E579" s="1163"/>
      <c r="F579" s="1163"/>
      <c r="G579" s="1163"/>
      <c r="H579" s="1163"/>
      <c r="I579" s="1176"/>
      <c r="J579" s="1176"/>
      <c r="K579" s="1176"/>
      <c r="L579" s="1176"/>
      <c r="M579" s="1176"/>
      <c r="N579" s="1176"/>
      <c r="O579" s="1176"/>
    </row>
    <row r="580" spans="1:18" ht="16.5" x14ac:dyDescent="0.2">
      <c r="A580" s="1197" t="s">
        <v>541</v>
      </c>
      <c r="B580" s="1159"/>
      <c r="C580" s="1160" t="s">
        <v>9</v>
      </c>
      <c r="D580" s="1160" t="s">
        <v>568</v>
      </c>
      <c r="E580" s="1160">
        <f>ROUND(E585*44%,0)</f>
        <v>22594</v>
      </c>
      <c r="F580" s="1160">
        <f>ROUND(F585*44%,0)</f>
        <v>22189</v>
      </c>
      <c r="G580" s="1160">
        <f>ROUND(F580*2.5,0)</f>
        <v>55473</v>
      </c>
      <c r="H580" s="1162" t="s">
        <v>573</v>
      </c>
      <c r="I580" s="1167">
        <f>ROUND(I585*32.79%,2)</f>
        <v>42.57</v>
      </c>
      <c r="J580" s="1167" t="e">
        <f>+#REF!</f>
        <v>#REF!</v>
      </c>
      <c r="K580" s="1167" t="e">
        <f>+#REF!</f>
        <v>#REF!</v>
      </c>
      <c r="L580" s="1167" t="e">
        <f>ROUND(G580*J580*12/10000000,2)</f>
        <v>#REF!</v>
      </c>
      <c r="M580" s="1167" t="e">
        <f>ROUND(I580*1000000*K580/10000000,2)</f>
        <v>#REF!</v>
      </c>
      <c r="N580" s="1167"/>
      <c r="O580" s="1167"/>
    </row>
    <row r="581" spans="1:18" ht="16.5" x14ac:dyDescent="0.2">
      <c r="A581" s="1197" t="s">
        <v>541</v>
      </c>
      <c r="B581" s="1159"/>
      <c r="C581" s="1160"/>
      <c r="D581" s="1160" t="s">
        <v>569</v>
      </c>
      <c r="E581" s="1160">
        <f>ROUND(E585*51.45%,0)</f>
        <v>26420</v>
      </c>
      <c r="F581" s="1160">
        <f>ROUND(F585*51.45%,0)</f>
        <v>25946</v>
      </c>
      <c r="G581" s="1160">
        <f>ROUND(F581*15.5,0)</f>
        <v>402163</v>
      </c>
      <c r="H581" s="1162" t="s">
        <v>574</v>
      </c>
      <c r="I581" s="1167">
        <f>ROUND(I585*30.42%,2)</f>
        <v>39.5</v>
      </c>
      <c r="J581" s="1167" t="e">
        <f>+#REF!</f>
        <v>#REF!</v>
      </c>
      <c r="K581" s="1167" t="e">
        <f>+#REF!</f>
        <v>#REF!</v>
      </c>
      <c r="L581" s="1167" t="e">
        <f>ROUND(G581*J581*12/10000000,2)</f>
        <v>#REF!</v>
      </c>
      <c r="M581" s="1167" t="e">
        <f>ROUND(I581*1000000*K581/10000000,2)</f>
        <v>#REF!</v>
      </c>
      <c r="N581" s="1167"/>
      <c r="O581" s="1167"/>
    </row>
    <row r="582" spans="1:18" ht="16.5" x14ac:dyDescent="0.2">
      <c r="A582" s="1197" t="s">
        <v>541</v>
      </c>
      <c r="B582" s="1159"/>
      <c r="C582" s="1160"/>
      <c r="D582" s="1160" t="s">
        <v>570</v>
      </c>
      <c r="E582" s="1160">
        <f>ROUND(E585*3.52878%,0)</f>
        <v>1812</v>
      </c>
      <c r="F582" s="1160">
        <f>ROUND(F585*3.52878%,0)</f>
        <v>1780</v>
      </c>
      <c r="G582" s="1160">
        <f>ROUND(F582*51,0)</f>
        <v>90780</v>
      </c>
      <c r="H582" s="1162" t="s">
        <v>575</v>
      </c>
      <c r="I582" s="1167">
        <f>I585-I580-I581</f>
        <v>47.77000000000001</v>
      </c>
      <c r="J582" s="1167" t="e">
        <f>+#REF!</f>
        <v>#REF!</v>
      </c>
      <c r="K582" s="1167" t="e">
        <f>+#REF!</f>
        <v>#REF!</v>
      </c>
      <c r="L582" s="1167" t="e">
        <f>ROUND(G582*J582*12/10000000,2)</f>
        <v>#REF!</v>
      </c>
      <c r="M582" s="1167" t="e">
        <f>ROUND(I582*1000000*K582/10000000,2)</f>
        <v>#REF!</v>
      </c>
      <c r="N582" s="1167"/>
      <c r="O582" s="1167"/>
    </row>
    <row r="583" spans="1:18" ht="16.5" x14ac:dyDescent="0.2">
      <c r="A583" s="1197" t="s">
        <v>541</v>
      </c>
      <c r="B583" s="1159"/>
      <c r="C583" s="1160"/>
      <c r="D583" s="1160" t="s">
        <v>571</v>
      </c>
      <c r="E583" s="1160">
        <f>ROUND(E585*1.02122%,0)</f>
        <v>524</v>
      </c>
      <c r="F583" s="1160">
        <f>ROUND(F585*1.02122%,0)</f>
        <v>515</v>
      </c>
      <c r="G583" s="1160">
        <f>ROUND(F583*75,0)</f>
        <v>38625</v>
      </c>
      <c r="H583" s="1162"/>
      <c r="I583" s="1167"/>
      <c r="J583" s="1167" t="e">
        <f>+#REF!</f>
        <v>#REF!</v>
      </c>
      <c r="K583" s="1167"/>
      <c r="L583" s="1167" t="e">
        <f>ROUND(G583*J583*12/10000000,2)</f>
        <v>#REF!</v>
      </c>
      <c r="M583" s="1167"/>
      <c r="N583" s="1167"/>
      <c r="O583" s="1167"/>
    </row>
    <row r="584" spans="1:18" ht="16.5" x14ac:dyDescent="0.2">
      <c r="A584" s="1197" t="s">
        <v>541</v>
      </c>
      <c r="B584" s="1159"/>
      <c r="C584" s="1160"/>
      <c r="D584" s="1160" t="s">
        <v>572</v>
      </c>
      <c r="E584" s="1160">
        <f>E585-E580-E581-E582-E583</f>
        <v>1</v>
      </c>
      <c r="F584" s="1160">
        <f>F585-F580-F581-F582-F583</f>
        <v>0</v>
      </c>
      <c r="G584" s="1160">
        <f>ROUND(F584*112,0)</f>
        <v>0</v>
      </c>
      <c r="H584" s="1162"/>
      <c r="I584" s="1167"/>
      <c r="J584" s="1167" t="e">
        <f>+#REF!</f>
        <v>#REF!</v>
      </c>
      <c r="K584" s="1167"/>
      <c r="L584" s="1167" t="e">
        <f>ROUND(G584*J584*12/10000000,2)</f>
        <v>#REF!</v>
      </c>
      <c r="M584" s="1167"/>
      <c r="N584" s="1167"/>
      <c r="O584" s="1167"/>
    </row>
    <row r="585" spans="1:18" ht="16.5" x14ac:dyDescent="0.2">
      <c r="A585" s="1197" t="s">
        <v>541</v>
      </c>
      <c r="B585" s="1164"/>
      <c r="C585" s="1165"/>
      <c r="D585" s="1166" t="s">
        <v>486</v>
      </c>
      <c r="E585" s="1165">
        <f>ROUND(E593*67.31%,0)</f>
        <v>51351</v>
      </c>
      <c r="F585" s="1165">
        <f>ROUND(F593*67.31%,0)</f>
        <v>50430</v>
      </c>
      <c r="G585" s="1165">
        <f>SUM(G580:G584)</f>
        <v>587041</v>
      </c>
      <c r="H585" s="1165"/>
      <c r="I585" s="1170">
        <f>ROUND(I593*67.3%,2)</f>
        <v>129.84</v>
      </c>
      <c r="J585" s="1170"/>
      <c r="K585" s="1170"/>
      <c r="L585" s="1170" t="e">
        <f>SUM(L580:L584)</f>
        <v>#REF!</v>
      </c>
      <c r="M585" s="1170" t="e">
        <f>SUM(M580:M584)</f>
        <v>#REF!</v>
      </c>
      <c r="N585" s="1170" t="e">
        <f>L585+M585</f>
        <v>#REF!</v>
      </c>
      <c r="O585" s="1177" t="e">
        <f>ROUND(N585/I585*10,2)</f>
        <v>#REF!</v>
      </c>
      <c r="R585" s="1224" t="e">
        <f>+N585-#REF!</f>
        <v>#REF!</v>
      </c>
    </row>
    <row r="586" spans="1:18" ht="16.5" x14ac:dyDescent="0.2">
      <c r="A586" s="1197" t="s">
        <v>541</v>
      </c>
      <c r="B586" s="1163"/>
      <c r="C586" s="1163"/>
      <c r="D586" s="1163"/>
      <c r="E586" s="1163"/>
      <c r="F586" s="1163"/>
      <c r="G586" s="1163"/>
      <c r="H586" s="1163"/>
      <c r="I586" s="1176"/>
      <c r="J586" s="1176"/>
      <c r="K586" s="1176"/>
      <c r="L586" s="1176"/>
      <c r="M586" s="1176"/>
      <c r="N586" s="1176"/>
      <c r="O586" s="1176"/>
    </row>
    <row r="587" spans="1:18" ht="16.5" x14ac:dyDescent="0.2">
      <c r="A587" s="1197" t="s">
        <v>541</v>
      </c>
      <c r="B587" s="1159"/>
      <c r="C587" s="1160" t="s">
        <v>11</v>
      </c>
      <c r="D587" s="1160" t="s">
        <v>568</v>
      </c>
      <c r="E587" s="1160">
        <f>ROUND(E592*44.03%,0)</f>
        <v>10981</v>
      </c>
      <c r="F587" s="1160">
        <f>ROUND(F592*44.03%,0)</f>
        <v>10784</v>
      </c>
      <c r="G587" s="1160">
        <f>ROUND(F587*2.25,0)</f>
        <v>24264</v>
      </c>
      <c r="H587" s="1162" t="s">
        <v>573</v>
      </c>
      <c r="I587" s="1167">
        <f>ROUND(I592*42.39%,2)</f>
        <v>26.74</v>
      </c>
      <c r="J587" s="1167">
        <v>90</v>
      </c>
      <c r="K587" s="1167">
        <v>5.85</v>
      </c>
      <c r="L587" s="1167">
        <f>ROUND(G587*J587*12/10000000,2)</f>
        <v>2.62</v>
      </c>
      <c r="M587" s="1167">
        <f>ROUND(I587*1000000*K587/10000000,2)</f>
        <v>15.64</v>
      </c>
      <c r="N587" s="1167"/>
      <c r="O587" s="1167"/>
    </row>
    <row r="588" spans="1:18" ht="16.5" x14ac:dyDescent="0.2">
      <c r="A588" s="1197" t="s">
        <v>541</v>
      </c>
      <c r="B588" s="1159"/>
      <c r="C588" s="1160"/>
      <c r="D588" s="1160" t="s">
        <v>569</v>
      </c>
      <c r="E588" s="1160">
        <f>ROUND(E592*51.46%,0)</f>
        <v>12834</v>
      </c>
      <c r="F588" s="1160">
        <f>ROUND(F592*51.46%,0)</f>
        <v>12604</v>
      </c>
      <c r="G588" s="1160">
        <f>ROUND(F588*13.5,0)</f>
        <v>170154</v>
      </c>
      <c r="H588" s="1162" t="s">
        <v>574</v>
      </c>
      <c r="I588" s="1167">
        <f>ROUND(I592*34.42%,2)</f>
        <v>21.71</v>
      </c>
      <c r="J588" s="1167">
        <v>100</v>
      </c>
      <c r="K588" s="1167">
        <v>6.85</v>
      </c>
      <c r="L588" s="1167">
        <f>ROUND(G588*J588*12/10000000,2)</f>
        <v>20.420000000000002</v>
      </c>
      <c r="M588" s="1167">
        <f>ROUND(I588*1000000*K588/10000000,2)</f>
        <v>14.87</v>
      </c>
      <c r="N588" s="1167"/>
      <c r="O588" s="1167"/>
    </row>
    <row r="589" spans="1:18" ht="16.5" x14ac:dyDescent="0.2">
      <c r="A589" s="1197" t="s">
        <v>541</v>
      </c>
      <c r="B589" s="1159"/>
      <c r="C589" s="1160"/>
      <c r="D589" s="1160" t="s">
        <v>570</v>
      </c>
      <c r="E589" s="1160">
        <f>ROUND(E592*3.51%,0)</f>
        <v>875</v>
      </c>
      <c r="F589" s="1160">
        <f>ROUND(F592*3.51%,0)</f>
        <v>860</v>
      </c>
      <c r="G589" s="1160">
        <f>ROUND(F589*48,0)</f>
        <v>41280</v>
      </c>
      <c r="H589" s="1162" t="s">
        <v>575</v>
      </c>
      <c r="I589" s="1167">
        <f>I592-I587-I588</f>
        <v>14.629999999999988</v>
      </c>
      <c r="J589" s="1167">
        <v>125</v>
      </c>
      <c r="K589" s="1167">
        <v>7.15</v>
      </c>
      <c r="L589" s="1167">
        <f>ROUND(G589*J589*12/10000000,2)</f>
        <v>6.19</v>
      </c>
      <c r="M589" s="1167">
        <f>ROUND(I589*1000000*K589/10000000,2)</f>
        <v>10.46</v>
      </c>
      <c r="N589" s="1167"/>
      <c r="O589" s="1167"/>
    </row>
    <row r="590" spans="1:18" ht="16.5" x14ac:dyDescent="0.2">
      <c r="A590" s="1197" t="s">
        <v>541</v>
      </c>
      <c r="B590" s="1159"/>
      <c r="C590" s="1160"/>
      <c r="D590" s="1160" t="s">
        <v>571</v>
      </c>
      <c r="E590" s="1160">
        <f>ROUND(E592*1%,0)+1</f>
        <v>250</v>
      </c>
      <c r="F590" s="1160">
        <f>ROUND(F592*1%,0)-1</f>
        <v>244</v>
      </c>
      <c r="G590" s="1160">
        <f>ROUND(F590*70,0)</f>
        <v>17080</v>
      </c>
      <c r="H590" s="1162"/>
      <c r="I590" s="1167"/>
      <c r="J590" s="1167">
        <v>190</v>
      </c>
      <c r="K590" s="1167"/>
      <c r="L590" s="1167">
        <f>ROUND(G590*J590*12/10000000,2)</f>
        <v>3.89</v>
      </c>
      <c r="M590" s="1167"/>
      <c r="N590" s="1167"/>
      <c r="O590" s="1167"/>
    </row>
    <row r="591" spans="1:18" ht="16.5" x14ac:dyDescent="0.2">
      <c r="A591" s="1197" t="s">
        <v>541</v>
      </c>
      <c r="B591" s="1159"/>
      <c r="C591" s="1160"/>
      <c r="D591" s="1160" t="s">
        <v>572</v>
      </c>
      <c r="E591" s="1160">
        <f>E592-E587-E588-E589-E590</f>
        <v>0</v>
      </c>
      <c r="F591" s="1160">
        <f>F592-F587-F588-F589-F590</f>
        <v>0</v>
      </c>
      <c r="G591" s="1160">
        <f>ROUND(F591*124.15384,0)</f>
        <v>0</v>
      </c>
      <c r="H591" s="1162"/>
      <c r="I591" s="1167"/>
      <c r="J591" s="1167">
        <v>225</v>
      </c>
      <c r="K591" s="1167"/>
      <c r="L591" s="1167">
        <f>ROUND(G591*J591*12/10000000,2)</f>
        <v>0</v>
      </c>
      <c r="M591" s="1167"/>
      <c r="N591" s="1167"/>
      <c r="O591" s="1167"/>
    </row>
    <row r="592" spans="1:18" ht="16.5" x14ac:dyDescent="0.2">
      <c r="A592" s="1197" t="s">
        <v>541</v>
      </c>
      <c r="B592" s="1164"/>
      <c r="C592" s="1165"/>
      <c r="D592" s="1166" t="s">
        <v>486</v>
      </c>
      <c r="E592" s="1169">
        <f>E593-E585</f>
        <v>24940</v>
      </c>
      <c r="F592" s="1169">
        <f>F593-F585</f>
        <v>24492</v>
      </c>
      <c r="G592" s="1165">
        <f>SUM(G587:G591)</f>
        <v>252778</v>
      </c>
      <c r="H592" s="1165"/>
      <c r="I592" s="1170">
        <f>I593-I585</f>
        <v>63.079999999999984</v>
      </c>
      <c r="J592" s="1170"/>
      <c r="K592" s="1170"/>
      <c r="L592" s="1170">
        <f>SUM(L587:L591)</f>
        <v>33.120000000000005</v>
      </c>
      <c r="M592" s="1170">
        <f>SUM(M587:M591)</f>
        <v>40.97</v>
      </c>
      <c r="N592" s="1170">
        <f>L592+M592</f>
        <v>74.09</v>
      </c>
      <c r="O592" s="1177">
        <f>ROUND(N592/I592*10,2)</f>
        <v>11.75</v>
      </c>
      <c r="R592" s="1224" t="e">
        <f>+N592-#REF!</f>
        <v>#REF!</v>
      </c>
    </row>
    <row r="593" spans="1:15" ht="16.5" x14ac:dyDescent="0.2">
      <c r="A593" s="1197" t="s">
        <v>541</v>
      </c>
      <c r="B593" s="1164">
        <v>6</v>
      </c>
      <c r="C593" s="1165" t="s">
        <v>567</v>
      </c>
      <c r="D593" s="1165"/>
      <c r="E593" s="1169">
        <f>Sales_FY24!$P$175</f>
        <v>76291</v>
      </c>
      <c r="F593" s="1169">
        <f>Sales_FY24!$V$175</f>
        <v>74922</v>
      </c>
      <c r="G593" s="1169">
        <f>G585+G592</f>
        <v>839819</v>
      </c>
      <c r="H593" s="1165"/>
      <c r="I593" s="1170">
        <f>Sales_FY24!$Q$175</f>
        <v>192.92</v>
      </c>
      <c r="J593" s="1170"/>
      <c r="K593" s="1170"/>
      <c r="L593" s="1170" t="e">
        <f>L585+L592</f>
        <v>#REF!</v>
      </c>
      <c r="M593" s="1170" t="e">
        <f>M585+M592</f>
        <v>#REF!</v>
      </c>
      <c r="N593" s="1170" t="e">
        <f>L593+M593</f>
        <v>#REF!</v>
      </c>
      <c r="O593" s="1177" t="e">
        <f>ROUND(N593/I593*10,2)</f>
        <v>#REF!</v>
      </c>
    </row>
    <row r="594" spans="1:15" ht="16.5" x14ac:dyDescent="0.2">
      <c r="A594" s="1197" t="s">
        <v>541</v>
      </c>
      <c r="B594" s="1163"/>
      <c r="C594" s="1163"/>
      <c r="D594" s="1163"/>
      <c r="E594" s="1163"/>
      <c r="F594" s="1163"/>
      <c r="G594" s="1163"/>
      <c r="H594" s="1163"/>
      <c r="I594" s="1176"/>
      <c r="J594" s="1176"/>
      <c r="K594" s="1176"/>
      <c r="L594" s="1176"/>
      <c r="M594" s="1176"/>
      <c r="N594" s="1176"/>
      <c r="O594" s="1176"/>
    </row>
    <row r="595" spans="1:15" ht="16.5" x14ac:dyDescent="0.2">
      <c r="A595" s="1197" t="s">
        <v>541</v>
      </c>
      <c r="B595" s="1159"/>
      <c r="C595" s="1160" t="s">
        <v>512</v>
      </c>
      <c r="D595" s="1160" t="s">
        <v>578</v>
      </c>
      <c r="E595" s="1168">
        <f>Sales_FY24!$P$176</f>
        <v>30916</v>
      </c>
      <c r="F595" s="1168">
        <f>Sales_FY24!$V$176</f>
        <v>30015</v>
      </c>
      <c r="G595" s="1160">
        <f>ROUND(F595*5.83,0)</f>
        <v>174987</v>
      </c>
      <c r="H595" s="1162" t="s">
        <v>561</v>
      </c>
      <c r="I595" s="1167">
        <f>Sales_FY24!$Q$176</f>
        <v>441</v>
      </c>
      <c r="J595" s="1167" t="e">
        <f>+#REF!</f>
        <v>#REF!</v>
      </c>
      <c r="K595" s="1167" t="e">
        <f>+#REF!</f>
        <v>#REF!</v>
      </c>
      <c r="L595" s="1167" t="e">
        <f>ROUND(G595*J595*12/10000000,2)</f>
        <v>#REF!</v>
      </c>
      <c r="M595" s="1167" t="e">
        <f>ROUND(I595*1000000*K595/10000000,2)</f>
        <v>#REF!</v>
      </c>
      <c r="N595" s="1167" t="e">
        <f>L595+M595</f>
        <v>#REF!</v>
      </c>
      <c r="O595" s="1192"/>
    </row>
    <row r="596" spans="1:15" ht="16.5" x14ac:dyDescent="0.2">
      <c r="A596" s="1197" t="s">
        <v>541</v>
      </c>
      <c r="B596" s="1159"/>
      <c r="C596" s="1160"/>
      <c r="D596" s="1160" t="s">
        <v>579</v>
      </c>
      <c r="E596" s="1168"/>
      <c r="F596" s="1168"/>
      <c r="G596" s="1160"/>
      <c r="H596" s="1162"/>
      <c r="I596" s="1167"/>
      <c r="J596" s="1167" t="e">
        <f>+#REF!</f>
        <v>#REF!</v>
      </c>
      <c r="K596" s="1167"/>
      <c r="L596" s="1167"/>
      <c r="M596" s="1167"/>
      <c r="N596" s="1167"/>
      <c r="O596" s="1192"/>
    </row>
    <row r="597" spans="1:15" ht="16.5" x14ac:dyDescent="0.2">
      <c r="A597" s="1197" t="s">
        <v>541</v>
      </c>
      <c r="B597" s="1164"/>
      <c r="C597" s="1165"/>
      <c r="D597" s="1166" t="s">
        <v>486</v>
      </c>
      <c r="E597" s="1169">
        <f>SUM(E595:E596)</f>
        <v>30916</v>
      </c>
      <c r="F597" s="1169">
        <f>SUM(F595:F596)</f>
        <v>30015</v>
      </c>
      <c r="G597" s="1169">
        <f>SUM(G595:G596)</f>
        <v>174987</v>
      </c>
      <c r="H597" s="1165"/>
      <c r="I597" s="1170">
        <f>SUM(I595:I596)</f>
        <v>441</v>
      </c>
      <c r="J597" s="1170"/>
      <c r="K597" s="1170"/>
      <c r="L597" s="1170" t="e">
        <f>SUM(L595:L596)</f>
        <v>#REF!</v>
      </c>
      <c r="M597" s="1170" t="e">
        <f>SUM(M595:M596)</f>
        <v>#REF!</v>
      </c>
      <c r="N597" s="1170" t="e">
        <f>L597+M597</f>
        <v>#REF!</v>
      </c>
      <c r="O597" s="1177" t="e">
        <f>ROUND(N597/I597*10,2)</f>
        <v>#REF!</v>
      </c>
    </row>
    <row r="598" spans="1:15" ht="16.5" x14ac:dyDescent="0.2">
      <c r="A598" s="1197" t="s">
        <v>541</v>
      </c>
      <c r="B598" s="1163"/>
      <c r="C598" s="1163"/>
      <c r="D598" s="1163"/>
      <c r="E598" s="1163"/>
      <c r="F598" s="1163"/>
      <c r="G598" s="1163"/>
      <c r="H598" s="1163"/>
      <c r="I598" s="1176"/>
      <c r="J598" s="1176"/>
      <c r="K598" s="1176"/>
      <c r="L598" s="1176"/>
      <c r="M598" s="1176"/>
      <c r="N598" s="1176"/>
      <c r="O598" s="1176"/>
    </row>
    <row r="599" spans="1:15" ht="16.5" x14ac:dyDescent="0.2">
      <c r="A599" s="1197" t="s">
        <v>541</v>
      </c>
      <c r="B599" s="1159"/>
      <c r="C599" s="1160" t="s">
        <v>513</v>
      </c>
      <c r="D599" s="1160" t="s">
        <v>580</v>
      </c>
      <c r="E599" s="1168">
        <f>Sales_FY24!$P$177</f>
        <v>18790</v>
      </c>
      <c r="F599" s="1168">
        <f>Sales_FY24!$V$177</f>
        <v>18306</v>
      </c>
      <c r="G599" s="1160">
        <f>ROUND(F599*2.5,0)</f>
        <v>45765</v>
      </c>
      <c r="H599" s="1162" t="s">
        <v>561</v>
      </c>
      <c r="I599" s="1167">
        <f>Sales_FY24!$Q$177</f>
        <v>244.96</v>
      </c>
      <c r="J599" s="1167" t="e">
        <f>+#REF!</f>
        <v>#REF!</v>
      </c>
      <c r="K599" s="1167" t="e">
        <f>+#REF!</f>
        <v>#REF!</v>
      </c>
      <c r="L599" s="1167" t="e">
        <f>ROUND(G599*J599*12/10000000,2)</f>
        <v>#REF!</v>
      </c>
      <c r="M599" s="1167" t="e">
        <f>ROUND(I599*1000000*K599/10000000,2)</f>
        <v>#REF!</v>
      </c>
      <c r="N599" s="1167" t="e">
        <f>L599+M599</f>
        <v>#REF!</v>
      </c>
      <c r="O599" s="1192" t="e">
        <f>ROUND(N599/I599*10,2)</f>
        <v>#REF!</v>
      </c>
    </row>
    <row r="600" spans="1:15" ht="16.5" x14ac:dyDescent="0.2">
      <c r="A600" s="1197" t="s">
        <v>541</v>
      </c>
      <c r="B600" s="1163"/>
      <c r="C600" s="1163"/>
      <c r="D600" s="1163"/>
      <c r="E600" s="1163"/>
      <c r="F600" s="1163"/>
      <c r="G600" s="1163"/>
      <c r="H600" s="1163"/>
      <c r="I600" s="1176"/>
      <c r="J600" s="1176"/>
      <c r="K600" s="1176"/>
      <c r="L600" s="1176"/>
      <c r="M600" s="1176"/>
      <c r="N600" s="1176"/>
      <c r="O600" s="1176"/>
    </row>
    <row r="601" spans="1:15" ht="16.5" x14ac:dyDescent="0.2">
      <c r="A601" s="1197" t="s">
        <v>541</v>
      </c>
      <c r="B601" s="1159"/>
      <c r="C601" s="1160" t="s">
        <v>526</v>
      </c>
      <c r="D601" s="1160" t="s">
        <v>581</v>
      </c>
      <c r="E601" s="1168">
        <f>Sales_FY24!$P$178</f>
        <v>0</v>
      </c>
      <c r="F601" s="1168">
        <f>Sales_FY24!$V$178</f>
        <v>0</v>
      </c>
      <c r="G601" s="1160">
        <f>ROUND(F601*10,0)</f>
        <v>0</v>
      </c>
      <c r="H601" s="1162" t="s">
        <v>561</v>
      </c>
      <c r="I601" s="1167">
        <f>Sales_FY24!$Q$178</f>
        <v>0</v>
      </c>
      <c r="J601" s="1167" t="e">
        <f>+#REF!</f>
        <v>#REF!</v>
      </c>
      <c r="K601" s="1167" t="e">
        <f>+#REF!</f>
        <v>#REF!</v>
      </c>
      <c r="L601" s="1167" t="e">
        <f>ROUND(G601*J601*12/10000000,2)</f>
        <v>#REF!</v>
      </c>
      <c r="M601" s="1167" t="e">
        <f>ROUND(I601*1000000*K601/10000000,2)</f>
        <v>#REF!</v>
      </c>
      <c r="N601" s="1167" t="e">
        <f>L601+M601</f>
        <v>#REF!</v>
      </c>
      <c r="O601" s="1192"/>
    </row>
    <row r="602" spans="1:15" ht="16.5" x14ac:dyDescent="0.2">
      <c r="A602" s="1197" t="s">
        <v>541</v>
      </c>
      <c r="B602" s="1159"/>
      <c r="C602" s="1160"/>
      <c r="D602" s="1160" t="s">
        <v>582</v>
      </c>
      <c r="E602" s="1168"/>
      <c r="F602" s="1168"/>
      <c r="G602" s="1160"/>
      <c r="H602" s="1162"/>
      <c r="I602" s="1167"/>
      <c r="J602" s="1167" t="e">
        <f>+#REF!</f>
        <v>#REF!</v>
      </c>
      <c r="K602" s="1167"/>
      <c r="L602" s="1167"/>
      <c r="M602" s="1167"/>
      <c r="N602" s="1167"/>
      <c r="O602" s="1192"/>
    </row>
    <row r="603" spans="1:15" ht="16.5" x14ac:dyDescent="0.2">
      <c r="A603" s="1197" t="s">
        <v>541</v>
      </c>
      <c r="B603" s="1159"/>
      <c r="C603" s="1160"/>
      <c r="D603" s="1160" t="s">
        <v>583</v>
      </c>
      <c r="E603" s="1168"/>
      <c r="F603" s="1168"/>
      <c r="G603" s="1160"/>
      <c r="H603" s="1162"/>
      <c r="I603" s="1167"/>
      <c r="J603" s="1167" t="e">
        <f>+#REF!</f>
        <v>#REF!</v>
      </c>
      <c r="K603" s="1167"/>
      <c r="L603" s="1167"/>
      <c r="M603" s="1167"/>
      <c r="N603" s="1167"/>
      <c r="O603" s="1192"/>
    </row>
    <row r="604" spans="1:15" ht="16.5" x14ac:dyDescent="0.2">
      <c r="A604" s="1197" t="s">
        <v>541</v>
      </c>
      <c r="B604" s="1164"/>
      <c r="C604" s="1165"/>
      <c r="D604" s="1166" t="s">
        <v>486</v>
      </c>
      <c r="E604" s="1169">
        <f>SUM(E601:E603)</f>
        <v>0</v>
      </c>
      <c r="F604" s="1169">
        <f>SUM(F601:F603)</f>
        <v>0</v>
      </c>
      <c r="G604" s="1169">
        <f>SUM(G601:G603)</f>
        <v>0</v>
      </c>
      <c r="H604" s="1165"/>
      <c r="I604" s="1170">
        <f>SUM(I601:I603)</f>
        <v>0</v>
      </c>
      <c r="J604" s="1170"/>
      <c r="K604" s="1170"/>
      <c r="L604" s="1170" t="e">
        <f>SUM(L601:L603)</f>
        <v>#REF!</v>
      </c>
      <c r="M604" s="1170" t="e">
        <f>SUM(M601:M603)</f>
        <v>#REF!</v>
      </c>
      <c r="N604" s="1170" t="e">
        <f>L604+M604</f>
        <v>#REF!</v>
      </c>
      <c r="O604" s="1177"/>
    </row>
    <row r="605" spans="1:15" ht="16.5" x14ac:dyDescent="0.2">
      <c r="A605" s="1197" t="s">
        <v>541</v>
      </c>
      <c r="B605" s="1164">
        <v>7</v>
      </c>
      <c r="C605" s="1165" t="s">
        <v>577</v>
      </c>
      <c r="D605" s="1165"/>
      <c r="E605" s="1169">
        <f>E597+E599+E604</f>
        <v>49706</v>
      </c>
      <c r="F605" s="1169">
        <f>F597+F599+F604</f>
        <v>48321</v>
      </c>
      <c r="G605" s="1169">
        <f>G597+G599+G604</f>
        <v>220752</v>
      </c>
      <c r="H605" s="1165"/>
      <c r="I605" s="1170">
        <f>I597+I599+I604</f>
        <v>685.96</v>
      </c>
      <c r="J605" s="1170"/>
      <c r="K605" s="1170"/>
      <c r="L605" s="1170" t="e">
        <f>L597+L599+L604</f>
        <v>#REF!</v>
      </c>
      <c r="M605" s="1170" t="e">
        <f>M597+M599+M604</f>
        <v>#REF!</v>
      </c>
      <c r="N605" s="1170" t="e">
        <f>L605+M605</f>
        <v>#REF!</v>
      </c>
      <c r="O605" s="1177" t="e">
        <f>ROUND(N605/I605*10,2)</f>
        <v>#REF!</v>
      </c>
    </row>
    <row r="606" spans="1:15" ht="16.5" x14ac:dyDescent="0.2">
      <c r="A606" s="1197" t="s">
        <v>541</v>
      </c>
      <c r="B606" s="1163"/>
      <c r="C606" s="1163"/>
      <c r="D606" s="1163"/>
      <c r="E606" s="1163"/>
      <c r="F606" s="1163"/>
      <c r="G606" s="1163"/>
      <c r="H606" s="1163"/>
      <c r="I606" s="1176"/>
      <c r="J606" s="1176"/>
      <c r="K606" s="1176"/>
      <c r="L606" s="1176"/>
      <c r="M606" s="1176"/>
      <c r="N606" s="1176"/>
      <c r="O606" s="1176"/>
    </row>
    <row r="607" spans="1:15" ht="16.5" x14ac:dyDescent="0.2">
      <c r="A607" s="1197" t="s">
        <v>541</v>
      </c>
      <c r="B607" s="1159"/>
      <c r="C607" s="1160" t="s">
        <v>584</v>
      </c>
      <c r="D607" s="1160" t="s">
        <v>586</v>
      </c>
      <c r="E607" s="1160">
        <f>ROUND(E609*100%,0)</f>
        <v>63750</v>
      </c>
      <c r="F607" s="1160">
        <f>ROUND(F609*100%,0)</f>
        <v>59517</v>
      </c>
      <c r="G607" s="1160">
        <f>ROUND(F607*2.25,0)</f>
        <v>133913</v>
      </c>
      <c r="H607" s="1162" t="s">
        <v>561</v>
      </c>
      <c r="I607" s="1167">
        <f>ROUND(I609*100%,2)</f>
        <v>29.3</v>
      </c>
      <c r="J607" s="1167" t="e">
        <f>+#REF!</f>
        <v>#REF!</v>
      </c>
      <c r="K607" s="1167" t="e">
        <f>+#REF!</f>
        <v>#REF!</v>
      </c>
      <c r="L607" s="1198" t="e">
        <f>ROUND(G607*J607*12/10000000,2)</f>
        <v>#REF!</v>
      </c>
      <c r="M607" s="1167" t="e">
        <f>ROUND(I607*1000000*K607/10000000,2)-ROUND(I607*1000000*K607/10000000,2)</f>
        <v>#REF!</v>
      </c>
      <c r="N607" s="1167" t="e">
        <f>L607+M607</f>
        <v>#REF!</v>
      </c>
      <c r="O607" s="1192"/>
    </row>
    <row r="608" spans="1:15" ht="16.5" x14ac:dyDescent="0.2">
      <c r="A608" s="1197" t="s">
        <v>541</v>
      </c>
      <c r="B608" s="1159"/>
      <c r="C608" s="1160" t="s">
        <v>585</v>
      </c>
      <c r="D608" s="1160" t="s">
        <v>586</v>
      </c>
      <c r="E608" s="1168">
        <f>E609-E607</f>
        <v>0</v>
      </c>
      <c r="F608" s="1168">
        <f>F609-F607</f>
        <v>0</v>
      </c>
      <c r="G608" s="1160">
        <f>ROUND(F608*0.79986,0)</f>
        <v>0</v>
      </c>
      <c r="H608" s="1162" t="s">
        <v>561</v>
      </c>
      <c r="I608" s="1167">
        <f>I609-I607</f>
        <v>0</v>
      </c>
      <c r="J608" s="1167" t="e">
        <f>+#REF!</f>
        <v>#REF!</v>
      </c>
      <c r="K608" s="1167" t="e">
        <f>+#REF!</f>
        <v>#REF!</v>
      </c>
      <c r="L608" s="1167" t="e">
        <f>ROUND(G608*J608*12/10000000,2)</f>
        <v>#REF!</v>
      </c>
      <c r="M608" s="1167" t="e">
        <f>ROUND(I608*1000000*K608/10000000,2)</f>
        <v>#REF!</v>
      </c>
      <c r="N608" s="1167" t="e">
        <f>L608+M608</f>
        <v>#REF!</v>
      </c>
      <c r="O608" s="1192"/>
    </row>
    <row r="609" spans="1:18" ht="16.5" x14ac:dyDescent="0.2">
      <c r="A609" s="1197" t="s">
        <v>541</v>
      </c>
      <c r="B609" s="1164">
        <v>8</v>
      </c>
      <c r="C609" s="1165" t="s">
        <v>587</v>
      </c>
      <c r="D609" s="1165"/>
      <c r="E609" s="1169">
        <f>Sales_FY24!$P$179</f>
        <v>63750</v>
      </c>
      <c r="F609" s="1169">
        <f>Sales_FY24!$V$179</f>
        <v>59517</v>
      </c>
      <c r="G609" s="1169">
        <f>SUM(G607:G608)</f>
        <v>133913</v>
      </c>
      <c r="H609" s="1165"/>
      <c r="I609" s="1170">
        <f>Sales_FY24!$Q$179</f>
        <v>29.3</v>
      </c>
      <c r="J609" s="1170"/>
      <c r="K609" s="1170"/>
      <c r="L609" s="1170" t="e">
        <f>SUM(L607:L608)</f>
        <v>#REF!</v>
      </c>
      <c r="M609" s="1170" t="e">
        <f>SUM(M607:M608)</f>
        <v>#REF!</v>
      </c>
      <c r="N609" s="1170" t="e">
        <f>L609+M609</f>
        <v>#REF!</v>
      </c>
      <c r="O609" s="1177" t="e">
        <f>ROUND(N609/I609*10,2)</f>
        <v>#REF!</v>
      </c>
    </row>
    <row r="610" spans="1:18" ht="16.5" x14ac:dyDescent="0.2">
      <c r="A610" s="1197" t="s">
        <v>541</v>
      </c>
      <c r="B610" s="1163"/>
      <c r="C610" s="1163"/>
      <c r="D610" s="1163"/>
      <c r="E610" s="1163"/>
      <c r="F610" s="1163"/>
      <c r="G610" s="1163"/>
      <c r="H610" s="1163"/>
      <c r="I610" s="1176"/>
      <c r="J610" s="1176"/>
      <c r="K610" s="1176"/>
      <c r="L610" s="1176"/>
      <c r="M610" s="1176"/>
      <c r="N610" s="1176"/>
      <c r="O610" s="1176"/>
    </row>
    <row r="611" spans="1:18" ht="16.5" x14ac:dyDescent="0.2">
      <c r="A611" s="1197" t="s">
        <v>541</v>
      </c>
      <c r="B611" s="1194"/>
      <c r="C611" s="1195" t="s">
        <v>588</v>
      </c>
      <c r="D611" s="1195"/>
      <c r="E611" s="1196">
        <f>E540+E553+E564+E573+E578+E593+E605+E609</f>
        <v>3686622</v>
      </c>
      <c r="F611" s="1196">
        <f>F540+F553+F564+F573+F578+F593+F605+F609</f>
        <v>3626854</v>
      </c>
      <c r="G611" s="1196">
        <f>G540+G553+G564+G573+G578+G593+G605+G609</f>
        <v>6893451</v>
      </c>
      <c r="H611" s="1195"/>
      <c r="I611" s="1193">
        <f>I540+I553+I564+I573+I578+I593+I605+I609</f>
        <v>6716.1200000000008</v>
      </c>
      <c r="J611" s="1193"/>
      <c r="K611" s="1193"/>
      <c r="L611" s="1193" t="e">
        <f>L540+L553+L564+L573+L578+L593+L605+L609</f>
        <v>#REF!</v>
      </c>
      <c r="M611" s="1193" t="e">
        <f>M540+M553+M564+M573+M578+M593+M605+M609</f>
        <v>#REF!</v>
      </c>
      <c r="N611" s="1193" t="e">
        <f>L611+M611</f>
        <v>#REF!</v>
      </c>
      <c r="O611" s="1193" t="e">
        <f>ROUND(N611/I611*10,2)</f>
        <v>#REF!</v>
      </c>
    </row>
    <row r="612" spans="1:18" ht="16.5" x14ac:dyDescent="0.2">
      <c r="A612" s="1197" t="s">
        <v>541</v>
      </c>
      <c r="B612" s="1163"/>
      <c r="C612" s="1163"/>
      <c r="D612" s="1163"/>
      <c r="E612" s="1163"/>
      <c r="F612" s="1176"/>
      <c r="G612" s="1163"/>
      <c r="H612" s="1163"/>
      <c r="I612" s="1176"/>
      <c r="J612" s="1176"/>
      <c r="K612" s="1176"/>
      <c r="L612" s="1176"/>
      <c r="M612" s="1176"/>
      <c r="N612" s="1176"/>
      <c r="O612" s="1176"/>
    </row>
    <row r="613" spans="1:18" ht="16.5" x14ac:dyDescent="0.2">
      <c r="A613" s="1197" t="s">
        <v>541</v>
      </c>
      <c r="B613" s="1159">
        <v>9</v>
      </c>
      <c r="C613" s="1160" t="s">
        <v>16</v>
      </c>
      <c r="D613" s="1160" t="s">
        <v>589</v>
      </c>
      <c r="E613" s="1168">
        <f>Sales_FY24!$P$182</f>
        <v>203</v>
      </c>
      <c r="F613" s="1168">
        <f>Sales_FY24!$V$182</f>
        <v>197</v>
      </c>
      <c r="G613" s="1160">
        <f>ROUND(F613*300,0)</f>
        <v>59100</v>
      </c>
      <c r="H613" s="1162" t="s">
        <v>561</v>
      </c>
      <c r="I613" s="1167">
        <f>Sales_FY24!$Q$182</f>
        <v>141.09</v>
      </c>
      <c r="J613" s="1167" t="e">
        <f>+#REF!</f>
        <v>#REF!</v>
      </c>
      <c r="K613" s="1167" t="e">
        <f>+#REF!</f>
        <v>#REF!</v>
      </c>
      <c r="L613" s="1167" t="e">
        <f>ROUND((G613*85%)*J613*12/10000000,2)</f>
        <v>#REF!</v>
      </c>
      <c r="M613" s="1167" t="e">
        <f>ROUND(I613*1000000*K613/10000000,2)</f>
        <v>#REF!</v>
      </c>
      <c r="N613" s="1167" t="e">
        <f>L613+M613</f>
        <v>#REF!</v>
      </c>
      <c r="O613" s="1192" t="e">
        <f>ROUND(N613/I613*10,2)</f>
        <v>#REF!</v>
      </c>
    </row>
    <row r="614" spans="1:18" ht="16.5" x14ac:dyDescent="0.2">
      <c r="A614" s="1197" t="s">
        <v>541</v>
      </c>
      <c r="B614" s="1163"/>
      <c r="C614" s="1163"/>
      <c r="D614" s="1163"/>
      <c r="E614" s="1163"/>
      <c r="F614" s="1163"/>
      <c r="G614" s="1163"/>
      <c r="H614" s="1163"/>
      <c r="I614" s="1176"/>
      <c r="J614" s="1176"/>
      <c r="K614" s="1176"/>
      <c r="L614" s="1176"/>
      <c r="M614" s="1176"/>
      <c r="N614" s="1176"/>
      <c r="O614" s="1176"/>
    </row>
    <row r="615" spans="1:18" ht="16.5" x14ac:dyDescent="0.2">
      <c r="A615" s="1197" t="s">
        <v>541</v>
      </c>
      <c r="B615" s="1159"/>
      <c r="C615" s="1160" t="s">
        <v>593</v>
      </c>
      <c r="D615" s="1160" t="s">
        <v>589</v>
      </c>
      <c r="E615" s="1168">
        <f>E617</f>
        <v>0</v>
      </c>
      <c r="F615" s="1168">
        <f>F617</f>
        <v>0</v>
      </c>
      <c r="G615" s="1160">
        <f>ROUND(F615*0,0)</f>
        <v>0</v>
      </c>
      <c r="H615" s="1162" t="s">
        <v>591</v>
      </c>
      <c r="I615" s="1167">
        <f>ROUND(I617*0%,2)</f>
        <v>0</v>
      </c>
      <c r="J615" s="1167" t="e">
        <f>+#REF!</f>
        <v>#REF!</v>
      </c>
      <c r="K615" s="1167" t="e">
        <f>+#REF!</f>
        <v>#REF!</v>
      </c>
      <c r="L615" s="1167" t="e">
        <f>ROUND((G615*85%)*J615*12/10000000,2)</f>
        <v>#REF!</v>
      </c>
      <c r="M615" s="1167" t="e">
        <f>ROUND(I615*1000000*K615/10000000,2)</f>
        <v>#REF!</v>
      </c>
      <c r="N615" s="1167"/>
      <c r="O615" s="1192"/>
    </row>
    <row r="616" spans="1:18" ht="16.5" x14ac:dyDescent="0.2">
      <c r="A616" s="1197" t="s">
        <v>541</v>
      </c>
      <c r="B616" s="1159"/>
      <c r="C616" s="1160"/>
      <c r="D616" s="1160"/>
      <c r="E616" s="1168"/>
      <c r="F616" s="1168"/>
      <c r="G616" s="1160"/>
      <c r="H616" s="1162" t="s">
        <v>590</v>
      </c>
      <c r="I616" s="1167">
        <f>I617-I615</f>
        <v>0</v>
      </c>
      <c r="J616" s="1167"/>
      <c r="K616" s="1167" t="e">
        <f>+#REF!</f>
        <v>#REF!</v>
      </c>
      <c r="L616" s="1167"/>
      <c r="M616" s="1167" t="e">
        <f>ROUND(I616*1000000*K616/10000000,2)</f>
        <v>#REF!</v>
      </c>
      <c r="N616" s="1167"/>
      <c r="O616" s="1192"/>
    </row>
    <row r="617" spans="1:18" ht="16.5" x14ac:dyDescent="0.2">
      <c r="A617" s="1197" t="s">
        <v>541</v>
      </c>
      <c r="B617" s="1164"/>
      <c r="C617" s="1165"/>
      <c r="D617" s="1166" t="s">
        <v>486</v>
      </c>
      <c r="E617" s="1169">
        <f>ROUND(E622*0%,0)</f>
        <v>0</v>
      </c>
      <c r="F617" s="1169">
        <f>ROUND(F622*0%,0)</f>
        <v>0</v>
      </c>
      <c r="G617" s="1169">
        <f>SUM(G615:G616)</f>
        <v>0</v>
      </c>
      <c r="H617" s="1165"/>
      <c r="I617" s="1170">
        <f>ROUND(I622*0%,2)</f>
        <v>0</v>
      </c>
      <c r="J617" s="1170"/>
      <c r="K617" s="1170"/>
      <c r="L617" s="1170" t="e">
        <f>SUM(L615:L616)</f>
        <v>#REF!</v>
      </c>
      <c r="M617" s="1170" t="e">
        <f>SUM(M615:M616)</f>
        <v>#REF!</v>
      </c>
      <c r="N617" s="1170" t="e">
        <f>L617+M617</f>
        <v>#REF!</v>
      </c>
      <c r="O617" s="1177"/>
      <c r="R617" s="1224" t="e">
        <f>+N617-#REF!</f>
        <v>#REF!</v>
      </c>
    </row>
    <row r="618" spans="1:18" ht="16.5" x14ac:dyDescent="0.2">
      <c r="A618" s="1197" t="s">
        <v>541</v>
      </c>
      <c r="B618" s="1163"/>
      <c r="C618" s="1163"/>
      <c r="D618" s="1163"/>
      <c r="E618" s="1163"/>
      <c r="F618" s="1163"/>
      <c r="G618" s="1163"/>
      <c r="H618" s="1163"/>
      <c r="I618" s="1176"/>
      <c r="J618" s="1176"/>
      <c r="K618" s="1176"/>
      <c r="L618" s="1176"/>
      <c r="M618" s="1176"/>
      <c r="N618" s="1176"/>
      <c r="O618" s="1176"/>
    </row>
    <row r="619" spans="1:18" ht="16.5" x14ac:dyDescent="0.2">
      <c r="A619" s="1197" t="s">
        <v>541</v>
      </c>
      <c r="B619" s="1159"/>
      <c r="C619" s="1160" t="s">
        <v>594</v>
      </c>
      <c r="D619" s="1160" t="s">
        <v>589</v>
      </c>
      <c r="E619" s="1168">
        <f>E621</f>
        <v>1982</v>
      </c>
      <c r="F619" s="1168">
        <f>F621</f>
        <v>1931</v>
      </c>
      <c r="G619" s="1160">
        <f>ROUND(F619*540,0)</f>
        <v>1042740</v>
      </c>
      <c r="H619" s="1162" t="s">
        <v>591</v>
      </c>
      <c r="I619" s="1167">
        <f>ROUND(I621*40.29%,2)</f>
        <v>546.64</v>
      </c>
      <c r="J619" s="1167">
        <v>275</v>
      </c>
      <c r="K619" s="1167">
        <v>7.5</v>
      </c>
      <c r="L619" s="1167">
        <f>ROUND((G619*85%)*J619*12/10000000,2)</f>
        <v>292.49</v>
      </c>
      <c r="M619" s="1167">
        <f>ROUND(I619*1000000*K619/10000000,2)</f>
        <v>409.98</v>
      </c>
      <c r="N619" s="1167"/>
      <c r="O619" s="1192"/>
    </row>
    <row r="620" spans="1:18" ht="16.5" x14ac:dyDescent="0.2">
      <c r="A620" s="1197" t="s">
        <v>541</v>
      </c>
      <c r="B620" s="1159"/>
      <c r="C620" s="1160"/>
      <c r="D620" s="1160"/>
      <c r="E620" s="1168"/>
      <c r="F620" s="1168"/>
      <c r="G620" s="1160"/>
      <c r="H620" s="1162" t="s">
        <v>590</v>
      </c>
      <c r="I620" s="1167">
        <f>I621-I619</f>
        <v>810.12</v>
      </c>
      <c r="J620" s="1167"/>
      <c r="K620" s="1167">
        <v>7.8</v>
      </c>
      <c r="L620" s="1167"/>
      <c r="M620" s="1167">
        <f>ROUND(I620*1000000*K620/10000000,2)</f>
        <v>631.89</v>
      </c>
      <c r="N620" s="1167"/>
      <c r="O620" s="1192"/>
    </row>
    <row r="621" spans="1:18" ht="16.5" x14ac:dyDescent="0.2">
      <c r="A621" s="1197" t="s">
        <v>541</v>
      </c>
      <c r="B621" s="1164"/>
      <c r="C621" s="1165"/>
      <c r="D621" s="1166" t="s">
        <v>486</v>
      </c>
      <c r="E621" s="1169">
        <f>E622-E617</f>
        <v>1982</v>
      </c>
      <c r="F621" s="1169">
        <f>F622-F617</f>
        <v>1931</v>
      </c>
      <c r="G621" s="1169">
        <f>SUM(G619:G620)</f>
        <v>1042740</v>
      </c>
      <c r="H621" s="1165"/>
      <c r="I621" s="1170">
        <f>I622-I617</f>
        <v>1356.76</v>
      </c>
      <c r="J621" s="1170"/>
      <c r="K621" s="1170"/>
      <c r="L621" s="1170">
        <f>SUM(L619:L620)</f>
        <v>292.49</v>
      </c>
      <c r="M621" s="1170">
        <f>SUM(M619:M620)</f>
        <v>1041.8699999999999</v>
      </c>
      <c r="N621" s="1170">
        <f>L621+M621</f>
        <v>1334.36</v>
      </c>
      <c r="O621" s="1177"/>
      <c r="R621" s="1224" t="e">
        <f>+N621-#REF!</f>
        <v>#REF!</v>
      </c>
    </row>
    <row r="622" spans="1:18" ht="16.5" x14ac:dyDescent="0.2">
      <c r="A622" s="1197" t="s">
        <v>541</v>
      </c>
      <c r="B622" s="1164">
        <v>10</v>
      </c>
      <c r="C622" s="1165" t="s">
        <v>592</v>
      </c>
      <c r="D622" s="1165"/>
      <c r="E622" s="1169">
        <f>Sales_FY24!$P$183</f>
        <v>1982</v>
      </c>
      <c r="F622" s="1169">
        <f>Sales_FY24!$V$183</f>
        <v>1931</v>
      </c>
      <c r="G622" s="1169">
        <f>G617+G621</f>
        <v>1042740</v>
      </c>
      <c r="H622" s="1165"/>
      <c r="I622" s="1170">
        <f>Sales_FY24!$Q$183</f>
        <v>1356.76</v>
      </c>
      <c r="J622" s="1170"/>
      <c r="K622" s="1170"/>
      <c r="L622" s="1169" t="e">
        <f>L617+L621</f>
        <v>#REF!</v>
      </c>
      <c r="M622" s="1169" t="e">
        <f>M617+M621</f>
        <v>#REF!</v>
      </c>
      <c r="N622" s="1170" t="e">
        <f>L622+M622</f>
        <v>#REF!</v>
      </c>
      <c r="O622" s="1177" t="e">
        <f>ROUND(N622/I622*10,2)</f>
        <v>#REF!</v>
      </c>
    </row>
    <row r="623" spans="1:18" ht="16.5" x14ac:dyDescent="0.2">
      <c r="A623" s="1197" t="s">
        <v>541</v>
      </c>
      <c r="B623" s="1163"/>
      <c r="C623" s="1163"/>
      <c r="D623" s="1163"/>
      <c r="E623" s="1163"/>
      <c r="F623" s="1163"/>
      <c r="G623" s="1163"/>
      <c r="H623" s="1163"/>
      <c r="I623" s="1176"/>
      <c r="J623" s="1176"/>
      <c r="K623" s="1176"/>
      <c r="L623" s="1176"/>
      <c r="M623" s="1176"/>
      <c r="N623" s="1176"/>
      <c r="O623" s="1176"/>
    </row>
    <row r="624" spans="1:18" ht="16.5" x14ac:dyDescent="0.2">
      <c r="A624" s="1197" t="s">
        <v>541</v>
      </c>
      <c r="B624" s="1159"/>
      <c r="C624" s="1160" t="s">
        <v>596</v>
      </c>
      <c r="D624" s="1160" t="s">
        <v>589</v>
      </c>
      <c r="E624" s="1168">
        <f>E626</f>
        <v>0</v>
      </c>
      <c r="F624" s="1168">
        <f>F626</f>
        <v>0</v>
      </c>
      <c r="G624" s="1160">
        <f>ROUND(F624*0,0)</f>
        <v>0</v>
      </c>
      <c r="H624" s="1162" t="s">
        <v>598</v>
      </c>
      <c r="I624" s="1167">
        <f>ROUND(I626*0%,2)</f>
        <v>0</v>
      </c>
      <c r="J624" s="1167" t="e">
        <f>+#REF!</f>
        <v>#REF!</v>
      </c>
      <c r="K624" s="1167" t="e">
        <f>+#REF!</f>
        <v>#REF!</v>
      </c>
      <c r="L624" s="1167" t="e">
        <f>ROUND((G624*85%)*J624*12/10000000,2)</f>
        <v>#REF!</v>
      </c>
      <c r="M624" s="1167" t="e">
        <f>ROUND(I624*1000000*K624/10000000,2)</f>
        <v>#REF!</v>
      </c>
      <c r="N624" s="1167"/>
      <c r="O624" s="1192"/>
    </row>
    <row r="625" spans="1:18" ht="16.5" x14ac:dyDescent="0.2">
      <c r="A625" s="1197" t="s">
        <v>541</v>
      </c>
      <c r="B625" s="1159"/>
      <c r="C625" s="1160"/>
      <c r="D625" s="1160"/>
      <c r="E625" s="1168"/>
      <c r="F625" s="1168"/>
      <c r="G625" s="1160"/>
      <c r="H625" s="1162" t="s">
        <v>599</v>
      </c>
      <c r="I625" s="1167">
        <f>I626-I624</f>
        <v>0</v>
      </c>
      <c r="J625" s="1167"/>
      <c r="K625" s="1167" t="e">
        <f>+#REF!</f>
        <v>#REF!</v>
      </c>
      <c r="L625" s="1167"/>
      <c r="M625" s="1167" t="e">
        <f>ROUND(I625*1000000*K625/10000000,2)</f>
        <v>#REF!</v>
      </c>
      <c r="N625" s="1167"/>
      <c r="O625" s="1192"/>
    </row>
    <row r="626" spans="1:18" ht="16.5" x14ac:dyDescent="0.2">
      <c r="A626" s="1197" t="s">
        <v>541</v>
      </c>
      <c r="B626" s="1164"/>
      <c r="C626" s="1165"/>
      <c r="D626" s="1166" t="s">
        <v>486</v>
      </c>
      <c r="E626" s="1169">
        <f>ROUND(E631*0%,0)</f>
        <v>0</v>
      </c>
      <c r="F626" s="1169">
        <f>ROUND(F631*0%,0)</f>
        <v>0</v>
      </c>
      <c r="G626" s="1169">
        <f>SUM(G624:G625)</f>
        <v>0</v>
      </c>
      <c r="H626" s="1165"/>
      <c r="I626" s="1170">
        <f>ROUND(I631*0%,2)</f>
        <v>0</v>
      </c>
      <c r="J626" s="1170"/>
      <c r="K626" s="1170"/>
      <c r="L626" s="1170" t="e">
        <f>SUM(L624:L625)</f>
        <v>#REF!</v>
      </c>
      <c r="M626" s="1170" t="e">
        <f>SUM(M624:M625)</f>
        <v>#REF!</v>
      </c>
      <c r="N626" s="1170" t="e">
        <f>L626+M626</f>
        <v>#REF!</v>
      </c>
      <c r="O626" s="1177"/>
      <c r="R626" s="1224" t="e">
        <f>+N626-#REF!</f>
        <v>#REF!</v>
      </c>
    </row>
    <row r="627" spans="1:18" ht="16.5" x14ac:dyDescent="0.2">
      <c r="A627" s="1197" t="s">
        <v>541</v>
      </c>
      <c r="B627" s="1163"/>
      <c r="C627" s="1163"/>
      <c r="D627" s="1163"/>
      <c r="E627" s="1163"/>
      <c r="F627" s="1163"/>
      <c r="G627" s="1163"/>
      <c r="H627" s="1163"/>
      <c r="I627" s="1176"/>
      <c r="J627" s="1176"/>
      <c r="K627" s="1176"/>
      <c r="L627" s="1176"/>
      <c r="M627" s="1176"/>
      <c r="N627" s="1176"/>
      <c r="O627" s="1176"/>
    </row>
    <row r="628" spans="1:18" ht="16.5" x14ac:dyDescent="0.2">
      <c r="A628" s="1197" t="s">
        <v>541</v>
      </c>
      <c r="B628" s="1159"/>
      <c r="C628" s="1160" t="s">
        <v>597</v>
      </c>
      <c r="D628" s="1160" t="s">
        <v>589</v>
      </c>
      <c r="E628" s="1168">
        <f>E630</f>
        <v>518</v>
      </c>
      <c r="F628" s="1168">
        <f>F630</f>
        <v>504</v>
      </c>
      <c r="G628" s="1160">
        <f>ROUND(F628*185,0)</f>
        <v>93240</v>
      </c>
      <c r="H628" s="1162" t="s">
        <v>598</v>
      </c>
      <c r="I628" s="1167">
        <f>ROUND(I630*85%,2)</f>
        <v>64.7</v>
      </c>
      <c r="J628" s="1167">
        <v>300</v>
      </c>
      <c r="K628" s="1167">
        <v>9.3000000000000007</v>
      </c>
      <c r="L628" s="1167">
        <f>ROUND((G628*85%)*J628*12/10000000,2)</f>
        <v>28.53</v>
      </c>
      <c r="M628" s="1167">
        <f>ROUND(I628*1000000*K628/10000000,2)</f>
        <v>60.17</v>
      </c>
      <c r="N628" s="1167"/>
      <c r="O628" s="1192"/>
    </row>
    <row r="629" spans="1:18" ht="16.5" x14ac:dyDescent="0.2">
      <c r="A629" s="1197" t="s">
        <v>541</v>
      </c>
      <c r="B629" s="1159"/>
      <c r="C629" s="1160"/>
      <c r="D629" s="1160"/>
      <c r="E629" s="1168"/>
      <c r="F629" s="1168"/>
      <c r="G629" s="1160"/>
      <c r="H629" s="1162" t="s">
        <v>599</v>
      </c>
      <c r="I629" s="1167">
        <f>I630-I628</f>
        <v>11.420000000000002</v>
      </c>
      <c r="J629" s="1167"/>
      <c r="K629" s="1167">
        <v>9.4</v>
      </c>
      <c r="L629" s="1167"/>
      <c r="M629" s="1167">
        <f>ROUND(I629*1000000*K629/10000000,2)</f>
        <v>10.73</v>
      </c>
      <c r="N629" s="1167"/>
      <c r="O629" s="1192"/>
    </row>
    <row r="630" spans="1:18" ht="16.5" x14ac:dyDescent="0.2">
      <c r="A630" s="1197" t="s">
        <v>541</v>
      </c>
      <c r="B630" s="1164"/>
      <c r="C630" s="1165"/>
      <c r="D630" s="1166" t="s">
        <v>486</v>
      </c>
      <c r="E630" s="1169">
        <f>E631-E626</f>
        <v>518</v>
      </c>
      <c r="F630" s="1169">
        <f>F631-F626</f>
        <v>504</v>
      </c>
      <c r="G630" s="1169">
        <f>SUM(G628:G629)</f>
        <v>93240</v>
      </c>
      <c r="H630" s="1165"/>
      <c r="I630" s="1170">
        <f>I631-I626</f>
        <v>76.12</v>
      </c>
      <c r="J630" s="1170"/>
      <c r="K630" s="1170"/>
      <c r="L630" s="1170">
        <f>SUM(L628:L629)</f>
        <v>28.53</v>
      </c>
      <c r="M630" s="1170">
        <f>SUM(M628:M629)</f>
        <v>70.900000000000006</v>
      </c>
      <c r="N630" s="1170">
        <f>L630+M630</f>
        <v>99.43</v>
      </c>
      <c r="O630" s="1177"/>
      <c r="R630" s="1224" t="e">
        <f>+N630-#REF!</f>
        <v>#REF!</v>
      </c>
    </row>
    <row r="631" spans="1:18" ht="16.5" x14ac:dyDescent="0.2">
      <c r="A631" s="1197" t="s">
        <v>541</v>
      </c>
      <c r="B631" s="1164">
        <v>11</v>
      </c>
      <c r="C631" s="1165" t="s">
        <v>595</v>
      </c>
      <c r="D631" s="1165"/>
      <c r="E631" s="1169">
        <f>Sales_FY24!$P$184</f>
        <v>518</v>
      </c>
      <c r="F631" s="1169">
        <f>Sales_FY24!$V$184</f>
        <v>504</v>
      </c>
      <c r="G631" s="1169">
        <f>G626+G630</f>
        <v>93240</v>
      </c>
      <c r="H631" s="1165"/>
      <c r="I631" s="1170">
        <f>Sales_FY24!$Q$184</f>
        <v>76.12</v>
      </c>
      <c r="J631" s="1170"/>
      <c r="K631" s="1170"/>
      <c r="L631" s="1170" t="e">
        <f>L626+L630</f>
        <v>#REF!</v>
      </c>
      <c r="M631" s="1170" t="e">
        <f>M626+M630</f>
        <v>#REF!</v>
      </c>
      <c r="N631" s="1170" t="e">
        <f>L631+M631</f>
        <v>#REF!</v>
      </c>
      <c r="O631" s="1177" t="e">
        <f>ROUND(N631/I631*10,2)</f>
        <v>#REF!</v>
      </c>
    </row>
    <row r="632" spans="1:18" ht="16.5" x14ac:dyDescent="0.2">
      <c r="A632" s="1197" t="s">
        <v>541</v>
      </c>
      <c r="B632" s="1163"/>
      <c r="C632" s="1163"/>
      <c r="D632" s="1163"/>
      <c r="E632" s="1163"/>
      <c r="F632" s="1163"/>
      <c r="G632" s="1163"/>
      <c r="H632" s="1163"/>
      <c r="I632" s="1176"/>
      <c r="J632" s="1176"/>
      <c r="K632" s="1176"/>
      <c r="L632" s="1176"/>
      <c r="M632" s="1176"/>
      <c r="N632" s="1176"/>
      <c r="O632" s="1176"/>
    </row>
    <row r="633" spans="1:18" ht="16.5" x14ac:dyDescent="0.2">
      <c r="A633" s="1197" t="s">
        <v>541</v>
      </c>
      <c r="B633" s="1159"/>
      <c r="C633" s="1160" t="s">
        <v>601</v>
      </c>
      <c r="D633" s="1160" t="s">
        <v>589</v>
      </c>
      <c r="E633" s="1168">
        <f>E635</f>
        <v>382</v>
      </c>
      <c r="F633" s="1168">
        <f>F635</f>
        <v>356</v>
      </c>
      <c r="G633" s="1160">
        <f>ROUND(F633*95,0)</f>
        <v>33820</v>
      </c>
      <c r="H633" s="1162" t="s">
        <v>591</v>
      </c>
      <c r="I633" s="1167">
        <f>ROUND(I635*55.79%,2)</f>
        <v>28.99</v>
      </c>
      <c r="J633" s="1167" t="e">
        <f>+#REF!</f>
        <v>#REF!</v>
      </c>
      <c r="K633" s="1167" t="e">
        <f>+#REF!</f>
        <v>#REF!</v>
      </c>
      <c r="L633" s="1167" t="e">
        <f>ROUND((G633*85%)*J633*12/10000000,2)</f>
        <v>#REF!</v>
      </c>
      <c r="M633" s="1167" t="e">
        <f>ROUND(I633*1000000*K633/10000000,2)</f>
        <v>#REF!</v>
      </c>
      <c r="N633" s="1167"/>
      <c r="O633" s="1192"/>
    </row>
    <row r="634" spans="1:18" ht="16.5" x14ac:dyDescent="0.2">
      <c r="A634" s="1197" t="s">
        <v>541</v>
      </c>
      <c r="B634" s="1159"/>
      <c r="C634" s="1160"/>
      <c r="D634" s="1160"/>
      <c r="E634" s="1168"/>
      <c r="F634" s="1168"/>
      <c r="G634" s="1160"/>
      <c r="H634" s="1162" t="s">
        <v>590</v>
      </c>
      <c r="I634" s="1167">
        <f>I635-I633</f>
        <v>22.970000000000002</v>
      </c>
      <c r="J634" s="1167"/>
      <c r="K634" s="1167" t="e">
        <f>+#REF!</f>
        <v>#REF!</v>
      </c>
      <c r="L634" s="1167"/>
      <c r="M634" s="1167" t="e">
        <f>ROUND(I634*1000000*K634/10000000,2)</f>
        <v>#REF!</v>
      </c>
      <c r="N634" s="1167"/>
      <c r="O634" s="1192"/>
    </row>
    <row r="635" spans="1:18" ht="16.5" x14ac:dyDescent="0.2">
      <c r="A635" s="1197" t="s">
        <v>541</v>
      </c>
      <c r="B635" s="1164"/>
      <c r="C635" s="1165"/>
      <c r="D635" s="1166" t="s">
        <v>486</v>
      </c>
      <c r="E635" s="1169">
        <f>ROUND(E640*100%,0)</f>
        <v>382</v>
      </c>
      <c r="F635" s="1169">
        <f>ROUND(F640*100%,0)</f>
        <v>356</v>
      </c>
      <c r="G635" s="1169">
        <f>SUM(G633:G634)</f>
        <v>33820</v>
      </c>
      <c r="H635" s="1165"/>
      <c r="I635" s="1170">
        <f>ROUND(I640*100%,2)</f>
        <v>51.96</v>
      </c>
      <c r="J635" s="1170"/>
      <c r="K635" s="1170"/>
      <c r="L635" s="1170" t="e">
        <f>SUM(L633:L634)</f>
        <v>#REF!</v>
      </c>
      <c r="M635" s="1170" t="e">
        <f>SUM(M633:M634)</f>
        <v>#REF!</v>
      </c>
      <c r="N635" s="1170" t="e">
        <f>L635+M635</f>
        <v>#REF!</v>
      </c>
      <c r="O635" s="1177" t="e">
        <f>ROUND(N635/I635*10,2)</f>
        <v>#REF!</v>
      </c>
    </row>
    <row r="636" spans="1:18" ht="16.5" x14ac:dyDescent="0.2">
      <c r="A636" s="1197" t="s">
        <v>541</v>
      </c>
      <c r="B636" s="1163"/>
      <c r="C636" s="1163"/>
      <c r="D636" s="1163"/>
      <c r="E636" s="1163"/>
      <c r="F636" s="1163"/>
      <c r="G636" s="1163"/>
      <c r="H636" s="1163"/>
      <c r="I636" s="1176"/>
      <c r="J636" s="1176"/>
      <c r="K636" s="1176"/>
      <c r="L636" s="1176"/>
      <c r="M636" s="1176"/>
      <c r="N636" s="1176"/>
      <c r="O636" s="1176"/>
    </row>
    <row r="637" spans="1:18" ht="16.5" x14ac:dyDescent="0.2">
      <c r="A637" s="1197" t="s">
        <v>541</v>
      </c>
      <c r="B637" s="1159"/>
      <c r="C637" s="1160" t="s">
        <v>602</v>
      </c>
      <c r="D637" s="1160" t="s">
        <v>589</v>
      </c>
      <c r="E637" s="1168">
        <f>E639</f>
        <v>0</v>
      </c>
      <c r="F637" s="1168">
        <f>F639</f>
        <v>0</v>
      </c>
      <c r="G637" s="1160">
        <f>ROUND(F637*66.97,0)</f>
        <v>0</v>
      </c>
      <c r="H637" s="1162" t="s">
        <v>591</v>
      </c>
      <c r="I637" s="1167">
        <f>ROUND(I639*90.02169%,2)</f>
        <v>0</v>
      </c>
      <c r="J637" s="1167" t="e">
        <f>+#REF!</f>
        <v>#REF!</v>
      </c>
      <c r="K637" s="1167" t="e">
        <f>+#REF!</f>
        <v>#REF!</v>
      </c>
      <c r="L637" s="1167" t="e">
        <f>ROUND((G637*85%)*J637*12/10000000,2)</f>
        <v>#REF!</v>
      </c>
      <c r="M637" s="1167" t="e">
        <f>ROUND(I637*1000000*K637/10000000,2)</f>
        <v>#REF!</v>
      </c>
      <c r="N637" s="1167"/>
      <c r="O637" s="1192"/>
    </row>
    <row r="638" spans="1:18" ht="16.5" x14ac:dyDescent="0.2">
      <c r="A638" s="1197" t="s">
        <v>541</v>
      </c>
      <c r="B638" s="1159"/>
      <c r="C638" s="1160"/>
      <c r="D638" s="1160"/>
      <c r="E638" s="1168"/>
      <c r="F638" s="1168"/>
      <c r="G638" s="1160"/>
      <c r="H638" s="1162" t="s">
        <v>590</v>
      </c>
      <c r="I638" s="1167">
        <f>I639-I637</f>
        <v>0</v>
      </c>
      <c r="J638" s="1167"/>
      <c r="K638" s="1167" t="e">
        <f>+#REF!</f>
        <v>#REF!</v>
      </c>
      <c r="L638" s="1167"/>
      <c r="M638" s="1167" t="e">
        <f>ROUND(I638*1000000*K638/10000000,2)</f>
        <v>#REF!</v>
      </c>
      <c r="N638" s="1167"/>
      <c r="O638" s="1192"/>
    </row>
    <row r="639" spans="1:18" ht="16.5" x14ac:dyDescent="0.2">
      <c r="A639" s="1197" t="s">
        <v>541</v>
      </c>
      <c r="B639" s="1164"/>
      <c r="C639" s="1165"/>
      <c r="D639" s="1166" t="s">
        <v>486</v>
      </c>
      <c r="E639" s="1169">
        <f>E640-E635</f>
        <v>0</v>
      </c>
      <c r="F639" s="1169">
        <f>F640-F635</f>
        <v>0</v>
      </c>
      <c r="G639" s="1169">
        <f>SUM(G637:G638)</f>
        <v>0</v>
      </c>
      <c r="H639" s="1165"/>
      <c r="I639" s="1170">
        <f>I640-I635</f>
        <v>0</v>
      </c>
      <c r="J639" s="1170"/>
      <c r="K639" s="1170"/>
      <c r="L639" s="1170" t="e">
        <f>SUM(L637:L638)</f>
        <v>#REF!</v>
      </c>
      <c r="M639" s="1170" t="e">
        <f>SUM(M637:M638)</f>
        <v>#REF!</v>
      </c>
      <c r="N639" s="1170" t="e">
        <f>L639+M639</f>
        <v>#REF!</v>
      </c>
      <c r="O639" s="1177"/>
    </row>
    <row r="640" spans="1:18" ht="16.5" x14ac:dyDescent="0.2">
      <c r="A640" s="1197" t="s">
        <v>541</v>
      </c>
      <c r="B640" s="1164">
        <v>12</v>
      </c>
      <c r="C640" s="1165" t="s">
        <v>600</v>
      </c>
      <c r="D640" s="1165"/>
      <c r="E640" s="1169">
        <f>Sales_FY24!$P$185</f>
        <v>382</v>
      </c>
      <c r="F640" s="1169">
        <f>Sales_FY24!$V$185</f>
        <v>356</v>
      </c>
      <c r="G640" s="1169">
        <f>G635+G639</f>
        <v>33820</v>
      </c>
      <c r="H640" s="1165"/>
      <c r="I640" s="1170">
        <f>Sales_FY24!$Q$185</f>
        <v>51.96</v>
      </c>
      <c r="J640" s="1170"/>
      <c r="K640" s="1170"/>
      <c r="L640" s="1170" t="e">
        <f>L635+L639</f>
        <v>#REF!</v>
      </c>
      <c r="M640" s="1170" t="e">
        <f>M635+M639</f>
        <v>#REF!</v>
      </c>
      <c r="N640" s="1170" t="e">
        <f>L640+M640</f>
        <v>#REF!</v>
      </c>
      <c r="O640" s="1177" t="e">
        <f>ROUND(N640/I640*10,2)</f>
        <v>#REF!</v>
      </c>
    </row>
    <row r="641" spans="1:15" ht="16.5" x14ac:dyDescent="0.2">
      <c r="A641" s="1197" t="s">
        <v>541</v>
      </c>
      <c r="B641" s="1163"/>
      <c r="C641" s="1163"/>
      <c r="D641" s="1163"/>
      <c r="E641" s="1163"/>
      <c r="F641" s="1163"/>
      <c r="G641" s="1163"/>
      <c r="H641" s="1163"/>
      <c r="I641" s="1176"/>
      <c r="J641" s="1176"/>
      <c r="K641" s="1176"/>
      <c r="L641" s="1176"/>
      <c r="M641" s="1176"/>
      <c r="N641" s="1176"/>
      <c r="O641" s="1176"/>
    </row>
    <row r="642" spans="1:15" ht="16.5" x14ac:dyDescent="0.2">
      <c r="A642" s="1197" t="s">
        <v>541</v>
      </c>
      <c r="B642" s="1159"/>
      <c r="C642" s="1160" t="s">
        <v>612</v>
      </c>
      <c r="D642" s="1160" t="s">
        <v>604</v>
      </c>
      <c r="E642" s="1168">
        <f>ROUND(E646*68.0761%,0)</f>
        <v>331</v>
      </c>
      <c r="F642" s="1168">
        <f>ROUND(F646*68.0761%,0)</f>
        <v>322</v>
      </c>
      <c r="G642" s="1160">
        <f>ROUND(F642*310,0)</f>
        <v>99820</v>
      </c>
      <c r="H642" s="1162" t="s">
        <v>561</v>
      </c>
      <c r="I642" s="1167">
        <f>ROUND(I646*88.82983%,2)</f>
        <v>103.62</v>
      </c>
      <c r="J642" s="1167" t="e">
        <f>+#REF!</f>
        <v>#REF!</v>
      </c>
      <c r="K642" s="1167" t="e">
        <f>+#REF!</f>
        <v>#REF!</v>
      </c>
      <c r="L642" s="1167" t="e">
        <f>IF((ROUND(G642*J642*1/10000000,2))&gt;(ROUND(I642*1000000*K642/10000000,2)),(ROUND(G642*J642*1/10000000,2)),0)</f>
        <v>#REF!</v>
      </c>
      <c r="M642" s="1167" t="e">
        <f>IF((ROUND(I642*1000000*K642/10000000,2))&gt;(ROUND(G642*J642*1/10000000,2)),(ROUND(I642*1000000*K642/10000000,2)),0)</f>
        <v>#REF!</v>
      </c>
      <c r="N642" s="1167" t="e">
        <f>L642+M642</f>
        <v>#REF!</v>
      </c>
      <c r="O642" s="1192" t="e">
        <f>ROUND(N642/I642*10,2)</f>
        <v>#REF!</v>
      </c>
    </row>
    <row r="643" spans="1:15" ht="16.5" x14ac:dyDescent="0.2">
      <c r="A643" s="1197" t="s">
        <v>541</v>
      </c>
      <c r="B643" s="1159"/>
      <c r="C643" s="1160" t="s">
        <v>613</v>
      </c>
      <c r="D643" s="1160" t="s">
        <v>604</v>
      </c>
      <c r="E643" s="1168">
        <f>ROUND(E646*31.92389%,0)</f>
        <v>155</v>
      </c>
      <c r="F643" s="1168">
        <f>ROUND(F646*31.92389%,0)</f>
        <v>151</v>
      </c>
      <c r="G643" s="1160">
        <f>ROUND(F643*125,0)</f>
        <v>18875</v>
      </c>
      <c r="H643" s="1162" t="s">
        <v>561</v>
      </c>
      <c r="I643" s="1167">
        <f>ROUND(I646*11.17016%,2)</f>
        <v>13.03</v>
      </c>
      <c r="J643" s="1167" t="e">
        <f>+#REF!</f>
        <v>#REF!</v>
      </c>
      <c r="K643" s="1167" t="e">
        <f>+#REF!</f>
        <v>#REF!</v>
      </c>
      <c r="L643" s="1167" t="e">
        <f>ROUND(G643*J643*12/10000000,2)</f>
        <v>#REF!</v>
      </c>
      <c r="M643" s="1167" t="e">
        <f>ROUND(I643*1000000*K643/10000000,2)</f>
        <v>#REF!</v>
      </c>
      <c r="N643" s="1167" t="e">
        <f>L643+M643</f>
        <v>#REF!</v>
      </c>
      <c r="O643" s="1192"/>
    </row>
    <row r="644" spans="1:15" ht="16.5" x14ac:dyDescent="0.2">
      <c r="A644" s="1197" t="s">
        <v>541</v>
      </c>
      <c r="B644" s="1159"/>
      <c r="C644" s="1160" t="s">
        <v>614</v>
      </c>
      <c r="D644" s="1160" t="s">
        <v>604</v>
      </c>
      <c r="E644" s="1168">
        <f>ROUND(E646*0%,0)</f>
        <v>0</v>
      </c>
      <c r="F644" s="1168">
        <f>ROUND(F646*0%,0)</f>
        <v>0</v>
      </c>
      <c r="G644" s="1160">
        <f>ROUND(F644*168.5,0)</f>
        <v>0</v>
      </c>
      <c r="H644" s="1162" t="s">
        <v>561</v>
      </c>
      <c r="I644" s="1167">
        <f>ROUND(I646*0%,2)</f>
        <v>0</v>
      </c>
      <c r="J644" s="1167" t="e">
        <f>+#REF!</f>
        <v>#REF!</v>
      </c>
      <c r="K644" s="1167" t="e">
        <f>+#REF!</f>
        <v>#REF!</v>
      </c>
      <c r="L644" s="1167" t="e">
        <f>ROUND(G644*J644*12/10000000,2)</f>
        <v>#REF!</v>
      </c>
      <c r="M644" s="1167" t="e">
        <f>ROUND(I644*1000000*K644/10000000,2)</f>
        <v>#REF!</v>
      </c>
      <c r="N644" s="1167" t="e">
        <f>L644+M644</f>
        <v>#REF!</v>
      </c>
      <c r="O644" s="1192"/>
    </row>
    <row r="645" spans="1:15" ht="16.5" x14ac:dyDescent="0.2">
      <c r="A645" s="1197" t="s">
        <v>541</v>
      </c>
      <c r="B645" s="1159"/>
      <c r="C645" s="1160" t="s">
        <v>615</v>
      </c>
      <c r="D645" s="1160" t="s">
        <v>604</v>
      </c>
      <c r="E645" s="1168">
        <f>ROUND(E646*0%,0)</f>
        <v>0</v>
      </c>
      <c r="F645" s="1168">
        <f>ROUND(F646*0%,0)</f>
        <v>0</v>
      </c>
      <c r="G645" s="1160">
        <f>ROUND(F645*31.5,0)</f>
        <v>0</v>
      </c>
      <c r="H645" s="1162" t="s">
        <v>561</v>
      </c>
      <c r="I645" s="1167">
        <f>+I646-I642-I643-I644</f>
        <v>1.7763568394002505E-15</v>
      </c>
      <c r="J645" s="1167" t="e">
        <f>+#REF!</f>
        <v>#REF!</v>
      </c>
      <c r="K645" s="1167" t="e">
        <f>+#REF!</f>
        <v>#REF!</v>
      </c>
      <c r="L645" s="1167" t="e">
        <f>IF((ROUND(G645*J645*1/10000000,2))&gt;(ROUND(I645*1000000*K645/10000000,2)),(ROUND(G645*J645*1/10000000,2)),0)</f>
        <v>#REF!</v>
      </c>
      <c r="M645" s="1167" t="e">
        <f>IF((ROUND(I645*1000000*K645/10000000,2))&gt;(ROUND(G645*J645*1/10000000,2)),(ROUND(I645*1000000*K645/10000000,2)),0)</f>
        <v>#REF!</v>
      </c>
      <c r="N645" s="1167" t="e">
        <f>L645+M645</f>
        <v>#REF!</v>
      </c>
      <c r="O645" s="1192" t="e">
        <f>ROUND(N645/I645*10,2)</f>
        <v>#REF!</v>
      </c>
    </row>
    <row r="646" spans="1:15" ht="16.5" x14ac:dyDescent="0.2">
      <c r="A646" s="1197" t="s">
        <v>541</v>
      </c>
      <c r="B646" s="1164">
        <v>13</v>
      </c>
      <c r="C646" s="1165" t="s">
        <v>603</v>
      </c>
      <c r="D646" s="1165"/>
      <c r="E646" s="1169">
        <f>Sales_FY24!$P$186</f>
        <v>486</v>
      </c>
      <c r="F646" s="1169">
        <f>Sales_FY24!$V$186</f>
        <v>473</v>
      </c>
      <c r="G646" s="1169">
        <f>SUM(G642:G645)</f>
        <v>118695</v>
      </c>
      <c r="H646" s="1165"/>
      <c r="I646" s="1170">
        <f>Sales_FY24!$Q$186</f>
        <v>116.65</v>
      </c>
      <c r="J646" s="1170"/>
      <c r="K646" s="1170"/>
      <c r="L646" s="1170" t="e">
        <f>SUM(L642:L645)</f>
        <v>#REF!</v>
      </c>
      <c r="M646" s="1170" t="e">
        <f>SUM(M642:M645)</f>
        <v>#REF!</v>
      </c>
      <c r="N646" s="1170" t="e">
        <f>L646+M646</f>
        <v>#REF!</v>
      </c>
      <c r="O646" s="1177" t="e">
        <f>ROUND(N646/I646*10,2)</f>
        <v>#REF!</v>
      </c>
    </row>
    <row r="647" spans="1:15" ht="16.5" x14ac:dyDescent="0.2">
      <c r="A647" s="1197" t="s">
        <v>541</v>
      </c>
      <c r="B647" s="1163"/>
      <c r="C647" s="1163"/>
      <c r="D647" s="1163"/>
      <c r="E647" s="1163"/>
      <c r="F647" s="1163"/>
      <c r="G647" s="1163"/>
      <c r="H647" s="1163"/>
      <c r="I647" s="1176"/>
      <c r="J647" s="1176"/>
      <c r="K647" s="1176"/>
      <c r="L647" s="1176"/>
      <c r="M647" s="1176"/>
      <c r="N647" s="1176"/>
      <c r="O647" s="1176"/>
    </row>
    <row r="648" spans="1:15" ht="16.5" x14ac:dyDescent="0.2">
      <c r="A648" s="1197" t="s">
        <v>541</v>
      </c>
      <c r="B648" s="1159">
        <v>14</v>
      </c>
      <c r="C648" s="1160" t="s">
        <v>312</v>
      </c>
      <c r="D648" s="1160" t="s">
        <v>589</v>
      </c>
      <c r="E648" s="1168">
        <f>Sales_FY24!$P$187</f>
        <v>61</v>
      </c>
      <c r="F648" s="1168">
        <f>Sales_FY24!$V$187</f>
        <v>58</v>
      </c>
      <c r="G648" s="1160">
        <f>ROUND(F648*125,0)</f>
        <v>7250</v>
      </c>
      <c r="H648" s="1162" t="s">
        <v>561</v>
      </c>
      <c r="I648" s="1167">
        <f>Sales_FY24!$Q$187</f>
        <v>15.31</v>
      </c>
      <c r="J648" s="1167" t="e">
        <f>+#REF!</f>
        <v>#REF!</v>
      </c>
      <c r="K648" s="1167" t="e">
        <f>+#REF!</f>
        <v>#REF!</v>
      </c>
      <c r="L648" s="1167" t="e">
        <f>ROUND((G648*85%)*J648*12/10000000,2)</f>
        <v>#REF!</v>
      </c>
      <c r="M648" s="1167" t="e">
        <f>ROUND(I648*1000000*K648/10000000,2)</f>
        <v>#REF!</v>
      </c>
      <c r="N648" s="1167" t="e">
        <f>L648+M648</f>
        <v>#REF!</v>
      </c>
      <c r="O648" s="1192" t="e">
        <f>ROUND(N648/I648*10,2)</f>
        <v>#REF!</v>
      </c>
    </row>
    <row r="649" spans="1:15" ht="16.5" x14ac:dyDescent="0.2">
      <c r="A649" s="1197" t="s">
        <v>541</v>
      </c>
      <c r="B649" s="1163"/>
      <c r="C649" s="1163"/>
      <c r="D649" s="1163"/>
      <c r="E649" s="1163"/>
      <c r="F649" s="1163"/>
      <c r="G649" s="1163"/>
      <c r="H649" s="1163"/>
      <c r="I649" s="1176"/>
      <c r="J649" s="1176"/>
      <c r="K649" s="1176"/>
      <c r="L649" s="1176"/>
      <c r="M649" s="1176"/>
      <c r="N649" s="1176"/>
      <c r="O649" s="1176"/>
    </row>
    <row r="650" spans="1:15" ht="16.5" x14ac:dyDescent="0.2">
      <c r="A650" s="1197" t="s">
        <v>541</v>
      </c>
      <c r="B650" s="1159">
        <v>15</v>
      </c>
      <c r="C650" s="1160" t="s">
        <v>313</v>
      </c>
      <c r="D650" s="1160" t="s">
        <v>589</v>
      </c>
      <c r="E650" s="1168">
        <f>Sales_FY24!$P$188</f>
        <v>74</v>
      </c>
      <c r="F650" s="1168">
        <f>Sales_FY24!$V$188</f>
        <v>72</v>
      </c>
      <c r="G650" s="1160">
        <f>ROUND(F650*150,0)</f>
        <v>10800</v>
      </c>
      <c r="H650" s="1162" t="s">
        <v>561</v>
      </c>
      <c r="I650" s="1167">
        <f>Sales_FY24!$Q$188</f>
        <v>15.29</v>
      </c>
      <c r="J650" s="1167" t="e">
        <f>+#REF!</f>
        <v>#REF!</v>
      </c>
      <c r="K650" s="1167" t="e">
        <f>+#REF!</f>
        <v>#REF!</v>
      </c>
      <c r="L650" s="1167" t="e">
        <f>ROUND((G650*100%)*J650*12/10000000,2)</f>
        <v>#REF!</v>
      </c>
      <c r="M650" s="1167" t="e">
        <f>ROUND(I650*1000000*K650/10000000,2)</f>
        <v>#REF!</v>
      </c>
      <c r="N650" s="1167" t="e">
        <f>L650+M650</f>
        <v>#REF!</v>
      </c>
      <c r="O650" s="1192" t="e">
        <f>ROUND(N650/I650*10,2)</f>
        <v>#REF!</v>
      </c>
    </row>
    <row r="651" spans="1:15" ht="16.5" x14ac:dyDescent="0.2">
      <c r="A651" s="1197" t="s">
        <v>541</v>
      </c>
      <c r="B651" s="1163"/>
      <c r="C651" s="1163"/>
      <c r="D651" s="1163"/>
      <c r="E651" s="1163"/>
      <c r="F651" s="1163"/>
      <c r="G651" s="1163"/>
      <c r="H651" s="1163"/>
      <c r="I651" s="1176"/>
      <c r="J651" s="1176"/>
      <c r="K651" s="1176"/>
      <c r="L651" s="1176"/>
      <c r="M651" s="1176"/>
      <c r="N651" s="1176"/>
      <c r="O651" s="1176"/>
    </row>
    <row r="652" spans="1:15" ht="16.5" x14ac:dyDescent="0.2">
      <c r="A652" s="1197" t="s">
        <v>541</v>
      </c>
      <c r="B652" s="1194"/>
      <c r="C652" s="1195" t="s">
        <v>605</v>
      </c>
      <c r="D652" s="1195"/>
      <c r="E652" s="1196">
        <f>E613+E622+E631+E640+E646+E648+E650</f>
        <v>3706</v>
      </c>
      <c r="F652" s="1196">
        <f>F613+F622+F631+F640+F646+F648+F650</f>
        <v>3591</v>
      </c>
      <c r="G652" s="1196">
        <f>G613+G622+G631+G640+G646+G648+G650</f>
        <v>1365645</v>
      </c>
      <c r="H652" s="1195"/>
      <c r="I652" s="1193">
        <f>I613+I622+I631+I640+I646+I648+I650</f>
        <v>1773.1799999999998</v>
      </c>
      <c r="J652" s="1193"/>
      <c r="K652" s="1193"/>
      <c r="L652" s="1193" t="e">
        <f>L613+L622+L631+L640+L646+L648+L650</f>
        <v>#REF!</v>
      </c>
      <c r="M652" s="1193" t="e">
        <f>M613+M622+M631+M640+M646+M648+M650</f>
        <v>#REF!</v>
      </c>
      <c r="N652" s="1193" t="e">
        <f>L652+M652</f>
        <v>#REF!</v>
      </c>
      <c r="O652" s="1193" t="e">
        <f>ROUND(N652/I652*10,2)</f>
        <v>#REF!</v>
      </c>
    </row>
    <row r="653" spans="1:15" ht="16.5" x14ac:dyDescent="0.2">
      <c r="A653" s="1197" t="s">
        <v>541</v>
      </c>
      <c r="B653" s="1163"/>
      <c r="C653" s="1163"/>
      <c r="D653" s="1163"/>
      <c r="E653" s="1163"/>
      <c r="F653" s="1163"/>
      <c r="G653" s="1163"/>
      <c r="H653" s="1163"/>
      <c r="I653" s="1176"/>
      <c r="J653" s="1176"/>
      <c r="K653" s="1176"/>
      <c r="L653" s="1176"/>
      <c r="M653" s="1176"/>
      <c r="N653" s="1176"/>
      <c r="O653" s="1176"/>
    </row>
    <row r="654" spans="1:15" ht="16.5" x14ac:dyDescent="0.2">
      <c r="A654" s="1197" t="s">
        <v>541</v>
      </c>
      <c r="B654" s="1194"/>
      <c r="C654" s="1195" t="s">
        <v>606</v>
      </c>
      <c r="D654" s="1195"/>
      <c r="E654" s="1196">
        <f>E611+E652</f>
        <v>3690328</v>
      </c>
      <c r="F654" s="1196">
        <f>F611+F652</f>
        <v>3630445</v>
      </c>
      <c r="G654" s="1196">
        <f>G611+G652</f>
        <v>8259096</v>
      </c>
      <c r="H654" s="1195"/>
      <c r="I654" s="1193">
        <f>I611+I652</f>
        <v>8489.3000000000011</v>
      </c>
      <c r="J654" s="1193"/>
      <c r="K654" s="1193"/>
      <c r="L654" s="1193" t="e">
        <f>L611+L652</f>
        <v>#REF!</v>
      </c>
      <c r="M654" s="1193" t="e">
        <f>M611+M652</f>
        <v>#REF!</v>
      </c>
      <c r="N654" s="1193" t="e">
        <f>L654+M654</f>
        <v>#REF!</v>
      </c>
      <c r="O654" s="1193" t="e">
        <f>ROUND(N654/I654*10,2)</f>
        <v>#REF!</v>
      </c>
    </row>
    <row r="655" spans="1:15" ht="16.5" x14ac:dyDescent="0.2">
      <c r="A655" s="1197" t="s">
        <v>541</v>
      </c>
      <c r="B655" s="1163"/>
      <c r="C655" s="1163"/>
      <c r="D655" s="1163"/>
      <c r="E655" s="1163"/>
      <c r="F655" s="1163"/>
      <c r="G655" s="1163"/>
      <c r="H655" s="1163"/>
      <c r="I655" s="1176"/>
      <c r="J655" s="1176"/>
      <c r="K655" s="1176"/>
      <c r="L655" s="1176"/>
      <c r="M655" s="1176"/>
      <c r="N655" s="1176"/>
      <c r="O655" s="1176"/>
    </row>
    <row r="656" spans="1:15" ht="16.5" x14ac:dyDescent="0.2">
      <c r="A656" s="1197" t="s">
        <v>541</v>
      </c>
      <c r="B656" s="1159">
        <v>16</v>
      </c>
      <c r="C656" s="1160"/>
      <c r="D656" s="1160"/>
      <c r="E656" s="1168"/>
      <c r="F656" s="1168"/>
      <c r="G656" s="1160"/>
      <c r="H656" s="1162"/>
      <c r="I656" s="1167"/>
      <c r="J656" s="1167"/>
      <c r="K656" s="1167"/>
      <c r="L656" s="1167"/>
      <c r="M656" s="1167"/>
      <c r="N656" s="1167"/>
      <c r="O656" s="1192"/>
    </row>
    <row r="657" spans="1:19" ht="16.5" x14ac:dyDescent="0.2">
      <c r="A657" s="1197" t="s">
        <v>541</v>
      </c>
      <c r="B657" s="1163"/>
      <c r="C657" s="1163"/>
      <c r="D657" s="1163"/>
      <c r="E657" s="1163"/>
      <c r="F657" s="1163"/>
      <c r="G657" s="1163"/>
      <c r="H657" s="1163"/>
      <c r="I657" s="1176"/>
      <c r="J657" s="1176"/>
      <c r="K657" s="1176"/>
      <c r="L657" s="1176"/>
      <c r="M657" s="1176"/>
      <c r="N657" s="1176"/>
      <c r="O657" s="1176"/>
    </row>
    <row r="658" spans="1:19" ht="16.5" x14ac:dyDescent="0.2">
      <c r="A658" s="1197" t="s">
        <v>541</v>
      </c>
      <c r="B658" s="1159">
        <v>17</v>
      </c>
      <c r="C658" s="1160"/>
      <c r="D658" s="1160"/>
      <c r="E658" s="1168"/>
      <c r="F658" s="1168"/>
      <c r="G658" s="1160"/>
      <c r="H658" s="1162"/>
      <c r="I658" s="1167"/>
      <c r="J658" s="1167"/>
      <c r="K658" s="1167"/>
      <c r="L658" s="1167"/>
      <c r="M658" s="1167"/>
      <c r="N658" s="1167"/>
      <c r="O658" s="1192"/>
    </row>
    <row r="659" spans="1:19" ht="16.5" x14ac:dyDescent="0.2">
      <c r="A659" s="1197" t="s">
        <v>541</v>
      </c>
      <c r="B659" s="1163"/>
      <c r="C659" s="1163"/>
      <c r="D659" s="1163"/>
      <c r="E659" s="1163"/>
      <c r="F659" s="1163"/>
      <c r="G659" s="1163"/>
      <c r="H659" s="1163"/>
      <c r="I659" s="1176"/>
      <c r="J659" s="1176"/>
      <c r="K659" s="1176"/>
      <c r="L659" s="1176"/>
      <c r="M659" s="1176"/>
      <c r="N659" s="1176"/>
      <c r="O659" s="1176"/>
    </row>
    <row r="660" spans="1:19" ht="16.5" x14ac:dyDescent="0.2">
      <c r="A660" s="1197" t="s">
        <v>541</v>
      </c>
      <c r="B660" s="1159">
        <v>18</v>
      </c>
      <c r="C660" s="1160"/>
      <c r="D660" s="1160" t="s">
        <v>305</v>
      </c>
      <c r="E660" s="1168"/>
      <c r="F660" s="1168"/>
      <c r="G660" s="1160"/>
      <c r="H660" s="1162"/>
      <c r="I660" s="1167"/>
      <c r="J660" s="1167"/>
      <c r="K660" s="1167"/>
      <c r="L660" s="1167">
        <v>0</v>
      </c>
      <c r="M660" s="1167">
        <f>ROUND((176.19+(176.19*38.64495%))+3.06,2)</f>
        <v>247.34</v>
      </c>
      <c r="N660" s="1167">
        <f>L660+M660</f>
        <v>247.34</v>
      </c>
      <c r="O660" s="1192"/>
    </row>
    <row r="661" spans="1:19" ht="16.5" x14ac:dyDescent="0.2">
      <c r="A661" s="1197" t="s">
        <v>541</v>
      </c>
      <c r="B661" s="1163"/>
      <c r="C661" s="1163"/>
      <c r="D661" s="1163"/>
      <c r="E661" s="1163"/>
      <c r="F661" s="1163"/>
      <c r="G661" s="1163"/>
      <c r="H661" s="1163"/>
      <c r="I661" s="1176"/>
      <c r="J661" s="1176"/>
      <c r="K661" s="1176"/>
      <c r="L661" s="1176"/>
      <c r="M661" s="1176"/>
      <c r="N661" s="1176"/>
      <c r="O661" s="1176"/>
    </row>
    <row r="662" spans="1:19" ht="16.5" x14ac:dyDescent="0.2">
      <c r="A662" s="1197" t="s">
        <v>541</v>
      </c>
      <c r="B662" s="1194"/>
      <c r="C662" s="1195" t="s">
        <v>607</v>
      </c>
      <c r="D662" s="1195"/>
      <c r="E662" s="1196">
        <f>E654+E660+E656+E658</f>
        <v>3690328</v>
      </c>
      <c r="F662" s="1196">
        <f>F654+F660+F656+F658</f>
        <v>3630445</v>
      </c>
      <c r="G662" s="1196">
        <f>G654+G660+G656+G658</f>
        <v>8259096</v>
      </c>
      <c r="H662" s="1195"/>
      <c r="I662" s="1193">
        <f>I654+I660+I656+I658</f>
        <v>8489.3000000000011</v>
      </c>
      <c r="J662" s="1193"/>
      <c r="K662" s="1193"/>
      <c r="L662" s="1193" t="e">
        <f>L654+L660+L656+L658</f>
        <v>#REF!</v>
      </c>
      <c r="M662" s="1193" t="e">
        <f>M654+M660+M656+M658</f>
        <v>#REF!</v>
      </c>
      <c r="N662" s="1193" t="e">
        <f>L662+M662</f>
        <v>#REF!</v>
      </c>
      <c r="O662" s="1193" t="e">
        <f>ROUND(N662/I662*10,2)</f>
        <v>#REF!</v>
      </c>
      <c r="R662" s="1224" t="e">
        <f>+#REF!</f>
        <v>#REF!</v>
      </c>
      <c r="S662" s="1224" t="e">
        <f>+N662-R662</f>
        <v>#REF!</v>
      </c>
    </row>
    <row r="666" spans="1:19" x14ac:dyDescent="0.15">
      <c r="B666" s="1172" t="s">
        <v>609</v>
      </c>
      <c r="D666" s="1173" t="s">
        <v>608</v>
      </c>
    </row>
    <row r="667" spans="1:19" x14ac:dyDescent="0.15">
      <c r="B667" s="1187" t="s">
        <v>472</v>
      </c>
      <c r="C667" s="1187" t="s">
        <v>474</v>
      </c>
      <c r="D667" s="1188" t="s">
        <v>3</v>
      </c>
      <c r="E667" s="1187" t="s">
        <v>49</v>
      </c>
      <c r="F667" s="1187" t="s">
        <v>469</v>
      </c>
      <c r="G667" s="1187" t="s">
        <v>467</v>
      </c>
      <c r="H667" s="1188" t="s">
        <v>475</v>
      </c>
      <c r="I667" s="1188" t="s">
        <v>475</v>
      </c>
      <c r="J667" s="1187" t="s">
        <v>477</v>
      </c>
      <c r="K667" s="1187" t="s">
        <v>480</v>
      </c>
      <c r="L667" s="1189" t="s">
        <v>610</v>
      </c>
      <c r="M667" s="1189" t="s">
        <v>611</v>
      </c>
      <c r="N667" s="1189" t="s">
        <v>488</v>
      </c>
      <c r="O667" s="1189" t="s">
        <v>489</v>
      </c>
    </row>
    <row r="668" spans="1:19" x14ac:dyDescent="0.15">
      <c r="B668" s="1190" t="s">
        <v>473</v>
      </c>
      <c r="C668" s="1190" t="s">
        <v>31</v>
      </c>
      <c r="D668" s="1191"/>
      <c r="E668" s="1190" t="s">
        <v>33</v>
      </c>
      <c r="F668" s="1190" t="s">
        <v>33</v>
      </c>
      <c r="G668" s="1190" t="s">
        <v>468</v>
      </c>
      <c r="H668" s="1191" t="s">
        <v>487</v>
      </c>
      <c r="I668" s="1191" t="s">
        <v>476</v>
      </c>
      <c r="J668" s="1190" t="s">
        <v>479</v>
      </c>
      <c r="K668" s="1190" t="s">
        <v>478</v>
      </c>
      <c r="L668" s="1190" t="s">
        <v>481</v>
      </c>
      <c r="M668" s="1190" t="s">
        <v>481</v>
      </c>
      <c r="N668" s="1190" t="s">
        <v>481</v>
      </c>
      <c r="O668" s="1190" t="s">
        <v>478</v>
      </c>
    </row>
    <row r="669" spans="1:19" ht="16.5" x14ac:dyDescent="0.2">
      <c r="A669" s="1197" t="s">
        <v>616</v>
      </c>
      <c r="B669" s="1159"/>
      <c r="C669" s="1160" t="s">
        <v>38</v>
      </c>
      <c r="D669" s="1160" t="s">
        <v>482</v>
      </c>
      <c r="E669" s="1168">
        <f>Sales_FY24!$P$252</f>
        <v>12074</v>
      </c>
      <c r="F669" s="1168">
        <f>Sales_FY24!$V$252</f>
        <v>12074</v>
      </c>
      <c r="G669" s="1160">
        <f>ROUND(E669*0.100961,0)</f>
        <v>1219</v>
      </c>
      <c r="H669" s="1167"/>
      <c r="I669" s="1167">
        <f>Sales_FY24!$Q$252</f>
        <v>3.92</v>
      </c>
      <c r="J669" s="1167" t="e">
        <f>+#REF!</f>
        <v>#REF!</v>
      </c>
      <c r="K669" s="1167" t="e">
        <f>+#REF!</f>
        <v>#REF!</v>
      </c>
      <c r="L669" s="1167"/>
      <c r="M669" s="1167" t="e">
        <f>ROUND(I669*1000000*K669/10000000,2)</f>
        <v>#REF!</v>
      </c>
      <c r="N669" s="1175" t="e">
        <f>+L669+M669</f>
        <v>#REF!</v>
      </c>
      <c r="O669" s="1171" t="e">
        <f>ROUND(N669/I669*10,2)</f>
        <v>#REF!</v>
      </c>
    </row>
    <row r="670" spans="1:19" ht="16.5" x14ac:dyDescent="0.2">
      <c r="A670" s="1197" t="s">
        <v>616</v>
      </c>
      <c r="B670" s="1159"/>
      <c r="C670" s="1160" t="s">
        <v>38</v>
      </c>
      <c r="D670" s="1161" t="s">
        <v>483</v>
      </c>
      <c r="E670" s="1168">
        <f>Sales_FY24!$P$253</f>
        <v>380</v>
      </c>
      <c r="F670" s="1168">
        <f>Sales_FY24!$V$253</f>
        <v>380</v>
      </c>
      <c r="G670" s="1160">
        <f>ROUND(E670*0.10524,0)</f>
        <v>40</v>
      </c>
      <c r="H670" s="1162" t="s">
        <v>426</v>
      </c>
      <c r="I670" s="1167">
        <f>ROUND(F670*50*12/1000000,2)</f>
        <v>0.23</v>
      </c>
      <c r="J670" s="1167" t="e">
        <f>+J681</f>
        <v>#REF!</v>
      </c>
      <c r="K670" s="1167" t="e">
        <f>+K681</f>
        <v>#REF!</v>
      </c>
      <c r="L670" s="1167" t="e">
        <f>ROUND((F670*J670*12)/10000000,2)</f>
        <v>#REF!</v>
      </c>
      <c r="M670" s="1167" t="e">
        <f>ROUND(I670*1000000*K670/10000000,2)</f>
        <v>#REF!</v>
      </c>
      <c r="N670" s="1167"/>
      <c r="O670" s="1167"/>
    </row>
    <row r="671" spans="1:19" ht="16.5" x14ac:dyDescent="0.2">
      <c r="A671" s="1197" t="s">
        <v>616</v>
      </c>
      <c r="B671" s="1159"/>
      <c r="C671" s="1160"/>
      <c r="D671" s="1161"/>
      <c r="E671" s="1160"/>
      <c r="F671" s="1160"/>
      <c r="G671" s="1160"/>
      <c r="H671" s="1162" t="s">
        <v>432</v>
      </c>
      <c r="I671" s="1167">
        <f>I672-I670</f>
        <v>0.03</v>
      </c>
      <c r="J671" s="1167"/>
      <c r="K671" s="1167" t="e">
        <f>+K682</f>
        <v>#REF!</v>
      </c>
      <c r="L671" s="1167"/>
      <c r="M671" s="1167" t="e">
        <f>ROUND(I671*1000000*K671/10000000,2)</f>
        <v>#REF!</v>
      </c>
      <c r="N671" s="1167"/>
      <c r="O671" s="1167"/>
    </row>
    <row r="672" spans="1:19" ht="16.5" x14ac:dyDescent="0.2">
      <c r="A672" s="1197" t="s">
        <v>616</v>
      </c>
      <c r="B672" s="1172"/>
      <c r="C672" s="1173"/>
      <c r="D672" s="1174" t="s">
        <v>486</v>
      </c>
      <c r="E672" s="1173">
        <f>SUM(E670:E671)</f>
        <v>380</v>
      </c>
      <c r="F672" s="1173">
        <f>SUM(F670:F671)</f>
        <v>380</v>
      </c>
      <c r="G672" s="1173">
        <f>SUM(G670:G671)</f>
        <v>40</v>
      </c>
      <c r="H672" s="1173"/>
      <c r="I672" s="1175">
        <f>Sales_FY24!$Q$253</f>
        <v>0.26</v>
      </c>
      <c r="J672" s="1175"/>
      <c r="K672" s="1175"/>
      <c r="L672" s="1175" t="e">
        <f>SUM(L670:L671)</f>
        <v>#REF!</v>
      </c>
      <c r="M672" s="1175" t="e">
        <f>SUM(M670:M671)</f>
        <v>#REF!</v>
      </c>
      <c r="N672" s="1175" t="e">
        <f>+L672+M672</f>
        <v>#REF!</v>
      </c>
      <c r="O672" s="1171" t="e">
        <f>ROUND(N672/I672*10,2)</f>
        <v>#REF!</v>
      </c>
    </row>
    <row r="673" spans="1:15" ht="16.5" x14ac:dyDescent="0.2">
      <c r="A673" s="1197" t="s">
        <v>616</v>
      </c>
      <c r="B673" s="1164">
        <v>1</v>
      </c>
      <c r="C673" s="1165" t="s">
        <v>484</v>
      </c>
      <c r="D673" s="1165"/>
      <c r="E673" s="1169">
        <f>+E669+E672</f>
        <v>12454</v>
      </c>
      <c r="F673" s="1169">
        <f>+F669+F672</f>
        <v>12454</v>
      </c>
      <c r="G673" s="1169">
        <f>+G669+G672</f>
        <v>1259</v>
      </c>
      <c r="H673" s="1165"/>
      <c r="I673" s="1170">
        <f>+I669+I672</f>
        <v>4.18</v>
      </c>
      <c r="J673" s="1170"/>
      <c r="K673" s="1170"/>
      <c r="L673" s="1170" t="e">
        <f>+L669+L672</f>
        <v>#REF!</v>
      </c>
      <c r="M673" s="1170" t="e">
        <f>+M669+M672</f>
        <v>#REF!</v>
      </c>
      <c r="N673" s="1170" t="e">
        <f>L673+M673</f>
        <v>#REF!</v>
      </c>
      <c r="O673" s="1170"/>
    </row>
    <row r="674" spans="1:15" ht="16.5" x14ac:dyDescent="0.2">
      <c r="A674" s="1197" t="s">
        <v>616</v>
      </c>
      <c r="B674" s="1163"/>
      <c r="C674" s="1163"/>
      <c r="D674" s="1163"/>
      <c r="E674" s="1163"/>
      <c r="F674" s="1163"/>
      <c r="G674" s="1163"/>
      <c r="H674" s="1163"/>
      <c r="I674" s="1176"/>
      <c r="J674" s="1176"/>
      <c r="K674" s="1176"/>
      <c r="L674" s="1176"/>
      <c r="M674" s="1176"/>
      <c r="N674" s="1176"/>
      <c r="O674" s="1176"/>
    </row>
    <row r="675" spans="1:15" ht="16.5" x14ac:dyDescent="0.2">
      <c r="A675" s="1197" t="s">
        <v>616</v>
      </c>
      <c r="B675" s="1159"/>
      <c r="C675" s="1160" t="s">
        <v>485</v>
      </c>
      <c r="D675" s="1160" t="s">
        <v>43</v>
      </c>
      <c r="E675" s="1160">
        <f>ROUND(E679*89.9801%,0)</f>
        <v>15177</v>
      </c>
      <c r="F675" s="1160">
        <f>ROUND(F679*89.9801%,0)</f>
        <v>14925</v>
      </c>
      <c r="G675" s="1160">
        <f>ROUND(F675*0.79303,0)</f>
        <v>11836</v>
      </c>
      <c r="H675" s="1162" t="s">
        <v>426</v>
      </c>
      <c r="I675" s="1167">
        <f>ROUND(I679*56.56111%,2)</f>
        <v>5.56</v>
      </c>
      <c r="J675" s="1167" t="e">
        <f>+#REF!</f>
        <v>#REF!</v>
      </c>
      <c r="K675" s="1167" t="e">
        <f>+#REF!</f>
        <v>#REF!</v>
      </c>
      <c r="L675" s="1167" t="e">
        <f>ROUND((F675*J675*12)/10000000,2)</f>
        <v>#REF!</v>
      </c>
      <c r="M675" s="1167" t="e">
        <f>ROUND(I675*1000000*K675/10000000,2)</f>
        <v>#REF!</v>
      </c>
      <c r="N675" s="1167"/>
      <c r="O675" s="1171"/>
    </row>
    <row r="676" spans="1:15" ht="16.5" x14ac:dyDescent="0.2">
      <c r="A676" s="1197" t="s">
        <v>616</v>
      </c>
      <c r="B676" s="1159"/>
      <c r="C676" s="1160"/>
      <c r="D676" s="1160" t="s">
        <v>451</v>
      </c>
      <c r="E676" s="1160">
        <f>ROUND(E679*10.01989%,0)</f>
        <v>1690</v>
      </c>
      <c r="F676" s="1160">
        <f>ROUND(F679*10.01989%,0)</f>
        <v>1662</v>
      </c>
      <c r="G676" s="1160">
        <f>ROUND(F676*2.62996,0)</f>
        <v>4371</v>
      </c>
      <c r="H676" s="1162" t="s">
        <v>432</v>
      </c>
      <c r="I676" s="1167">
        <f>ROUND(I679*24.24034%,2)</f>
        <v>2.38</v>
      </c>
      <c r="J676" s="1167" t="e">
        <f>+#REF!</f>
        <v>#REF!</v>
      </c>
      <c r="K676" s="1167" t="e">
        <f>+#REF!</f>
        <v>#REF!</v>
      </c>
      <c r="L676" s="1167" t="e">
        <f>ROUND(((F676*J675*12)+((G676-F676)*J676*12))/10000000,2)</f>
        <v>#REF!</v>
      </c>
      <c r="M676" s="1167" t="e">
        <f>ROUND(I676*1000000*K676/10000000,2)</f>
        <v>#REF!</v>
      </c>
      <c r="N676" s="1167"/>
      <c r="O676" s="1167"/>
    </row>
    <row r="677" spans="1:15" ht="16.5" x14ac:dyDescent="0.2">
      <c r="A677" s="1197" t="s">
        <v>616</v>
      </c>
      <c r="B677" s="1159"/>
      <c r="C677" s="1160"/>
      <c r="D677" s="1160" t="s">
        <v>444</v>
      </c>
      <c r="E677" s="1160">
        <f>+E679-E675-E676</f>
        <v>0</v>
      </c>
      <c r="F677" s="1160">
        <f>+F679-F675-F676</f>
        <v>0</v>
      </c>
      <c r="G677" s="1160">
        <f>ROUND(F677*0,0)</f>
        <v>0</v>
      </c>
      <c r="H677" s="1162" t="s">
        <v>380</v>
      </c>
      <c r="I677" s="1167">
        <f>ROUND(I679*12.83536%,2)</f>
        <v>1.26</v>
      </c>
      <c r="J677" s="1167" t="e">
        <f>+#REF!</f>
        <v>#REF!</v>
      </c>
      <c r="K677" s="1167" t="e">
        <f>+#REF!</f>
        <v>#REF!</v>
      </c>
      <c r="L677" s="1167" t="e">
        <f>ROUND(((F677*J675*12)+(F677*49*12*J676)+((G677-(F677*50))*12*J677))/10000000,2)</f>
        <v>#REF!</v>
      </c>
      <c r="M677" s="1167" t="e">
        <f>ROUND(I677*1000000*K677/10000000,2)</f>
        <v>#REF!</v>
      </c>
      <c r="N677" s="1167"/>
      <c r="O677" s="1167"/>
    </row>
    <row r="678" spans="1:15" ht="16.5" x14ac:dyDescent="0.2">
      <c r="A678" s="1197" t="s">
        <v>616</v>
      </c>
      <c r="B678" s="1159"/>
      <c r="C678" s="1160"/>
      <c r="D678" s="1160"/>
      <c r="E678" s="1160"/>
      <c r="F678" s="1160"/>
      <c r="G678" s="1160"/>
      <c r="H678" s="1162" t="s">
        <v>411</v>
      </c>
      <c r="I678" s="1167">
        <f>+I679-I675-I676-I677</f>
        <v>0.63000000000000056</v>
      </c>
      <c r="J678" s="1167"/>
      <c r="K678" s="1167" t="e">
        <f>+#REF!</f>
        <v>#REF!</v>
      </c>
      <c r="L678" s="1167"/>
      <c r="M678" s="1167" t="e">
        <f>ROUND(I678*1000000*K678/10000000,2)</f>
        <v>#REF!</v>
      </c>
      <c r="N678" s="1167"/>
      <c r="O678" s="1167"/>
    </row>
    <row r="679" spans="1:15" ht="16.5" x14ac:dyDescent="0.2">
      <c r="A679" s="1197" t="s">
        <v>616</v>
      </c>
      <c r="B679" s="1164"/>
      <c r="C679" s="1165"/>
      <c r="D679" s="1166" t="s">
        <v>486</v>
      </c>
      <c r="E679" s="1165">
        <f>ROUND(E686*18.66854%,0)</f>
        <v>16867</v>
      </c>
      <c r="F679" s="1165">
        <f>ROUND(F686*18.66854%,0)</f>
        <v>16587</v>
      </c>
      <c r="G679" s="1165">
        <f>SUM(G675:G678)</f>
        <v>16207</v>
      </c>
      <c r="H679" s="1165"/>
      <c r="I679" s="1170">
        <f>ROUND(I686*30.29878%,2)</f>
        <v>9.83</v>
      </c>
      <c r="J679" s="1170"/>
      <c r="K679" s="1170"/>
      <c r="L679" s="1170" t="e">
        <f>SUM(L675:L678)</f>
        <v>#REF!</v>
      </c>
      <c r="M679" s="1170" t="e">
        <f>SUM(M675:M678)</f>
        <v>#REF!</v>
      </c>
      <c r="N679" s="1170" t="e">
        <f>L679+M679</f>
        <v>#REF!</v>
      </c>
      <c r="O679" s="1177" t="e">
        <f>ROUND(N679/I679*10,2)</f>
        <v>#REF!</v>
      </c>
    </row>
    <row r="680" spans="1:15" ht="16.5" x14ac:dyDescent="0.2">
      <c r="A680" s="1197" t="s">
        <v>616</v>
      </c>
      <c r="B680" s="1163"/>
      <c r="C680" s="1163"/>
      <c r="D680" s="1163"/>
      <c r="E680" s="1163"/>
      <c r="F680" s="1163"/>
      <c r="G680" s="1163"/>
      <c r="H680" s="1163"/>
      <c r="I680" s="1176"/>
      <c r="J680" s="1176"/>
      <c r="K680" s="1176"/>
      <c r="L680" s="1176"/>
      <c r="M680" s="1176"/>
      <c r="N680" s="1176"/>
      <c r="O680" s="1176"/>
    </row>
    <row r="681" spans="1:15" ht="16.5" x14ac:dyDescent="0.2">
      <c r="A681" s="1197" t="s">
        <v>616</v>
      </c>
      <c r="B681" s="1159"/>
      <c r="C681" s="1160" t="s">
        <v>555</v>
      </c>
      <c r="D681" s="1160" t="s">
        <v>43</v>
      </c>
      <c r="E681" s="1160">
        <f>ROUND(E685*97.6198%,0)</f>
        <v>71735</v>
      </c>
      <c r="F681" s="1160">
        <f>ROUND(F685*97.6198%,0)</f>
        <v>70543</v>
      </c>
      <c r="G681" s="1160">
        <f>ROUND(F681*0.653,0)</f>
        <v>46065</v>
      </c>
      <c r="H681" s="1162" t="s">
        <v>426</v>
      </c>
      <c r="I681" s="1167">
        <f>ROUND(I685*74.27602%,2)</f>
        <v>16.8</v>
      </c>
      <c r="J681" s="1167" t="e">
        <f>+#REF!</f>
        <v>#REF!</v>
      </c>
      <c r="K681" s="1167" t="e">
        <f>+#REF!</f>
        <v>#REF!</v>
      </c>
      <c r="L681" s="1167" t="e">
        <f>ROUND((F681*J681*12)/10000000,2)</f>
        <v>#REF!</v>
      </c>
      <c r="M681" s="1167" t="e">
        <f>ROUND(I681*1000000*K681/10000000,2)</f>
        <v>#REF!</v>
      </c>
      <c r="N681" s="1167"/>
      <c r="O681" s="1167"/>
    </row>
    <row r="682" spans="1:15" ht="16.5" x14ac:dyDescent="0.2">
      <c r="A682" s="1197" t="s">
        <v>616</v>
      </c>
      <c r="B682" s="1159"/>
      <c r="C682" s="1160"/>
      <c r="D682" s="1160" t="s">
        <v>451</v>
      </c>
      <c r="E682" s="1160">
        <f>ROUND(E685*2.38019%,0)</f>
        <v>1749</v>
      </c>
      <c r="F682" s="1160">
        <f>ROUND(F685*2.38019%,0)</f>
        <v>1720</v>
      </c>
      <c r="G682" s="1160">
        <f>ROUND(F682*2.45,0)</f>
        <v>4214</v>
      </c>
      <c r="H682" s="1162" t="s">
        <v>432</v>
      </c>
      <c r="I682" s="1167">
        <f>ROUND(I685*16.89968%,2)</f>
        <v>3.82</v>
      </c>
      <c r="J682" s="1167" t="e">
        <f>+#REF!</f>
        <v>#REF!</v>
      </c>
      <c r="K682" s="1167" t="e">
        <f>+#REF!</f>
        <v>#REF!</v>
      </c>
      <c r="L682" s="1167" t="e">
        <f>ROUND(((F682*J681*12)+((G682-F682)*J682*12))/10000000,2)</f>
        <v>#REF!</v>
      </c>
      <c r="M682" s="1167" t="e">
        <f>ROUND(I682*1000000*K682/10000000,2)</f>
        <v>#REF!</v>
      </c>
      <c r="N682" s="1167"/>
      <c r="O682" s="1167"/>
    </row>
    <row r="683" spans="1:15" ht="16.5" x14ac:dyDescent="0.2">
      <c r="A683" s="1197" t="s">
        <v>616</v>
      </c>
      <c r="B683" s="1159"/>
      <c r="C683" s="1160"/>
      <c r="D683" s="1160" t="s">
        <v>444</v>
      </c>
      <c r="E683" s="1160">
        <f>+E685-E681-E682</f>
        <v>0</v>
      </c>
      <c r="F683" s="1160">
        <f>+F685-F681-F682</f>
        <v>0</v>
      </c>
      <c r="G683" s="1160">
        <f>ROUND(F683*0,0)</f>
        <v>0</v>
      </c>
      <c r="H683" s="1162" t="s">
        <v>380</v>
      </c>
      <c r="I683" s="1167">
        <f>ROUND(I685*6.43297%,2)</f>
        <v>1.46</v>
      </c>
      <c r="J683" s="1167" t="e">
        <f>+#REF!</f>
        <v>#REF!</v>
      </c>
      <c r="K683" s="1167" t="e">
        <f>+#REF!</f>
        <v>#REF!</v>
      </c>
      <c r="L683" s="1167" t="e">
        <f>ROUND(((F683*J681*12)+(F683*49*12*J682)+((G683-(F683*50))*12*J683))/10000000,2)</f>
        <v>#REF!</v>
      </c>
      <c r="M683" s="1167" t="e">
        <f>ROUND(I683*1000000*K683/10000000,2)</f>
        <v>#REF!</v>
      </c>
      <c r="N683" s="1167"/>
      <c r="O683" s="1167"/>
    </row>
    <row r="684" spans="1:15" ht="16.5" x14ac:dyDescent="0.2">
      <c r="A684" s="1197" t="s">
        <v>616</v>
      </c>
      <c r="B684" s="1159"/>
      <c r="C684" s="1160"/>
      <c r="D684" s="1160"/>
      <c r="E684" s="1160"/>
      <c r="F684" s="1160"/>
      <c r="G684" s="1160"/>
      <c r="H684" s="1162" t="s">
        <v>411</v>
      </c>
      <c r="I684" s="1167">
        <f>+I685-I681-I682-I683</f>
        <v>0.54000000000000403</v>
      </c>
      <c r="J684" s="1167"/>
      <c r="K684" s="1167" t="e">
        <f>+#REF!</f>
        <v>#REF!</v>
      </c>
      <c r="L684" s="1167"/>
      <c r="M684" s="1167" t="e">
        <f>ROUND(I684*1000000*K684/10000000,2)</f>
        <v>#REF!</v>
      </c>
      <c r="N684" s="1167"/>
      <c r="O684" s="1167"/>
    </row>
    <row r="685" spans="1:15" ht="16.5" x14ac:dyDescent="0.2">
      <c r="A685" s="1197" t="s">
        <v>616</v>
      </c>
      <c r="B685" s="1164"/>
      <c r="C685" s="1165"/>
      <c r="D685" s="1166" t="s">
        <v>486</v>
      </c>
      <c r="E685" s="1169">
        <f>E686-E679</f>
        <v>73484</v>
      </c>
      <c r="F685" s="1169">
        <f>F686-F679</f>
        <v>72263</v>
      </c>
      <c r="G685" s="1165">
        <f>SUM(G681:G684)</f>
        <v>50279</v>
      </c>
      <c r="H685" s="1165"/>
      <c r="I685" s="1170">
        <f>I686-I679</f>
        <v>22.620000000000005</v>
      </c>
      <c r="J685" s="1170"/>
      <c r="K685" s="1170"/>
      <c r="L685" s="1170" t="e">
        <f>SUM(L681:L684)</f>
        <v>#REF!</v>
      </c>
      <c r="M685" s="1170" t="e">
        <f>SUM(M681:M684)</f>
        <v>#REF!</v>
      </c>
      <c r="N685" s="1170" t="e">
        <f>L685+M685</f>
        <v>#REF!</v>
      </c>
      <c r="O685" s="1177" t="e">
        <f>ROUND(N685/I685*10,2)</f>
        <v>#REF!</v>
      </c>
    </row>
    <row r="686" spans="1:15" ht="16.5" x14ac:dyDescent="0.2">
      <c r="A686" s="1197" t="s">
        <v>616</v>
      </c>
      <c r="B686" s="1164">
        <v>2</v>
      </c>
      <c r="C686" s="1165" t="s">
        <v>490</v>
      </c>
      <c r="D686" s="1165"/>
      <c r="E686" s="1169">
        <f>Sales_FY24!$P$254</f>
        <v>90351</v>
      </c>
      <c r="F686" s="1169">
        <f>Sales_FY24!$V$254</f>
        <v>88850</v>
      </c>
      <c r="G686" s="1169">
        <f>G679+G685</f>
        <v>66486</v>
      </c>
      <c r="H686" s="1165"/>
      <c r="I686" s="1170">
        <f>Sales_FY24!$Q$254</f>
        <v>32.450000000000003</v>
      </c>
      <c r="J686" s="1170"/>
      <c r="K686" s="1170"/>
      <c r="L686" s="1170" t="e">
        <f>L679+L685</f>
        <v>#REF!</v>
      </c>
      <c r="M686" s="1170" t="e">
        <f>M679+M685</f>
        <v>#REF!</v>
      </c>
      <c r="N686" s="1170" t="e">
        <f>L686+M686</f>
        <v>#REF!</v>
      </c>
      <c r="O686" s="1177" t="e">
        <f>ROUND(N686/I686*10,2)</f>
        <v>#REF!</v>
      </c>
    </row>
    <row r="687" spans="1:15" ht="16.5" x14ac:dyDescent="0.2">
      <c r="A687" s="1197" t="s">
        <v>616</v>
      </c>
      <c r="B687" s="1163"/>
      <c r="C687" s="1163"/>
      <c r="D687" s="1163"/>
      <c r="E687" s="1163"/>
      <c r="F687" s="1163"/>
      <c r="G687" s="1163"/>
      <c r="H687" s="1163"/>
      <c r="I687" s="1176"/>
      <c r="J687" s="1176"/>
      <c r="K687" s="1176"/>
      <c r="L687" s="1176"/>
      <c r="M687" s="1176"/>
      <c r="N687" s="1176"/>
      <c r="O687" s="1176"/>
    </row>
    <row r="688" spans="1:15" ht="16.5" x14ac:dyDescent="0.2">
      <c r="A688" s="1197" t="s">
        <v>616</v>
      </c>
      <c r="B688" s="1159"/>
      <c r="C688" s="1160" t="s">
        <v>491</v>
      </c>
      <c r="D688" s="1160" t="s">
        <v>492</v>
      </c>
      <c r="E688" s="1160">
        <f>ROUND(E691*62.99888%,0)</f>
        <v>29</v>
      </c>
      <c r="F688" s="1160">
        <f>ROUND(F691*62.99888%,0)</f>
        <v>28</v>
      </c>
      <c r="G688" s="1160">
        <f>ROUND(F688*0.75,0)</f>
        <v>21</v>
      </c>
      <c r="H688" s="1162" t="s">
        <v>493</v>
      </c>
      <c r="I688" s="1167">
        <f>ROUND(I691*35.3486%,2)</f>
        <v>0.05</v>
      </c>
      <c r="J688" s="1167" t="e">
        <f>+#REF!</f>
        <v>#REF!</v>
      </c>
      <c r="K688" s="1167" t="e">
        <f>+#REF!</f>
        <v>#REF!</v>
      </c>
      <c r="L688" s="1167" t="e">
        <f>ROUND(G688*J688*12/10000000,2)</f>
        <v>#REF!</v>
      </c>
      <c r="M688" s="1167" t="e">
        <f>ROUND(I688*1000000*K688/10000000,2)</f>
        <v>#REF!</v>
      </c>
      <c r="N688" s="1167"/>
      <c r="O688" s="1167"/>
    </row>
    <row r="689" spans="1:15" ht="16.5" x14ac:dyDescent="0.2">
      <c r="A689" s="1197" t="s">
        <v>616</v>
      </c>
      <c r="B689" s="1159"/>
      <c r="C689" s="1160"/>
      <c r="D689" s="1160" t="s">
        <v>444</v>
      </c>
      <c r="E689" s="1160">
        <f>E691-E688</f>
        <v>17</v>
      </c>
      <c r="F689" s="1160">
        <f>F691-F688</f>
        <v>17</v>
      </c>
      <c r="G689" s="1160">
        <f>ROUND(F689*10.12,0)</f>
        <v>172</v>
      </c>
      <c r="H689" s="1162" t="s">
        <v>411</v>
      </c>
      <c r="I689" s="1167">
        <f>I691-I688</f>
        <v>9.9999999999999992E-2</v>
      </c>
      <c r="J689" s="1167" t="e">
        <f>+#REF!</f>
        <v>#REF!</v>
      </c>
      <c r="K689" s="1167" t="e">
        <f>+#REF!</f>
        <v>#REF!</v>
      </c>
      <c r="L689" s="1167" t="e">
        <f>ROUND(((F689*J688*50*12)+((G689-(F689*50))*J689*12))/10000000,2)</f>
        <v>#REF!</v>
      </c>
      <c r="M689" s="1167" t="e">
        <f>ROUND(I689*1000000*K689/10000000,2)</f>
        <v>#REF!</v>
      </c>
      <c r="N689" s="1167"/>
      <c r="O689" s="1167"/>
    </row>
    <row r="690" spans="1:15" ht="16.5" x14ac:dyDescent="0.2">
      <c r="A690" s="1197" t="s">
        <v>616</v>
      </c>
      <c r="B690" s="1159"/>
      <c r="C690" s="1160"/>
      <c r="D690" s="1160" t="s">
        <v>556</v>
      </c>
      <c r="E690" s="1160"/>
      <c r="F690" s="1160"/>
      <c r="G690" s="1160"/>
      <c r="H690" s="1162"/>
      <c r="I690" s="1167"/>
      <c r="J690" s="1186" t="e">
        <f>+#REF!</f>
        <v>#REF!</v>
      </c>
      <c r="K690" s="1167"/>
      <c r="L690" s="1167"/>
      <c r="M690" s="1167"/>
      <c r="N690" s="1167"/>
      <c r="O690" s="1167"/>
    </row>
    <row r="691" spans="1:15" ht="16.5" x14ac:dyDescent="0.2">
      <c r="A691" s="1197" t="s">
        <v>616</v>
      </c>
      <c r="B691" s="1164"/>
      <c r="C691" s="1165"/>
      <c r="D691" s="1166" t="s">
        <v>486</v>
      </c>
      <c r="E691" s="1165">
        <f>ROUND(E697*48.38709%,0)</f>
        <v>46</v>
      </c>
      <c r="F691" s="1165">
        <f>ROUND(F697*48.38709%,0)</f>
        <v>45</v>
      </c>
      <c r="G691" s="1165">
        <f>SUM(G688:G689)</f>
        <v>193</v>
      </c>
      <c r="H691" s="1165"/>
      <c r="I691" s="1170">
        <f>ROUND(I697*62.28383%,2)</f>
        <v>0.15</v>
      </c>
      <c r="J691" s="1170"/>
      <c r="K691" s="1170"/>
      <c r="L691" s="1170" t="e">
        <f>SUM(L688:L689)</f>
        <v>#REF!</v>
      </c>
      <c r="M691" s="1170" t="e">
        <f>SUM(M688:M689)</f>
        <v>#REF!</v>
      </c>
      <c r="N691" s="1170" t="e">
        <f>L691+M691</f>
        <v>#REF!</v>
      </c>
      <c r="O691" s="1177" t="e">
        <f>ROUND(N691/I691*10,2)</f>
        <v>#REF!</v>
      </c>
    </row>
    <row r="692" spans="1:15" ht="16.5" x14ac:dyDescent="0.2">
      <c r="A692" s="1197" t="s">
        <v>616</v>
      </c>
      <c r="B692" s="1163"/>
      <c r="C692" s="1163"/>
      <c r="D692" s="1163"/>
      <c r="E692" s="1163"/>
      <c r="F692" s="1163"/>
      <c r="G692" s="1163"/>
      <c r="H692" s="1163"/>
      <c r="I692" s="1176"/>
      <c r="J692" s="1176"/>
      <c r="K692" s="1176"/>
      <c r="L692" s="1176"/>
      <c r="M692" s="1176"/>
      <c r="N692" s="1176"/>
      <c r="O692" s="1176"/>
    </row>
    <row r="693" spans="1:15" ht="16.5" x14ac:dyDescent="0.2">
      <c r="A693" s="1197" t="s">
        <v>616</v>
      </c>
      <c r="B693" s="1159"/>
      <c r="C693" s="1160" t="s">
        <v>554</v>
      </c>
      <c r="D693" s="1160" t="s">
        <v>492</v>
      </c>
      <c r="E693" s="1160">
        <f>ROUND(E696*68.00146%,0)</f>
        <v>33</v>
      </c>
      <c r="F693" s="1160">
        <f>ROUND(F696*68.00146%,0)</f>
        <v>33</v>
      </c>
      <c r="G693" s="1160">
        <f>ROUND(F693*0.68,0)</f>
        <v>22</v>
      </c>
      <c r="H693" s="1162" t="s">
        <v>493</v>
      </c>
      <c r="I693" s="1167">
        <f>ROUND(I696*54.49677%,2)</f>
        <v>0.05</v>
      </c>
      <c r="J693" s="1167" t="e">
        <f>+#REF!</f>
        <v>#REF!</v>
      </c>
      <c r="K693" s="1167" t="e">
        <f>+#REF!</f>
        <v>#REF!</v>
      </c>
      <c r="L693" s="1167" t="e">
        <f>ROUND(G693*J693*12/10000000,2)</f>
        <v>#REF!</v>
      </c>
      <c r="M693" s="1167" t="e">
        <f>ROUND(I693*1000000*K693/10000000,2)</f>
        <v>#REF!</v>
      </c>
      <c r="N693" s="1167"/>
      <c r="O693" s="1167"/>
    </row>
    <row r="694" spans="1:15" ht="16.5" x14ac:dyDescent="0.2">
      <c r="A694" s="1197" t="s">
        <v>616</v>
      </c>
      <c r="B694" s="1159"/>
      <c r="C694" s="1160"/>
      <c r="D694" s="1160" t="s">
        <v>444</v>
      </c>
      <c r="E694" s="1160">
        <f>E696-E693</f>
        <v>16</v>
      </c>
      <c r="F694" s="1160">
        <f>F696-F693</f>
        <v>16</v>
      </c>
      <c r="G694" s="1160">
        <f>ROUND(F694*9.52173,0)</f>
        <v>152</v>
      </c>
      <c r="H694" s="1162" t="s">
        <v>411</v>
      </c>
      <c r="I694" s="1167">
        <f>I696-I693</f>
        <v>3.9999999999999994E-2</v>
      </c>
      <c r="J694" s="1167" t="e">
        <f>+#REF!</f>
        <v>#REF!</v>
      </c>
      <c r="K694" s="1167" t="e">
        <f>+#REF!</f>
        <v>#REF!</v>
      </c>
      <c r="L694" s="1167" t="e">
        <f>ROUND(((F694*J693*50*12)+((G694-(F694*50))*J694*12))/10000000,2)</f>
        <v>#REF!</v>
      </c>
      <c r="M694" s="1167" t="e">
        <f>ROUND(I694*1000000*K694/10000000,2)</f>
        <v>#REF!</v>
      </c>
      <c r="N694" s="1167"/>
      <c r="O694" s="1167"/>
    </row>
    <row r="695" spans="1:15" ht="16.5" x14ac:dyDescent="0.2">
      <c r="A695" s="1197" t="s">
        <v>616</v>
      </c>
      <c r="B695" s="1159"/>
      <c r="C695" s="1160"/>
      <c r="D695" s="1160" t="s">
        <v>556</v>
      </c>
      <c r="E695" s="1160"/>
      <c r="F695" s="1160"/>
      <c r="G695" s="1160"/>
      <c r="H695" s="1162"/>
      <c r="I695" s="1167"/>
      <c r="J695" s="1186" t="e">
        <f>+#REF!</f>
        <v>#REF!</v>
      </c>
      <c r="K695" s="1167"/>
      <c r="L695" s="1167"/>
      <c r="M695" s="1167"/>
      <c r="N695" s="1167"/>
      <c r="O695" s="1167"/>
    </row>
    <row r="696" spans="1:15" ht="16.5" x14ac:dyDescent="0.2">
      <c r="A696" s="1197" t="s">
        <v>616</v>
      </c>
      <c r="B696" s="1164"/>
      <c r="C696" s="1165"/>
      <c r="D696" s="1166" t="s">
        <v>486</v>
      </c>
      <c r="E696" s="1169">
        <f>E697-E691</f>
        <v>49</v>
      </c>
      <c r="F696" s="1169">
        <f>F697-F691</f>
        <v>49</v>
      </c>
      <c r="G696" s="1165">
        <f>SUM(G693:G694)</f>
        <v>174</v>
      </c>
      <c r="H696" s="1165"/>
      <c r="I696" s="1170">
        <f>I697-I691</f>
        <v>0.09</v>
      </c>
      <c r="J696" s="1170"/>
      <c r="K696" s="1170"/>
      <c r="L696" s="1170" t="e">
        <f>SUM(L693:L694)</f>
        <v>#REF!</v>
      </c>
      <c r="M696" s="1170" t="e">
        <f>SUM(M693:M694)</f>
        <v>#REF!</v>
      </c>
      <c r="N696" s="1170" t="e">
        <f>L696+M696</f>
        <v>#REF!</v>
      </c>
      <c r="O696" s="1177" t="e">
        <f>ROUND(N696/I696*10,2)</f>
        <v>#REF!</v>
      </c>
    </row>
    <row r="697" spans="1:15" ht="16.5" x14ac:dyDescent="0.2">
      <c r="A697" s="1197" t="s">
        <v>616</v>
      </c>
      <c r="B697" s="1164">
        <v>3</v>
      </c>
      <c r="C697" s="1165" t="s">
        <v>553</v>
      </c>
      <c r="D697" s="1165"/>
      <c r="E697" s="1169">
        <f>Sales_FY24!$P$255</f>
        <v>95</v>
      </c>
      <c r="F697" s="1169">
        <f>Sales_FY24!$V$255</f>
        <v>94</v>
      </c>
      <c r="G697" s="1169">
        <f>G688+G696</f>
        <v>195</v>
      </c>
      <c r="H697" s="1165"/>
      <c r="I697" s="1170">
        <f>Sales_FY24!$Q$255</f>
        <v>0.24</v>
      </c>
      <c r="J697" s="1170"/>
      <c r="K697" s="1170"/>
      <c r="L697" s="1170" t="e">
        <f>L691+L696</f>
        <v>#REF!</v>
      </c>
      <c r="M697" s="1170" t="e">
        <f>M691+M696</f>
        <v>#REF!</v>
      </c>
      <c r="N697" s="1170" t="e">
        <f>L697+M697</f>
        <v>#REF!</v>
      </c>
      <c r="O697" s="1177" t="e">
        <f>ROUND(N697/I697*10,2)</f>
        <v>#REF!</v>
      </c>
    </row>
    <row r="698" spans="1:15" ht="16.5" x14ac:dyDescent="0.2">
      <c r="A698" s="1197" t="s">
        <v>616</v>
      </c>
      <c r="B698" s="1163"/>
      <c r="C698" s="1163"/>
      <c r="D698" s="1163"/>
      <c r="E698" s="1163"/>
      <c r="F698" s="1163"/>
      <c r="G698" s="1163"/>
      <c r="H698" s="1163"/>
      <c r="I698" s="1176"/>
      <c r="J698" s="1176"/>
      <c r="K698" s="1176"/>
      <c r="L698" s="1176"/>
      <c r="M698" s="1176"/>
      <c r="N698" s="1176"/>
      <c r="O698" s="1176"/>
    </row>
    <row r="699" spans="1:15" ht="16.5" x14ac:dyDescent="0.2">
      <c r="A699" s="1197" t="s">
        <v>616</v>
      </c>
      <c r="B699" s="1159"/>
      <c r="C699" s="1160" t="s">
        <v>69</v>
      </c>
      <c r="D699" s="1160" t="s">
        <v>492</v>
      </c>
      <c r="E699" s="1160">
        <f>ROUND(E701*100%,0)</f>
        <v>3190</v>
      </c>
      <c r="F699" s="1160">
        <f>ROUND(F701*100%,0)</f>
        <v>3152</v>
      </c>
      <c r="G699" s="1160">
        <f>ROUND(F699*1.24365,0)</f>
        <v>3920</v>
      </c>
      <c r="H699" s="1162" t="s">
        <v>426</v>
      </c>
      <c r="I699" s="1167">
        <f>ROUND(I701*22.90548%,2)</f>
        <v>0.88</v>
      </c>
      <c r="J699" s="1167" t="e">
        <f>+#REF!</f>
        <v>#REF!</v>
      </c>
      <c r="K699" s="1167" t="e">
        <f>+#REF!</f>
        <v>#REF!</v>
      </c>
      <c r="L699" s="1167" t="e">
        <f>ROUND(G699*J699*12/10000000,2)</f>
        <v>#REF!</v>
      </c>
      <c r="M699" s="1167" t="e">
        <f>ROUND(I699*1000000*K699/10000000,2)</f>
        <v>#REF!</v>
      </c>
      <c r="N699" s="1167"/>
      <c r="O699" s="1167"/>
    </row>
    <row r="700" spans="1:15" ht="16.5" x14ac:dyDescent="0.2">
      <c r="A700" s="1197" t="s">
        <v>616</v>
      </c>
      <c r="B700" s="1159"/>
      <c r="C700" s="1160"/>
      <c r="D700" s="1160" t="s">
        <v>444</v>
      </c>
      <c r="E700" s="1160">
        <f>E701-E699</f>
        <v>0</v>
      </c>
      <c r="F700" s="1160">
        <f>F701-F699</f>
        <v>0</v>
      </c>
      <c r="G700" s="1160">
        <f>ROUND(F700*0,0)</f>
        <v>0</v>
      </c>
      <c r="H700" s="1162" t="s">
        <v>558</v>
      </c>
      <c r="I700" s="1167">
        <f>I701-I699</f>
        <v>2.98</v>
      </c>
      <c r="J700" s="1167" t="e">
        <f>+#REF!</f>
        <v>#REF!</v>
      </c>
      <c r="K700" s="1167" t="e">
        <f>+#REF!</f>
        <v>#REF!</v>
      </c>
      <c r="L700" s="1167" t="e">
        <f>ROUND(((F700*J699*50*12)+((G700-(F700*50))*J700*12))/10000000,2)</f>
        <v>#REF!</v>
      </c>
      <c r="M700" s="1167" t="e">
        <f>ROUND(I700*1000000*K700/10000000,2)</f>
        <v>#REF!</v>
      </c>
      <c r="N700" s="1167"/>
      <c r="O700" s="1167"/>
    </row>
    <row r="701" spans="1:15" ht="16.5" x14ac:dyDescent="0.2">
      <c r="A701" s="1197" t="s">
        <v>616</v>
      </c>
      <c r="B701" s="1164"/>
      <c r="C701" s="1165"/>
      <c r="D701" s="1166" t="s">
        <v>486</v>
      </c>
      <c r="E701" s="1165">
        <f>ROUND(E706*47.22804%,0)</f>
        <v>3190</v>
      </c>
      <c r="F701" s="1165">
        <f>ROUND(F706*47.22804%,0)</f>
        <v>3152</v>
      </c>
      <c r="G701" s="1165">
        <f>SUM(G699:G700)</f>
        <v>3920</v>
      </c>
      <c r="H701" s="1165"/>
      <c r="I701" s="1170">
        <f>ROUND(I706*36.17172%,2)</f>
        <v>3.86</v>
      </c>
      <c r="J701" s="1170"/>
      <c r="K701" s="1170"/>
      <c r="L701" s="1170" t="e">
        <f>SUM(L699:L700)</f>
        <v>#REF!</v>
      </c>
      <c r="M701" s="1170" t="e">
        <f>SUM(M699:M700)</f>
        <v>#REF!</v>
      </c>
      <c r="N701" s="1170" t="e">
        <f>L701+M701</f>
        <v>#REF!</v>
      </c>
      <c r="O701" s="1177" t="e">
        <f>ROUND(N701/I701*10,2)</f>
        <v>#REF!</v>
      </c>
    </row>
    <row r="702" spans="1:15" ht="16.5" x14ac:dyDescent="0.2">
      <c r="A702" s="1197" t="s">
        <v>616</v>
      </c>
      <c r="B702" s="1163"/>
      <c r="C702" s="1163"/>
      <c r="D702" s="1163"/>
      <c r="E702" s="1163"/>
      <c r="F702" s="1163"/>
      <c r="G702" s="1163"/>
      <c r="H702" s="1163"/>
      <c r="I702" s="1176"/>
      <c r="J702" s="1176"/>
      <c r="K702" s="1176"/>
      <c r="L702" s="1176"/>
      <c r="M702" s="1176"/>
      <c r="N702" s="1176"/>
      <c r="O702" s="1176"/>
    </row>
    <row r="703" spans="1:15" ht="16.5" x14ac:dyDescent="0.2">
      <c r="A703" s="1197" t="s">
        <v>616</v>
      </c>
      <c r="B703" s="1159"/>
      <c r="C703" s="1160" t="s">
        <v>76</v>
      </c>
      <c r="D703" s="1160" t="s">
        <v>492</v>
      </c>
      <c r="E703" s="1160">
        <f>ROUND(E705*100%,0)</f>
        <v>3565</v>
      </c>
      <c r="F703" s="1160">
        <f>ROUND(F705*100%,0)</f>
        <v>3521</v>
      </c>
      <c r="G703" s="1160">
        <f>ROUND(F703*1.47473,0)</f>
        <v>5193</v>
      </c>
      <c r="H703" s="1162" t="s">
        <v>426</v>
      </c>
      <c r="I703" s="1167">
        <f>ROUND(I705*13.86388%,2)</f>
        <v>0.94</v>
      </c>
      <c r="J703" s="1167" t="e">
        <f>+#REF!</f>
        <v>#REF!</v>
      </c>
      <c r="K703" s="1167" t="e">
        <f>+#REF!</f>
        <v>#REF!</v>
      </c>
      <c r="L703" s="1167" t="e">
        <f>ROUND(G703*J703*12/10000000,2)</f>
        <v>#REF!</v>
      </c>
      <c r="M703" s="1167" t="e">
        <f>ROUND(I703*1000000*K703/10000000,2)</f>
        <v>#REF!</v>
      </c>
      <c r="N703" s="1167"/>
      <c r="O703" s="1167"/>
    </row>
    <row r="704" spans="1:15" ht="16.5" x14ac:dyDescent="0.2">
      <c r="A704" s="1197" t="s">
        <v>616</v>
      </c>
      <c r="B704" s="1159"/>
      <c r="C704" s="1160"/>
      <c r="D704" s="1160" t="s">
        <v>444</v>
      </c>
      <c r="E704" s="1160">
        <f>E705-E703</f>
        <v>0</v>
      </c>
      <c r="F704" s="1160">
        <f>F705-F703</f>
        <v>0</v>
      </c>
      <c r="G704" s="1160">
        <f>ROUND(F704*0,0)</f>
        <v>0</v>
      </c>
      <c r="H704" s="1162" t="s">
        <v>558</v>
      </c>
      <c r="I704" s="1167">
        <f>I705-I703</f>
        <v>5.870000000000001</v>
      </c>
      <c r="J704" s="1167" t="e">
        <f>+#REF!</f>
        <v>#REF!</v>
      </c>
      <c r="K704" s="1167" t="e">
        <f>+#REF!</f>
        <v>#REF!</v>
      </c>
      <c r="L704" s="1167" t="e">
        <f>ROUND(((F704*J703*50*12)+((G704-(F704*50))*J704*12))/10000000,2)</f>
        <v>#REF!</v>
      </c>
      <c r="M704" s="1167" t="e">
        <f>ROUND(I704*1000000*K704/10000000,2)</f>
        <v>#REF!</v>
      </c>
      <c r="N704" s="1167"/>
      <c r="O704" s="1167"/>
    </row>
    <row r="705" spans="1:15" ht="16.5" x14ac:dyDescent="0.2">
      <c r="A705" s="1197" t="s">
        <v>616</v>
      </c>
      <c r="B705" s="1164"/>
      <c r="C705" s="1165"/>
      <c r="D705" s="1166" t="s">
        <v>486</v>
      </c>
      <c r="E705" s="1169">
        <f>E706-E701</f>
        <v>3565</v>
      </c>
      <c r="F705" s="1169">
        <f>F706-F701</f>
        <v>3521</v>
      </c>
      <c r="G705" s="1165">
        <f>SUM(G703:G704)</f>
        <v>5193</v>
      </c>
      <c r="H705" s="1165"/>
      <c r="I705" s="1170">
        <f>I706-I701</f>
        <v>6.8100000000000005</v>
      </c>
      <c r="J705" s="1170"/>
      <c r="K705" s="1170"/>
      <c r="L705" s="1170" t="e">
        <f>SUM(L703:L704)</f>
        <v>#REF!</v>
      </c>
      <c r="M705" s="1170" t="e">
        <f>SUM(M703:M704)</f>
        <v>#REF!</v>
      </c>
      <c r="N705" s="1170" t="e">
        <f>L705+M705</f>
        <v>#REF!</v>
      </c>
      <c r="O705" s="1177" t="e">
        <f>ROUND(N705/I705*10,2)</f>
        <v>#REF!</v>
      </c>
    </row>
    <row r="706" spans="1:15" ht="16.5" x14ac:dyDescent="0.2">
      <c r="A706" s="1197" t="s">
        <v>616</v>
      </c>
      <c r="B706" s="1164">
        <v>4</v>
      </c>
      <c r="C706" s="1165" t="s">
        <v>557</v>
      </c>
      <c r="D706" s="1165"/>
      <c r="E706" s="1169">
        <f>Sales_FY24!$P$256</f>
        <v>6755</v>
      </c>
      <c r="F706" s="1169">
        <f>Sales_FY24!$V$256</f>
        <v>6673</v>
      </c>
      <c r="G706" s="1169">
        <f>G701+G705</f>
        <v>9113</v>
      </c>
      <c r="H706" s="1165"/>
      <c r="I706" s="1170">
        <f>Sales_FY24!$Q$256</f>
        <v>10.67</v>
      </c>
      <c r="J706" s="1170"/>
      <c r="K706" s="1170"/>
      <c r="L706" s="1170" t="e">
        <f>L701+L705</f>
        <v>#REF!</v>
      </c>
      <c r="M706" s="1170" t="e">
        <f>M701+M705</f>
        <v>#REF!</v>
      </c>
      <c r="N706" s="1170" t="e">
        <f>L706+M706</f>
        <v>#REF!</v>
      </c>
      <c r="O706" s="1177" t="e">
        <f>ROUND(N706/I706*10,2)</f>
        <v>#REF!</v>
      </c>
    </row>
    <row r="707" spans="1:15" ht="16.5" x14ac:dyDescent="0.2">
      <c r="A707" s="1197" t="s">
        <v>616</v>
      </c>
      <c r="B707" s="1163"/>
      <c r="C707" s="1163"/>
      <c r="D707" s="1163"/>
      <c r="E707" s="1163"/>
      <c r="F707" s="1163"/>
      <c r="G707" s="1163"/>
      <c r="H707" s="1163"/>
      <c r="I707" s="1176"/>
      <c r="J707" s="1176"/>
      <c r="K707" s="1176"/>
      <c r="L707" s="1176"/>
      <c r="M707" s="1176"/>
      <c r="N707" s="1176"/>
      <c r="O707" s="1176"/>
    </row>
    <row r="708" spans="1:15" ht="16.5" x14ac:dyDescent="0.2">
      <c r="A708" s="1197" t="s">
        <v>616</v>
      </c>
      <c r="B708" s="1159"/>
      <c r="C708" s="1160" t="s">
        <v>559</v>
      </c>
      <c r="D708" s="1160" t="s">
        <v>560</v>
      </c>
      <c r="E708" s="1160">
        <f>Sales_FY24!$P$257</f>
        <v>34176</v>
      </c>
      <c r="F708" s="1160">
        <f>Sales_FY24!$V$257</f>
        <v>33501</v>
      </c>
      <c r="G708" s="1160">
        <f>ROUND(F708*5.52,0)</f>
        <v>184926</v>
      </c>
      <c r="H708" s="1162" t="s">
        <v>561</v>
      </c>
      <c r="I708" s="1167">
        <f>Sales_FY24!$Q$257</f>
        <v>192.38</v>
      </c>
      <c r="J708" s="1167"/>
      <c r="K708" s="1167" t="e">
        <f>+#REF!</f>
        <v>#REF!</v>
      </c>
      <c r="L708" s="1167">
        <f>ROUND(G708*J708*12/10000000,2)</f>
        <v>0</v>
      </c>
      <c r="M708" s="1167" t="e">
        <f>ROUND(I708*1000000*K708/10000000,2)</f>
        <v>#REF!</v>
      </c>
      <c r="N708" s="1167" t="e">
        <f>L708+M708</f>
        <v>#REF!</v>
      </c>
      <c r="O708" s="1192" t="e">
        <f>ROUND(N708/I708*10,2)</f>
        <v>#REF!</v>
      </c>
    </row>
    <row r="709" spans="1:15" ht="16.5" x14ac:dyDescent="0.2">
      <c r="A709" s="1197" t="s">
        <v>616</v>
      </c>
      <c r="B709" s="1159"/>
      <c r="C709" s="1160" t="s">
        <v>562</v>
      </c>
      <c r="D709" s="1160" t="s">
        <v>563</v>
      </c>
      <c r="E709" s="1168">
        <f>Sales_FY24!$P$258</f>
        <v>11</v>
      </c>
      <c r="F709" s="1160">
        <f>Sales_FY24!$V$258</f>
        <v>11</v>
      </c>
      <c r="G709" s="1160">
        <f>ROUND(F709*21.63636,0)</f>
        <v>238</v>
      </c>
      <c r="H709" s="1162" t="s">
        <v>561</v>
      </c>
      <c r="I709" s="1167">
        <f>Sales_FY24!$Q$258</f>
        <v>0.08</v>
      </c>
      <c r="J709" s="1167" t="e">
        <f>+#REF!</f>
        <v>#REF!</v>
      </c>
      <c r="K709" s="1167" t="e">
        <f>+#REF!</f>
        <v>#REF!</v>
      </c>
      <c r="L709" s="1167" t="e">
        <f>ROUND(G709*J709*12/10000000,2)</f>
        <v>#REF!</v>
      </c>
      <c r="M709" s="1167" t="e">
        <f>ROUND(I709*1000000*K709/10000000,2)</f>
        <v>#REF!</v>
      </c>
      <c r="N709" s="1167" t="e">
        <f>L709+M709</f>
        <v>#REF!</v>
      </c>
      <c r="O709" s="1192" t="e">
        <f>ROUND(N709/I709*10,2)</f>
        <v>#REF!</v>
      </c>
    </row>
    <row r="710" spans="1:15" ht="16.5" x14ac:dyDescent="0.2">
      <c r="A710" s="1197" t="s">
        <v>616</v>
      </c>
      <c r="B710" s="1159"/>
      <c r="C710" s="1160" t="s">
        <v>564</v>
      </c>
      <c r="D710" s="1160" t="s">
        <v>565</v>
      </c>
      <c r="E710" s="1168">
        <f>Sales_FY24!$P$259</f>
        <v>4</v>
      </c>
      <c r="F710" s="1160">
        <f>Sales_FY24!$V$259</f>
        <v>4</v>
      </c>
      <c r="G710" s="1160">
        <f>ROUND(F710*4,0)</f>
        <v>16</v>
      </c>
      <c r="H710" s="1162" t="s">
        <v>561</v>
      </c>
      <c r="I710" s="1167">
        <f>Sales_FY24!$Q$259+0.001</f>
        <v>1E-3</v>
      </c>
      <c r="J710" s="1167" t="e">
        <f>+#REF!</f>
        <v>#REF!</v>
      </c>
      <c r="K710" s="1167" t="e">
        <f>+#REF!</f>
        <v>#REF!</v>
      </c>
      <c r="L710" s="1167" t="e">
        <f>ROUND(G710*J710*12/10000000,2)</f>
        <v>#REF!</v>
      </c>
      <c r="M710" s="1167" t="e">
        <f>ROUND(I710*1000000*K710/10000000,2)</f>
        <v>#REF!</v>
      </c>
      <c r="N710" s="1167" t="e">
        <f>L710+M710</f>
        <v>#REF!</v>
      </c>
      <c r="O710" s="1192" t="e">
        <f>ROUND(N710/I710*10,2)</f>
        <v>#REF!</v>
      </c>
    </row>
    <row r="711" spans="1:15" ht="16.5" x14ac:dyDescent="0.2">
      <c r="A711" s="1197" t="s">
        <v>616</v>
      </c>
      <c r="B711" s="1164">
        <v>5</v>
      </c>
      <c r="C711" s="1165" t="s">
        <v>566</v>
      </c>
      <c r="D711" s="1165"/>
      <c r="E711" s="1169">
        <f>SUM(E708:E710)</f>
        <v>34191</v>
      </c>
      <c r="F711" s="1169">
        <f>SUM(F708:F710)</f>
        <v>33516</v>
      </c>
      <c r="G711" s="1169">
        <f>SUM(G708:G710)</f>
        <v>185180</v>
      </c>
      <c r="H711" s="1165"/>
      <c r="I711" s="1170">
        <f>SUM(I708:I710)</f>
        <v>192.46100000000001</v>
      </c>
      <c r="J711" s="1170"/>
      <c r="K711" s="1170"/>
      <c r="L711" s="1170" t="e">
        <f>SUM(L708:L710)</f>
        <v>#REF!</v>
      </c>
      <c r="M711" s="1170" t="e">
        <f>SUM(M708:M710)</f>
        <v>#REF!</v>
      </c>
      <c r="N711" s="1170" t="e">
        <f>SUM(N708:N710)</f>
        <v>#REF!</v>
      </c>
      <c r="O711" s="1177" t="e">
        <f>ROUND(N711/I711*10,2)</f>
        <v>#REF!</v>
      </c>
    </row>
    <row r="712" spans="1:15" ht="16.5" x14ac:dyDescent="0.2">
      <c r="A712" s="1197" t="s">
        <v>616</v>
      </c>
      <c r="B712" s="1163"/>
      <c r="C712" s="1163"/>
      <c r="D712" s="1163"/>
      <c r="E712" s="1163"/>
      <c r="F712" s="1163"/>
      <c r="G712" s="1163"/>
      <c r="H712" s="1163"/>
      <c r="I712" s="1176"/>
      <c r="J712" s="1176"/>
      <c r="K712" s="1176"/>
      <c r="L712" s="1176"/>
      <c r="M712" s="1176"/>
      <c r="N712" s="1176"/>
      <c r="O712" s="1176"/>
    </row>
    <row r="713" spans="1:15" ht="16.5" x14ac:dyDescent="0.2">
      <c r="A713" s="1197" t="s">
        <v>616</v>
      </c>
      <c r="B713" s="1159"/>
      <c r="C713" s="1160" t="s">
        <v>9</v>
      </c>
      <c r="D713" s="1160" t="s">
        <v>568</v>
      </c>
      <c r="E713" s="1160">
        <f>ROUND(E718*65.00093%,0)</f>
        <v>0</v>
      </c>
      <c r="F713" s="1160">
        <f>ROUND(F718*65.00093%,0)</f>
        <v>0</v>
      </c>
      <c r="G713" s="1160">
        <f>ROUND(F713*4.400008,0)</f>
        <v>0</v>
      </c>
      <c r="H713" s="1162" t="s">
        <v>573</v>
      </c>
      <c r="I713" s="1167">
        <f>ROUND(I718*68%,2)</f>
        <v>0</v>
      </c>
      <c r="J713" s="1167" t="e">
        <f>+#REF!</f>
        <v>#REF!</v>
      </c>
      <c r="K713" s="1167" t="e">
        <f>+#REF!</f>
        <v>#REF!</v>
      </c>
      <c r="L713" s="1167" t="e">
        <f>ROUND(G713*J713*12/10000000,2)</f>
        <v>#REF!</v>
      </c>
      <c r="M713" s="1167" t="e">
        <f>ROUND(I713*1000000*K713/10000000,2)</f>
        <v>#REF!</v>
      </c>
      <c r="N713" s="1167"/>
      <c r="O713" s="1167"/>
    </row>
    <row r="714" spans="1:15" ht="16.5" x14ac:dyDescent="0.2">
      <c r="A714" s="1197" t="s">
        <v>616</v>
      </c>
      <c r="B714" s="1159"/>
      <c r="C714" s="1160"/>
      <c r="D714" s="1160" t="s">
        <v>569</v>
      </c>
      <c r="E714" s="1160">
        <f>ROUND(E718*24.99933%,0)</f>
        <v>0</v>
      </c>
      <c r="F714" s="1160">
        <f>ROUND(F718*24.99933%,0)</f>
        <v>0</v>
      </c>
      <c r="G714" s="1160">
        <f>ROUND(F714*16.1685,0)</f>
        <v>0</v>
      </c>
      <c r="H714" s="1162" t="s">
        <v>574</v>
      </c>
      <c r="I714" s="1167">
        <f>ROUND(I718*17.99602%,2)</f>
        <v>0</v>
      </c>
      <c r="J714" s="1167" t="e">
        <f>+#REF!</f>
        <v>#REF!</v>
      </c>
      <c r="K714" s="1167" t="e">
        <f>+#REF!</f>
        <v>#REF!</v>
      </c>
      <c r="L714" s="1167" t="e">
        <f>ROUND(G714*J714*12/10000000,2)</f>
        <v>#REF!</v>
      </c>
      <c r="M714" s="1167" t="e">
        <f>ROUND(I714*1000000*K714/10000000,2)</f>
        <v>#REF!</v>
      </c>
      <c r="N714" s="1167"/>
      <c r="O714" s="1167"/>
    </row>
    <row r="715" spans="1:15" ht="16.5" x14ac:dyDescent="0.2">
      <c r="A715" s="1197" t="s">
        <v>616</v>
      </c>
      <c r="B715" s="1159"/>
      <c r="C715" s="1160"/>
      <c r="D715" s="1160" t="s">
        <v>570</v>
      </c>
      <c r="E715" s="1160">
        <f>ROUND(E718*7.00034%,0)</f>
        <v>0</v>
      </c>
      <c r="F715" s="1160">
        <f>ROUND(F718*7.00034%,0)</f>
        <v>0</v>
      </c>
      <c r="G715" s="1160">
        <f>ROUND(F715*57.9977,0)</f>
        <v>0</v>
      </c>
      <c r="H715" s="1162" t="s">
        <v>575</v>
      </c>
      <c r="I715" s="1167">
        <f>I718-I713-I714</f>
        <v>0</v>
      </c>
      <c r="J715" s="1167" t="e">
        <f>+#REF!</f>
        <v>#REF!</v>
      </c>
      <c r="K715" s="1167" t="e">
        <f>+#REF!</f>
        <v>#REF!</v>
      </c>
      <c r="L715" s="1167" t="e">
        <f>ROUND(G715*J715*12/10000000,2)</f>
        <v>#REF!</v>
      </c>
      <c r="M715" s="1167" t="e">
        <f>ROUND(I715*1000000*K715/10000000,2)</f>
        <v>#REF!</v>
      </c>
      <c r="N715" s="1167"/>
      <c r="O715" s="1167"/>
    </row>
    <row r="716" spans="1:15" ht="16.5" x14ac:dyDescent="0.2">
      <c r="A716" s="1197" t="s">
        <v>616</v>
      </c>
      <c r="B716" s="1159"/>
      <c r="C716" s="1160"/>
      <c r="D716" s="1160" t="s">
        <v>571</v>
      </c>
      <c r="E716" s="1160">
        <f>ROUND(E718*2.99938%,0)</f>
        <v>0</v>
      </c>
      <c r="F716" s="1160">
        <f>ROUND(F718*2.99938%,0)</f>
        <v>0</v>
      </c>
      <c r="G716" s="1160">
        <f>ROUND(F716*71.01517,0)</f>
        <v>0</v>
      </c>
      <c r="H716" s="1162"/>
      <c r="I716" s="1167"/>
      <c r="J716" s="1167" t="e">
        <f>+#REF!</f>
        <v>#REF!</v>
      </c>
      <c r="K716" s="1167"/>
      <c r="L716" s="1167" t="e">
        <f>ROUND(G716*J716*12/10000000,2)</f>
        <v>#REF!</v>
      </c>
      <c r="M716" s="1167"/>
      <c r="N716" s="1167"/>
      <c r="O716" s="1167"/>
    </row>
    <row r="717" spans="1:15" ht="16.5" x14ac:dyDescent="0.2">
      <c r="A717" s="1197" t="s">
        <v>616</v>
      </c>
      <c r="B717" s="1159"/>
      <c r="C717" s="1160"/>
      <c r="D717" s="1160" t="s">
        <v>572</v>
      </c>
      <c r="E717" s="1160">
        <f>E718-E713-E714-E715-E716</f>
        <v>0</v>
      </c>
      <c r="F717" s="1160">
        <f>F718-F713-F714-F715-F716</f>
        <v>0</v>
      </c>
      <c r="G717" s="1160">
        <f>ROUND(F717*112,0)</f>
        <v>0</v>
      </c>
      <c r="H717" s="1162"/>
      <c r="I717" s="1167"/>
      <c r="J717" s="1167" t="e">
        <f>+#REF!</f>
        <v>#REF!</v>
      </c>
      <c r="K717" s="1167"/>
      <c r="L717" s="1167" t="e">
        <f>ROUND(G717*J717*12/10000000,2)</f>
        <v>#REF!</v>
      </c>
      <c r="M717" s="1167"/>
      <c r="N717" s="1167"/>
      <c r="O717" s="1167"/>
    </row>
    <row r="718" spans="1:15" ht="16.5" x14ac:dyDescent="0.2">
      <c r="A718" s="1197" t="s">
        <v>616</v>
      </c>
      <c r="B718" s="1164"/>
      <c r="C718" s="1165"/>
      <c r="D718" s="1166" t="s">
        <v>486</v>
      </c>
      <c r="E718" s="1165">
        <f>ROUND(E726*0%,0)</f>
        <v>0</v>
      </c>
      <c r="F718" s="1165">
        <f>ROUND(F726*0%,0)</f>
        <v>0</v>
      </c>
      <c r="G718" s="1165">
        <f>SUM(G713:G717)</f>
        <v>0</v>
      </c>
      <c r="H718" s="1165"/>
      <c r="I718" s="1170">
        <f>ROUND(I726*0%,2)</f>
        <v>0</v>
      </c>
      <c r="J718" s="1170"/>
      <c r="K718" s="1170"/>
      <c r="L718" s="1170" t="e">
        <f>SUM(L713:L717)</f>
        <v>#REF!</v>
      </c>
      <c r="M718" s="1170" t="e">
        <f>SUM(M713:M717)</f>
        <v>#REF!</v>
      </c>
      <c r="N718" s="1170" t="e">
        <f>L718+M718</f>
        <v>#REF!</v>
      </c>
      <c r="O718" s="1177"/>
    </row>
    <row r="719" spans="1:15" ht="16.5" x14ac:dyDescent="0.2">
      <c r="A719" s="1197" t="s">
        <v>616</v>
      </c>
      <c r="B719" s="1163"/>
      <c r="C719" s="1163"/>
      <c r="D719" s="1163"/>
      <c r="E719" s="1163"/>
      <c r="F719" s="1163"/>
      <c r="G719" s="1163"/>
      <c r="H719" s="1163"/>
      <c r="I719" s="1176"/>
      <c r="J719" s="1176"/>
      <c r="K719" s="1176"/>
      <c r="L719" s="1176"/>
      <c r="M719" s="1176"/>
      <c r="N719" s="1176"/>
      <c r="O719" s="1176"/>
    </row>
    <row r="720" spans="1:15" ht="16.5" x14ac:dyDescent="0.2">
      <c r="A720" s="1197" t="s">
        <v>616</v>
      </c>
      <c r="B720" s="1159"/>
      <c r="C720" s="1160" t="s">
        <v>11</v>
      </c>
      <c r="D720" s="1160" t="s">
        <v>568</v>
      </c>
      <c r="E720" s="1160">
        <f>ROUND(E725*53.14029%,0)+1</f>
        <v>1315</v>
      </c>
      <c r="F720" s="1160">
        <f>ROUND(F725*53.14029%,0)</f>
        <v>1303</v>
      </c>
      <c r="G720" s="1160">
        <f>ROUND(F720*2.8043,0)</f>
        <v>3654</v>
      </c>
      <c r="H720" s="1162" t="s">
        <v>573</v>
      </c>
      <c r="I720" s="1167">
        <f>ROUND(I725*54.74096%,2)</f>
        <v>3.6</v>
      </c>
      <c r="J720" s="1167" t="e">
        <f>+#REF!</f>
        <v>#REF!</v>
      </c>
      <c r="K720" s="1167" t="e">
        <f>+#REF!</f>
        <v>#REF!</v>
      </c>
      <c r="L720" s="1167" t="e">
        <f>ROUND(G720*J720*12/10000000,2)</f>
        <v>#REF!</v>
      </c>
      <c r="M720" s="1167" t="e">
        <f>ROUND(I720*1000000*K720/10000000,2)</f>
        <v>#REF!</v>
      </c>
      <c r="N720" s="1167"/>
      <c r="O720" s="1167"/>
    </row>
    <row r="721" spans="1:15" ht="16.5" x14ac:dyDescent="0.2">
      <c r="A721" s="1197" t="s">
        <v>616</v>
      </c>
      <c r="B721" s="1159"/>
      <c r="C721" s="1160"/>
      <c r="D721" s="1160" t="s">
        <v>569</v>
      </c>
      <c r="E721" s="1160">
        <f>ROUND(E725*44.9429%,0)</f>
        <v>1111</v>
      </c>
      <c r="F721" s="1160">
        <f>ROUND(F725*44.9429%,0)</f>
        <v>1102</v>
      </c>
      <c r="G721" s="1160">
        <f>ROUND(F721*10.23593,0)</f>
        <v>11280</v>
      </c>
      <c r="H721" s="1162" t="s">
        <v>574</v>
      </c>
      <c r="I721" s="1167">
        <f>ROUND(I725*12.7016%,2)</f>
        <v>0.83</v>
      </c>
      <c r="J721" s="1167" t="e">
        <f>+#REF!</f>
        <v>#REF!</v>
      </c>
      <c r="K721" s="1167" t="e">
        <f>+#REF!</f>
        <v>#REF!</v>
      </c>
      <c r="L721" s="1167" t="e">
        <f>ROUND(G721*J721*12/10000000,2)</f>
        <v>#REF!</v>
      </c>
      <c r="M721" s="1167" t="e">
        <f>ROUND(I721*1000000*K721/10000000,2)</f>
        <v>#REF!</v>
      </c>
      <c r="N721" s="1167"/>
      <c r="O721" s="1167"/>
    </row>
    <row r="722" spans="1:15" ht="16.5" x14ac:dyDescent="0.2">
      <c r="A722" s="1197" t="s">
        <v>616</v>
      </c>
      <c r="B722" s="1159"/>
      <c r="C722" s="1160"/>
      <c r="D722" s="1160" t="s">
        <v>570</v>
      </c>
      <c r="E722" s="1160">
        <f>ROUND(E725*1.9168%,0)</f>
        <v>47</v>
      </c>
      <c r="F722" s="1160">
        <f>ROUND(F725*1.9168%,0)</f>
        <v>47</v>
      </c>
      <c r="G722" s="1160">
        <f>ROUND(F722*51.14894,0)</f>
        <v>2404</v>
      </c>
      <c r="H722" s="1162" t="s">
        <v>575</v>
      </c>
      <c r="I722" s="1167">
        <f>I725-I720-I721</f>
        <v>2.14</v>
      </c>
      <c r="J722" s="1167" t="e">
        <f>+#REF!</f>
        <v>#REF!</v>
      </c>
      <c r="K722" s="1167" t="e">
        <f>+#REF!</f>
        <v>#REF!</v>
      </c>
      <c r="L722" s="1167" t="e">
        <f>ROUND(G722*J722*12/10000000,2)</f>
        <v>#REF!</v>
      </c>
      <c r="M722" s="1167" t="e">
        <f>ROUND(I722*1000000*K722/10000000,2)</f>
        <v>#REF!</v>
      </c>
      <c r="N722" s="1167"/>
      <c r="O722" s="1167"/>
    </row>
    <row r="723" spans="1:15" ht="16.5" x14ac:dyDescent="0.2">
      <c r="A723" s="1197" t="s">
        <v>616</v>
      </c>
      <c r="B723" s="1159"/>
      <c r="C723" s="1160"/>
      <c r="D723" s="1160" t="s">
        <v>571</v>
      </c>
      <c r="E723" s="1160">
        <f>ROUND(E725*0%,0)</f>
        <v>0</v>
      </c>
      <c r="F723" s="1160">
        <f>ROUND(F725*0%,0)</f>
        <v>0</v>
      </c>
      <c r="G723" s="1160">
        <f>ROUND(F723*69.50909,0)</f>
        <v>0</v>
      </c>
      <c r="H723" s="1162"/>
      <c r="I723" s="1167"/>
      <c r="J723" s="1167" t="e">
        <f>+#REF!</f>
        <v>#REF!</v>
      </c>
      <c r="K723" s="1167"/>
      <c r="L723" s="1167" t="e">
        <f>ROUND(G723*J723*12/10000000,2)</f>
        <v>#REF!</v>
      </c>
      <c r="M723" s="1167"/>
      <c r="N723" s="1167"/>
      <c r="O723" s="1167"/>
    </row>
    <row r="724" spans="1:15" ht="16.5" x14ac:dyDescent="0.2">
      <c r="A724" s="1197" t="s">
        <v>616</v>
      </c>
      <c r="B724" s="1159"/>
      <c r="C724" s="1160"/>
      <c r="D724" s="1160" t="s">
        <v>572</v>
      </c>
      <c r="E724" s="1160">
        <f>E725-E720-E721-E722-E723</f>
        <v>0</v>
      </c>
      <c r="F724" s="1160">
        <f>F725-F720-F721-F722-F723</f>
        <v>0</v>
      </c>
      <c r="G724" s="1160">
        <f>ROUND(F724*124.15384,0)</f>
        <v>0</v>
      </c>
      <c r="H724" s="1162"/>
      <c r="I724" s="1167"/>
      <c r="J724" s="1167" t="e">
        <f>+#REF!</f>
        <v>#REF!</v>
      </c>
      <c r="K724" s="1167"/>
      <c r="L724" s="1167" t="e">
        <f>ROUND(G724*J724*12/10000000,2)</f>
        <v>#REF!</v>
      </c>
      <c r="M724" s="1167"/>
      <c r="N724" s="1167"/>
      <c r="O724" s="1167"/>
    </row>
    <row r="725" spans="1:15" ht="16.5" x14ac:dyDescent="0.2">
      <c r="A725" s="1197" t="s">
        <v>616</v>
      </c>
      <c r="B725" s="1164"/>
      <c r="C725" s="1165"/>
      <c r="D725" s="1166" t="s">
        <v>486</v>
      </c>
      <c r="E725" s="1169">
        <f>E726-E718</f>
        <v>2473</v>
      </c>
      <c r="F725" s="1169">
        <f>F726-F718</f>
        <v>2452</v>
      </c>
      <c r="G725" s="1165">
        <f>SUM(G720:G724)</f>
        <v>17338</v>
      </c>
      <c r="H725" s="1165"/>
      <c r="I725" s="1170">
        <f>I726-I718</f>
        <v>6.57</v>
      </c>
      <c r="J725" s="1170"/>
      <c r="K725" s="1170"/>
      <c r="L725" s="1170" t="e">
        <f>SUM(L720:L724)</f>
        <v>#REF!</v>
      </c>
      <c r="M725" s="1170" t="e">
        <f>SUM(M720:M724)</f>
        <v>#REF!</v>
      </c>
      <c r="N725" s="1170" t="e">
        <f>L725+M725</f>
        <v>#REF!</v>
      </c>
      <c r="O725" s="1177" t="e">
        <f>ROUND(N725/I725*10,2)</f>
        <v>#REF!</v>
      </c>
    </row>
    <row r="726" spans="1:15" ht="16.5" x14ac:dyDescent="0.2">
      <c r="A726" s="1197" t="s">
        <v>616</v>
      </c>
      <c r="B726" s="1164">
        <v>6</v>
      </c>
      <c r="C726" s="1165" t="s">
        <v>567</v>
      </c>
      <c r="D726" s="1165"/>
      <c r="E726" s="1169">
        <f>Sales_FY24!$P$260</f>
        <v>2473</v>
      </c>
      <c r="F726" s="1169">
        <f>Sales_FY24!$V$260</f>
        <v>2452</v>
      </c>
      <c r="G726" s="1169">
        <f>G718+G725</f>
        <v>17338</v>
      </c>
      <c r="H726" s="1165"/>
      <c r="I726" s="1170">
        <f>Sales_FY24!$Q$260</f>
        <v>6.57</v>
      </c>
      <c r="J726" s="1170"/>
      <c r="K726" s="1170"/>
      <c r="L726" s="1170" t="e">
        <f>L718+L725</f>
        <v>#REF!</v>
      </c>
      <c r="M726" s="1170" t="e">
        <f>M718+M725</f>
        <v>#REF!</v>
      </c>
      <c r="N726" s="1170" t="e">
        <f>L726+M726</f>
        <v>#REF!</v>
      </c>
      <c r="O726" s="1177" t="e">
        <f>ROUND(N726/I726*10,2)</f>
        <v>#REF!</v>
      </c>
    </row>
    <row r="727" spans="1:15" ht="16.5" x14ac:dyDescent="0.2">
      <c r="A727" s="1197" t="s">
        <v>616</v>
      </c>
      <c r="B727" s="1163"/>
      <c r="C727" s="1163"/>
      <c r="D727" s="1163"/>
      <c r="E727" s="1163"/>
      <c r="F727" s="1163"/>
      <c r="G727" s="1163"/>
      <c r="H727" s="1163"/>
      <c r="I727" s="1176"/>
      <c r="J727" s="1176"/>
      <c r="K727" s="1176"/>
      <c r="L727" s="1176"/>
      <c r="M727" s="1176"/>
      <c r="N727" s="1176"/>
      <c r="O727" s="1176"/>
    </row>
    <row r="728" spans="1:15" ht="16.5" x14ac:dyDescent="0.2">
      <c r="A728" s="1197" t="s">
        <v>616</v>
      </c>
      <c r="B728" s="1159"/>
      <c r="C728" s="1160" t="s">
        <v>512</v>
      </c>
      <c r="D728" s="1160" t="s">
        <v>578</v>
      </c>
      <c r="E728" s="1168">
        <f>Sales_FY24!$P$261</f>
        <v>884</v>
      </c>
      <c r="F728" s="1168">
        <f>Sales_FY24!$V$261</f>
        <v>862</v>
      </c>
      <c r="G728" s="1160">
        <f>ROUND(F728*7.41995,0)</f>
        <v>6396</v>
      </c>
      <c r="H728" s="1162" t="s">
        <v>561</v>
      </c>
      <c r="I728" s="1167">
        <f>Sales_FY24!$Q$261</f>
        <v>4.47</v>
      </c>
      <c r="J728" s="1167" t="e">
        <f>+#REF!</f>
        <v>#REF!</v>
      </c>
      <c r="K728" s="1167" t="e">
        <f>+#REF!</f>
        <v>#REF!</v>
      </c>
      <c r="L728" s="1167" t="e">
        <f>ROUND(G728*J728*12/10000000,2)</f>
        <v>#REF!</v>
      </c>
      <c r="M728" s="1167" t="e">
        <f>ROUND(I728*1000000*K728/10000000,2)</f>
        <v>#REF!</v>
      </c>
      <c r="N728" s="1167" t="e">
        <f>L728+M728</f>
        <v>#REF!</v>
      </c>
      <c r="O728" s="1192"/>
    </row>
    <row r="729" spans="1:15" ht="16.5" x14ac:dyDescent="0.2">
      <c r="A729" s="1197" t="s">
        <v>616</v>
      </c>
      <c r="B729" s="1159"/>
      <c r="C729" s="1160"/>
      <c r="D729" s="1160" t="s">
        <v>579</v>
      </c>
      <c r="E729" s="1168"/>
      <c r="F729" s="1168"/>
      <c r="G729" s="1160"/>
      <c r="H729" s="1162"/>
      <c r="I729" s="1167"/>
      <c r="J729" s="1167" t="e">
        <f>+#REF!</f>
        <v>#REF!</v>
      </c>
      <c r="K729" s="1167"/>
      <c r="L729" s="1167"/>
      <c r="M729" s="1167"/>
      <c r="N729" s="1167"/>
      <c r="O729" s="1192"/>
    </row>
    <row r="730" spans="1:15" ht="16.5" x14ac:dyDescent="0.2">
      <c r="A730" s="1197" t="s">
        <v>616</v>
      </c>
      <c r="B730" s="1164"/>
      <c r="C730" s="1165"/>
      <c r="D730" s="1166" t="s">
        <v>486</v>
      </c>
      <c r="E730" s="1169">
        <f>SUM(E728:E729)</f>
        <v>884</v>
      </c>
      <c r="F730" s="1169">
        <f>SUM(F728:F729)</f>
        <v>862</v>
      </c>
      <c r="G730" s="1169">
        <f>SUM(G728:G729)</f>
        <v>6396</v>
      </c>
      <c r="H730" s="1165"/>
      <c r="I730" s="1170">
        <f>SUM(I728:I729)</f>
        <v>4.47</v>
      </c>
      <c r="J730" s="1170"/>
      <c r="K730" s="1170"/>
      <c r="L730" s="1170" t="e">
        <f>SUM(L728:L729)</f>
        <v>#REF!</v>
      </c>
      <c r="M730" s="1170" t="e">
        <f>SUM(M728:M729)</f>
        <v>#REF!</v>
      </c>
      <c r="N730" s="1170" t="e">
        <f>L730+M730</f>
        <v>#REF!</v>
      </c>
      <c r="O730" s="1177" t="e">
        <f>ROUND(N730/I730*10,2)</f>
        <v>#REF!</v>
      </c>
    </row>
    <row r="731" spans="1:15" ht="16.5" x14ac:dyDescent="0.2">
      <c r="A731" s="1197" t="s">
        <v>616</v>
      </c>
      <c r="B731" s="1163"/>
      <c r="C731" s="1163"/>
      <c r="D731" s="1163"/>
      <c r="E731" s="1163"/>
      <c r="F731" s="1163"/>
      <c r="G731" s="1163"/>
      <c r="H731" s="1163"/>
      <c r="I731" s="1176"/>
      <c r="J731" s="1176"/>
      <c r="K731" s="1176"/>
      <c r="L731" s="1176"/>
      <c r="M731" s="1176"/>
      <c r="N731" s="1176"/>
      <c r="O731" s="1176"/>
    </row>
    <row r="732" spans="1:15" ht="16.5" x14ac:dyDescent="0.2">
      <c r="A732" s="1197" t="s">
        <v>616</v>
      </c>
      <c r="B732" s="1159"/>
      <c r="C732" s="1160" t="s">
        <v>513</v>
      </c>
      <c r="D732" s="1160" t="s">
        <v>580</v>
      </c>
      <c r="E732" s="1168">
        <f>Sales_FY24!$P$262</f>
        <v>618</v>
      </c>
      <c r="F732" s="1168">
        <f>Sales_FY24!$V$262</f>
        <v>596</v>
      </c>
      <c r="G732" s="1160">
        <f>ROUND(F732*2.5302,0)</f>
        <v>1508</v>
      </c>
      <c r="H732" s="1162" t="s">
        <v>561</v>
      </c>
      <c r="I732" s="1167">
        <f>Sales_FY24!$Q$262</f>
        <v>2.91</v>
      </c>
      <c r="J732" s="1167" t="e">
        <f>+#REF!</f>
        <v>#REF!</v>
      </c>
      <c r="K732" s="1167" t="e">
        <f>+#REF!</f>
        <v>#REF!</v>
      </c>
      <c r="L732" s="1167" t="e">
        <f>ROUND(G732*J732*12/10000000,2)</f>
        <v>#REF!</v>
      </c>
      <c r="M732" s="1167" t="e">
        <f>ROUND(I732*1000000*K732/10000000,2)</f>
        <v>#REF!</v>
      </c>
      <c r="N732" s="1167" t="e">
        <f>L732+M732</f>
        <v>#REF!</v>
      </c>
      <c r="O732" s="1192" t="e">
        <f>ROUND(N732/I732*10,2)</f>
        <v>#REF!</v>
      </c>
    </row>
    <row r="733" spans="1:15" ht="16.5" x14ac:dyDescent="0.2">
      <c r="A733" s="1197" t="s">
        <v>616</v>
      </c>
      <c r="B733" s="1163"/>
      <c r="C733" s="1163"/>
      <c r="D733" s="1163"/>
      <c r="E733" s="1163"/>
      <c r="F733" s="1163"/>
      <c r="G733" s="1163"/>
      <c r="H733" s="1163"/>
      <c r="I733" s="1176"/>
      <c r="J733" s="1176"/>
      <c r="K733" s="1176"/>
      <c r="L733" s="1176"/>
      <c r="M733" s="1176"/>
      <c r="N733" s="1176"/>
      <c r="O733" s="1176"/>
    </row>
    <row r="734" spans="1:15" ht="16.5" x14ac:dyDescent="0.2">
      <c r="A734" s="1197" t="s">
        <v>616</v>
      </c>
      <c r="B734" s="1159"/>
      <c r="C734" s="1160" t="s">
        <v>526</v>
      </c>
      <c r="D734" s="1160" t="s">
        <v>581</v>
      </c>
      <c r="E734" s="1168">
        <f>Sales_FY24!$P$263</f>
        <v>0</v>
      </c>
      <c r="F734" s="1168">
        <f>Sales_FY24!$V$263</f>
        <v>0</v>
      </c>
      <c r="G734" s="1160">
        <f>ROUND(F734*10,0)</f>
        <v>0</v>
      </c>
      <c r="H734" s="1162" t="s">
        <v>561</v>
      </c>
      <c r="I734" s="1167">
        <f>Sales_FY24!$Q$263</f>
        <v>0</v>
      </c>
      <c r="J734" s="1167" t="e">
        <f>+#REF!</f>
        <v>#REF!</v>
      </c>
      <c r="K734" s="1167" t="e">
        <f>+#REF!</f>
        <v>#REF!</v>
      </c>
      <c r="L734" s="1167" t="e">
        <f>ROUND(G734*J734*12/10000000,2)</f>
        <v>#REF!</v>
      </c>
      <c r="M734" s="1167" t="e">
        <f>ROUND(I734*1000000*K734/10000000,2)</f>
        <v>#REF!</v>
      </c>
      <c r="N734" s="1167" t="e">
        <f>L734+M734</f>
        <v>#REF!</v>
      </c>
      <c r="O734" s="1192"/>
    </row>
    <row r="735" spans="1:15" ht="16.5" x14ac:dyDescent="0.2">
      <c r="A735" s="1197" t="s">
        <v>616</v>
      </c>
      <c r="B735" s="1159"/>
      <c r="C735" s="1160"/>
      <c r="D735" s="1160" t="s">
        <v>582</v>
      </c>
      <c r="E735" s="1168"/>
      <c r="F735" s="1168"/>
      <c r="G735" s="1160"/>
      <c r="H735" s="1162"/>
      <c r="I735" s="1167"/>
      <c r="J735" s="1167" t="e">
        <f>+#REF!</f>
        <v>#REF!</v>
      </c>
      <c r="K735" s="1167"/>
      <c r="L735" s="1167"/>
      <c r="M735" s="1167"/>
      <c r="N735" s="1167"/>
      <c r="O735" s="1192"/>
    </row>
    <row r="736" spans="1:15" ht="16.5" x14ac:dyDescent="0.2">
      <c r="A736" s="1197" t="s">
        <v>616</v>
      </c>
      <c r="B736" s="1159"/>
      <c r="C736" s="1160"/>
      <c r="D736" s="1160" t="s">
        <v>583</v>
      </c>
      <c r="E736" s="1168"/>
      <c r="F736" s="1168"/>
      <c r="G736" s="1160"/>
      <c r="H736" s="1162"/>
      <c r="I736" s="1167"/>
      <c r="J736" s="1167" t="e">
        <f>+#REF!</f>
        <v>#REF!</v>
      </c>
      <c r="K736" s="1167"/>
      <c r="L736" s="1167"/>
      <c r="M736" s="1167"/>
      <c r="N736" s="1167"/>
      <c r="O736" s="1192"/>
    </row>
    <row r="737" spans="1:15" ht="16.5" x14ac:dyDescent="0.2">
      <c r="A737" s="1197" t="s">
        <v>616</v>
      </c>
      <c r="B737" s="1164"/>
      <c r="C737" s="1165"/>
      <c r="D737" s="1166" t="s">
        <v>486</v>
      </c>
      <c r="E737" s="1169">
        <f>SUM(E734:E736)</f>
        <v>0</v>
      </c>
      <c r="F737" s="1169">
        <f>SUM(F734:F736)</f>
        <v>0</v>
      </c>
      <c r="G737" s="1169">
        <f>SUM(G734:G736)</f>
        <v>0</v>
      </c>
      <c r="H737" s="1165"/>
      <c r="I737" s="1170">
        <f>SUM(I734:I736)</f>
        <v>0</v>
      </c>
      <c r="J737" s="1170"/>
      <c r="K737" s="1170"/>
      <c r="L737" s="1170" t="e">
        <f>SUM(L734:L736)</f>
        <v>#REF!</v>
      </c>
      <c r="M737" s="1170" t="e">
        <f>SUM(M734:M736)</f>
        <v>#REF!</v>
      </c>
      <c r="N737" s="1170" t="e">
        <f>L737+M737</f>
        <v>#REF!</v>
      </c>
      <c r="O737" s="1177"/>
    </row>
    <row r="738" spans="1:15" ht="16.5" x14ac:dyDescent="0.2">
      <c r="A738" s="1197" t="s">
        <v>616</v>
      </c>
      <c r="B738" s="1164">
        <v>7</v>
      </c>
      <c r="C738" s="1165" t="s">
        <v>577</v>
      </c>
      <c r="D738" s="1165"/>
      <c r="E738" s="1169">
        <f>E730+E732+E737</f>
        <v>1502</v>
      </c>
      <c r="F738" s="1169">
        <f>F730+F732+F737</f>
        <v>1458</v>
      </c>
      <c r="G738" s="1169">
        <f>G730+G732+G737</f>
        <v>7904</v>
      </c>
      <c r="H738" s="1165"/>
      <c r="I738" s="1170">
        <f>I730+I732+I737</f>
        <v>7.38</v>
      </c>
      <c r="J738" s="1170"/>
      <c r="K738" s="1170"/>
      <c r="L738" s="1170" t="e">
        <f>L730+L732+L737</f>
        <v>#REF!</v>
      </c>
      <c r="M738" s="1170" t="e">
        <f>M730+M732+M737</f>
        <v>#REF!</v>
      </c>
      <c r="N738" s="1170" t="e">
        <f>L738+M738</f>
        <v>#REF!</v>
      </c>
      <c r="O738" s="1177" t="e">
        <f>ROUND(N738/I738*10,2)</f>
        <v>#REF!</v>
      </c>
    </row>
    <row r="739" spans="1:15" ht="16.5" x14ac:dyDescent="0.2">
      <c r="A739" s="1197" t="s">
        <v>616</v>
      </c>
      <c r="B739" s="1163"/>
      <c r="C739" s="1163"/>
      <c r="D739" s="1163"/>
      <c r="E739" s="1163"/>
      <c r="F739" s="1163"/>
      <c r="G739" s="1163"/>
      <c r="H739" s="1163"/>
      <c r="I739" s="1176"/>
      <c r="J739" s="1176"/>
      <c r="K739" s="1176"/>
      <c r="L739" s="1176"/>
      <c r="M739" s="1176"/>
      <c r="N739" s="1176"/>
      <c r="O739" s="1176"/>
    </row>
    <row r="740" spans="1:15" ht="16.5" x14ac:dyDescent="0.2">
      <c r="A740" s="1197" t="s">
        <v>616</v>
      </c>
      <c r="B740" s="1159"/>
      <c r="C740" s="1160" t="s">
        <v>584</v>
      </c>
      <c r="D740" s="1160" t="s">
        <v>586</v>
      </c>
      <c r="E740" s="1160">
        <f>ROUND(E742*100%,0)</f>
        <v>100</v>
      </c>
      <c r="F740" s="1160">
        <f>ROUND(F742*100%,0)</f>
        <v>100</v>
      </c>
      <c r="G740" s="1160">
        <f>ROUND(F740*0.9,0)</f>
        <v>90</v>
      </c>
      <c r="H740" s="1162" t="s">
        <v>561</v>
      </c>
      <c r="I740" s="1167">
        <f>ROUND(I742*100%,2)</f>
        <v>0.38</v>
      </c>
      <c r="J740" s="1167" t="e">
        <f>+#REF!</f>
        <v>#REF!</v>
      </c>
      <c r="K740" s="1167" t="e">
        <f>+#REF!</f>
        <v>#REF!</v>
      </c>
      <c r="L740" s="1167" t="e">
        <f>ROUND(G740*J740*4/10000000,2)</f>
        <v>#REF!</v>
      </c>
      <c r="M740" s="1198" t="e">
        <f>ROUND(I740*1000000*K740/10000000,2)-ROUND(I740*1000000*K740/10000000,2)</f>
        <v>#REF!</v>
      </c>
      <c r="N740" s="1167" t="e">
        <f>L740+M740</f>
        <v>#REF!</v>
      </c>
      <c r="O740" s="1192"/>
    </row>
    <row r="741" spans="1:15" ht="16.5" x14ac:dyDescent="0.2">
      <c r="A741" s="1197" t="s">
        <v>616</v>
      </c>
      <c r="B741" s="1159"/>
      <c r="C741" s="1160" t="s">
        <v>585</v>
      </c>
      <c r="D741" s="1160" t="s">
        <v>586</v>
      </c>
      <c r="E741" s="1168">
        <f>E742-E740</f>
        <v>0</v>
      </c>
      <c r="F741" s="1168">
        <f>F742-F740</f>
        <v>0</v>
      </c>
      <c r="G741" s="1160">
        <f>ROUND(F741*0.79986,0)</f>
        <v>0</v>
      </c>
      <c r="H741" s="1162" t="s">
        <v>561</v>
      </c>
      <c r="I741" s="1167">
        <f>I742-I740</f>
        <v>0</v>
      </c>
      <c r="J741" s="1167" t="e">
        <f>+#REF!</f>
        <v>#REF!</v>
      </c>
      <c r="K741" s="1167" t="e">
        <f>+#REF!</f>
        <v>#REF!</v>
      </c>
      <c r="L741" s="1167" t="e">
        <f>ROUND(G741*J741*12/10000000,2)</f>
        <v>#REF!</v>
      </c>
      <c r="M741" s="1167" t="e">
        <f>ROUND(I741*1000000*K741/10000000,2)</f>
        <v>#REF!</v>
      </c>
      <c r="N741" s="1167" t="e">
        <f>L741+M741</f>
        <v>#REF!</v>
      </c>
      <c r="O741" s="1192"/>
    </row>
    <row r="742" spans="1:15" ht="16.5" x14ac:dyDescent="0.2">
      <c r="A742" s="1197" t="s">
        <v>616</v>
      </c>
      <c r="B742" s="1164">
        <v>8</v>
      </c>
      <c r="C742" s="1165" t="s">
        <v>587</v>
      </c>
      <c r="D742" s="1165"/>
      <c r="E742" s="1169">
        <f>Sales_FY24!$P$264</f>
        <v>100</v>
      </c>
      <c r="F742" s="1169">
        <f>Sales_FY24!$V$264</f>
        <v>100</v>
      </c>
      <c r="G742" s="1169">
        <f>SUM(G740:G741)</f>
        <v>90</v>
      </c>
      <c r="H742" s="1165"/>
      <c r="I742" s="1170">
        <f>Sales_FY24!$Q$264</f>
        <v>0.38</v>
      </c>
      <c r="J742" s="1170"/>
      <c r="K742" s="1170"/>
      <c r="L742" s="1170" t="e">
        <f>SUM(L740:L741)</f>
        <v>#REF!</v>
      </c>
      <c r="M742" s="1170" t="e">
        <f>SUM(M740:M741)</f>
        <v>#REF!</v>
      </c>
      <c r="N742" s="1170" t="e">
        <f>L742+M742</f>
        <v>#REF!</v>
      </c>
      <c r="O742" s="1177" t="e">
        <f>ROUND(N742/I742*10,2)</f>
        <v>#REF!</v>
      </c>
    </row>
    <row r="743" spans="1:15" ht="16.5" x14ac:dyDescent="0.2">
      <c r="A743" s="1197" t="s">
        <v>616</v>
      </c>
      <c r="B743" s="1163"/>
      <c r="C743" s="1163"/>
      <c r="D743" s="1163"/>
      <c r="E743" s="1163"/>
      <c r="F743" s="1163"/>
      <c r="G743" s="1163"/>
      <c r="H743" s="1163"/>
      <c r="I743" s="1176"/>
      <c r="J743" s="1176"/>
      <c r="K743" s="1176"/>
      <c r="L743" s="1176"/>
      <c r="M743" s="1176"/>
      <c r="N743" s="1176"/>
      <c r="O743" s="1176"/>
    </row>
    <row r="744" spans="1:15" ht="16.5" x14ac:dyDescent="0.2">
      <c r="A744" s="1197" t="s">
        <v>616</v>
      </c>
      <c r="B744" s="1194"/>
      <c r="C744" s="1195" t="s">
        <v>588</v>
      </c>
      <c r="D744" s="1195"/>
      <c r="E744" s="1196">
        <f>E673+E686+E697+E706+E711+E726+E738+E742</f>
        <v>147921</v>
      </c>
      <c r="F744" s="1196">
        <f>F673+F686+F697+F706+F711+F726+F738+F742</f>
        <v>145597</v>
      </c>
      <c r="G744" s="1196">
        <f>G673+G686+G697+G706+G711+G726+G738+G742</f>
        <v>287565</v>
      </c>
      <c r="H744" s="1195"/>
      <c r="I744" s="1193">
        <f>I673+I686+I697+I706+I711+I726+I738+I742</f>
        <v>254.33100000000002</v>
      </c>
      <c r="J744" s="1193"/>
      <c r="K744" s="1193"/>
      <c r="L744" s="1193" t="e">
        <f>L673+L686+L697+L706+L711+L726+L738+L742</f>
        <v>#REF!</v>
      </c>
      <c r="M744" s="1193" t="e">
        <f>M673+M686+M697+M706+M711+M726+M738+M742</f>
        <v>#REF!</v>
      </c>
      <c r="N744" s="1193" t="e">
        <f>L744+M744</f>
        <v>#REF!</v>
      </c>
      <c r="O744" s="1193" t="e">
        <f>ROUND(N744/I744*10,2)</f>
        <v>#REF!</v>
      </c>
    </row>
    <row r="745" spans="1:15" ht="16.5" x14ac:dyDescent="0.2">
      <c r="A745" s="1197" t="s">
        <v>616</v>
      </c>
      <c r="B745" s="1163"/>
      <c r="C745" s="1163"/>
      <c r="D745" s="1163"/>
      <c r="E745" s="1163"/>
      <c r="F745" s="1176"/>
      <c r="G745" s="1163"/>
      <c r="H745" s="1163"/>
      <c r="I745" s="1176"/>
      <c r="J745" s="1176"/>
      <c r="K745" s="1176"/>
      <c r="L745" s="1176"/>
      <c r="M745" s="1176"/>
      <c r="N745" s="1176"/>
      <c r="O745" s="1176"/>
    </row>
    <row r="746" spans="1:15" ht="16.5" x14ac:dyDescent="0.2">
      <c r="A746" s="1197" t="s">
        <v>616</v>
      </c>
      <c r="B746" s="1159">
        <v>9</v>
      </c>
      <c r="C746" s="1160" t="s">
        <v>16</v>
      </c>
      <c r="D746" s="1160" t="s">
        <v>589</v>
      </c>
      <c r="E746" s="1168">
        <f>Sales_FY24!$P$267</f>
        <v>12</v>
      </c>
      <c r="F746" s="1168">
        <f>Sales_FY24!$V$267</f>
        <v>12</v>
      </c>
      <c r="G746" s="1160">
        <f>ROUND(F746*156.5,0)</f>
        <v>1878</v>
      </c>
      <c r="H746" s="1162" t="s">
        <v>561</v>
      </c>
      <c r="I746" s="1167">
        <f>Sales_FY24!$Q$267</f>
        <v>8.7799999999999994</v>
      </c>
      <c r="J746" s="1167" t="e">
        <f>+#REF!</f>
        <v>#REF!</v>
      </c>
      <c r="K746" s="1167" t="e">
        <f>+#REF!</f>
        <v>#REF!</v>
      </c>
      <c r="L746" s="1167" t="e">
        <f>ROUND((G746*85%)*J746*12/10000000,2)</f>
        <v>#REF!</v>
      </c>
      <c r="M746" s="1167" t="e">
        <f>ROUND(I746*1000000*K746/10000000,2)</f>
        <v>#REF!</v>
      </c>
      <c r="N746" s="1167" t="e">
        <f>L746+M746</f>
        <v>#REF!</v>
      </c>
      <c r="O746" s="1192" t="e">
        <f>ROUND(N746/I746*10,2)</f>
        <v>#REF!</v>
      </c>
    </row>
    <row r="747" spans="1:15" ht="16.5" x14ac:dyDescent="0.2">
      <c r="A747" s="1197" t="s">
        <v>616</v>
      </c>
      <c r="B747" s="1163"/>
      <c r="C747" s="1163"/>
      <c r="D747" s="1163"/>
      <c r="E747" s="1163"/>
      <c r="F747" s="1163"/>
      <c r="G747" s="1163"/>
      <c r="H747" s="1163"/>
      <c r="I747" s="1176"/>
      <c r="J747" s="1176"/>
      <c r="K747" s="1176"/>
      <c r="L747" s="1176"/>
      <c r="M747" s="1176"/>
      <c r="N747" s="1176"/>
      <c r="O747" s="1176"/>
    </row>
    <row r="748" spans="1:15" ht="16.5" x14ac:dyDescent="0.2">
      <c r="A748" s="1197" t="s">
        <v>616</v>
      </c>
      <c r="B748" s="1159"/>
      <c r="C748" s="1160" t="s">
        <v>593</v>
      </c>
      <c r="D748" s="1160" t="s">
        <v>589</v>
      </c>
      <c r="E748" s="1168">
        <f>E750</f>
        <v>0</v>
      </c>
      <c r="F748" s="1168">
        <f>F750</f>
        <v>0</v>
      </c>
      <c r="G748" s="1160">
        <f>ROUND(F748*0,0)</f>
        <v>0</v>
      </c>
      <c r="H748" s="1162" t="s">
        <v>591</v>
      </c>
      <c r="I748" s="1167">
        <f>ROUND(I750*0%,2)</f>
        <v>0</v>
      </c>
      <c r="J748" s="1167" t="e">
        <f>+#REF!</f>
        <v>#REF!</v>
      </c>
      <c r="K748" s="1167" t="e">
        <f>+#REF!</f>
        <v>#REF!</v>
      </c>
      <c r="L748" s="1167" t="e">
        <f>ROUND((G748*85%)*J748*12/10000000,2)</f>
        <v>#REF!</v>
      </c>
      <c r="M748" s="1167" t="e">
        <f>ROUND(I748*1000000*K748/10000000,2)</f>
        <v>#REF!</v>
      </c>
      <c r="N748" s="1167"/>
      <c r="O748" s="1192"/>
    </row>
    <row r="749" spans="1:15" ht="16.5" x14ac:dyDescent="0.2">
      <c r="A749" s="1197" t="s">
        <v>616</v>
      </c>
      <c r="B749" s="1159"/>
      <c r="C749" s="1160"/>
      <c r="D749" s="1160"/>
      <c r="E749" s="1168"/>
      <c r="F749" s="1168"/>
      <c r="G749" s="1160"/>
      <c r="H749" s="1162" t="s">
        <v>590</v>
      </c>
      <c r="I749" s="1167">
        <f>I750-I748</f>
        <v>0</v>
      </c>
      <c r="J749" s="1167"/>
      <c r="K749" s="1167" t="e">
        <f>+#REF!</f>
        <v>#REF!</v>
      </c>
      <c r="L749" s="1167"/>
      <c r="M749" s="1167" t="e">
        <f>ROUND(I749*1000000*K749/10000000,2)</f>
        <v>#REF!</v>
      </c>
      <c r="N749" s="1167"/>
      <c r="O749" s="1192"/>
    </row>
    <row r="750" spans="1:15" ht="16.5" x14ac:dyDescent="0.2">
      <c r="A750" s="1197" t="s">
        <v>616</v>
      </c>
      <c r="B750" s="1164"/>
      <c r="C750" s="1165"/>
      <c r="D750" s="1166" t="s">
        <v>486</v>
      </c>
      <c r="E750" s="1169">
        <f>ROUND(E755*0%,0)</f>
        <v>0</v>
      </c>
      <c r="F750" s="1169">
        <f>ROUND(F755*0%,0)</f>
        <v>0</v>
      </c>
      <c r="G750" s="1169">
        <f>SUM(G748:G749)</f>
        <v>0</v>
      </c>
      <c r="H750" s="1165"/>
      <c r="I750" s="1170">
        <f>ROUND(I755*0%,2)</f>
        <v>0</v>
      </c>
      <c r="J750" s="1170"/>
      <c r="K750" s="1170"/>
      <c r="L750" s="1170" t="e">
        <f>SUM(L748:L749)</f>
        <v>#REF!</v>
      </c>
      <c r="M750" s="1170" t="e">
        <f>SUM(M748:M749)</f>
        <v>#REF!</v>
      </c>
      <c r="N750" s="1170" t="e">
        <f>L750+M750</f>
        <v>#REF!</v>
      </c>
      <c r="O750" s="1177"/>
    </row>
    <row r="751" spans="1:15" ht="16.5" x14ac:dyDescent="0.2">
      <c r="A751" s="1197" t="s">
        <v>616</v>
      </c>
      <c r="B751" s="1163"/>
      <c r="C751" s="1163"/>
      <c r="D751" s="1163"/>
      <c r="E751" s="1163"/>
      <c r="F751" s="1163"/>
      <c r="G751" s="1163"/>
      <c r="H751" s="1163"/>
      <c r="I751" s="1176"/>
      <c r="J751" s="1176"/>
      <c r="K751" s="1176"/>
      <c r="L751" s="1176"/>
      <c r="M751" s="1176"/>
      <c r="N751" s="1176"/>
      <c r="O751" s="1176"/>
    </row>
    <row r="752" spans="1:15" ht="16.5" x14ac:dyDescent="0.2">
      <c r="A752" s="1197" t="s">
        <v>616</v>
      </c>
      <c r="B752" s="1159"/>
      <c r="C752" s="1160" t="s">
        <v>594</v>
      </c>
      <c r="D752" s="1160" t="s">
        <v>589</v>
      </c>
      <c r="E752" s="1168">
        <f>E754</f>
        <v>28</v>
      </c>
      <c r="F752" s="1168">
        <f>F754</f>
        <v>26</v>
      </c>
      <c r="G752" s="1160">
        <f>ROUND(F752*1368.42307,0)</f>
        <v>35579</v>
      </c>
      <c r="H752" s="1162" t="s">
        <v>591</v>
      </c>
      <c r="I752" s="1167">
        <f>ROUND(I754*84.02857%,2)</f>
        <v>81.41</v>
      </c>
      <c r="J752" s="1167" t="e">
        <f>+#REF!</f>
        <v>#REF!</v>
      </c>
      <c r="K752" s="1167" t="e">
        <f>+#REF!</f>
        <v>#REF!</v>
      </c>
      <c r="L752" s="1167" t="e">
        <f>ROUND((G752*85%)*J752*12/10000000,2)</f>
        <v>#REF!</v>
      </c>
      <c r="M752" s="1167" t="e">
        <f>ROUND(I752*1000000*K752/10000000,2)</f>
        <v>#REF!</v>
      </c>
      <c r="N752" s="1167"/>
      <c r="O752" s="1192"/>
    </row>
    <row r="753" spans="1:15" ht="16.5" x14ac:dyDescent="0.2">
      <c r="A753" s="1197" t="s">
        <v>616</v>
      </c>
      <c r="B753" s="1159"/>
      <c r="C753" s="1160"/>
      <c r="D753" s="1160"/>
      <c r="E753" s="1168"/>
      <c r="F753" s="1168"/>
      <c r="G753" s="1160"/>
      <c r="H753" s="1162" t="s">
        <v>590</v>
      </c>
      <c r="I753" s="1167">
        <f>I754-I752</f>
        <v>15.469999999999999</v>
      </c>
      <c r="J753" s="1167"/>
      <c r="K753" s="1167" t="e">
        <f>+#REF!</f>
        <v>#REF!</v>
      </c>
      <c r="L753" s="1167"/>
      <c r="M753" s="1167" t="e">
        <f>ROUND(I753*1000000*K753/10000000,2)</f>
        <v>#REF!</v>
      </c>
      <c r="N753" s="1167"/>
      <c r="O753" s="1192"/>
    </row>
    <row r="754" spans="1:15" ht="16.5" x14ac:dyDescent="0.2">
      <c r="A754" s="1197" t="s">
        <v>616</v>
      </c>
      <c r="B754" s="1164"/>
      <c r="C754" s="1165"/>
      <c r="D754" s="1166" t="s">
        <v>486</v>
      </c>
      <c r="E754" s="1169">
        <f>E755-E750</f>
        <v>28</v>
      </c>
      <c r="F754" s="1169">
        <f>F755-F750</f>
        <v>26</v>
      </c>
      <c r="G754" s="1169">
        <f>SUM(G752:G753)</f>
        <v>35579</v>
      </c>
      <c r="H754" s="1165"/>
      <c r="I754" s="1170">
        <f>I755-I750</f>
        <v>96.88</v>
      </c>
      <c r="J754" s="1170"/>
      <c r="K754" s="1170"/>
      <c r="L754" s="1170" t="e">
        <f>SUM(L752:L753)</f>
        <v>#REF!</v>
      </c>
      <c r="M754" s="1170" t="e">
        <f>SUM(M752:M753)</f>
        <v>#REF!</v>
      </c>
      <c r="N754" s="1170" t="e">
        <f>L754+M754</f>
        <v>#REF!</v>
      </c>
      <c r="O754" s="1177"/>
    </row>
    <row r="755" spans="1:15" ht="16.5" x14ac:dyDescent="0.2">
      <c r="A755" s="1197" t="s">
        <v>616</v>
      </c>
      <c r="B755" s="1164">
        <v>10</v>
      </c>
      <c r="C755" s="1165" t="s">
        <v>592</v>
      </c>
      <c r="D755" s="1165"/>
      <c r="E755" s="1169">
        <f>Sales_FY24!$P$268</f>
        <v>28</v>
      </c>
      <c r="F755" s="1169">
        <f>Sales_FY24!$V$268</f>
        <v>26</v>
      </c>
      <c r="G755" s="1169">
        <f>G750+G754</f>
        <v>35579</v>
      </c>
      <c r="H755" s="1165"/>
      <c r="I755" s="1170">
        <f>Sales_FY24!$Q$268</f>
        <v>96.88</v>
      </c>
      <c r="J755" s="1170"/>
      <c r="K755" s="1170"/>
      <c r="L755" s="1169" t="e">
        <f>L750+L754</f>
        <v>#REF!</v>
      </c>
      <c r="M755" s="1169" t="e">
        <f>M750+M754</f>
        <v>#REF!</v>
      </c>
      <c r="N755" s="1170" t="e">
        <f>L755+M755</f>
        <v>#REF!</v>
      </c>
      <c r="O755" s="1177" t="e">
        <f>ROUND(N755/I755*10,2)</f>
        <v>#REF!</v>
      </c>
    </row>
    <row r="756" spans="1:15" ht="16.5" x14ac:dyDescent="0.2">
      <c r="A756" s="1197" t="s">
        <v>616</v>
      </c>
      <c r="B756" s="1163"/>
      <c r="C756" s="1163"/>
      <c r="D756" s="1163"/>
      <c r="E756" s="1163"/>
      <c r="F756" s="1163"/>
      <c r="G756" s="1163"/>
      <c r="H756" s="1163"/>
      <c r="I756" s="1176"/>
      <c r="J756" s="1176"/>
      <c r="K756" s="1176"/>
      <c r="L756" s="1176"/>
      <c r="M756" s="1176"/>
      <c r="N756" s="1176"/>
      <c r="O756" s="1176"/>
    </row>
    <row r="757" spans="1:15" ht="16.5" x14ac:dyDescent="0.2">
      <c r="A757" s="1197" t="s">
        <v>616</v>
      </c>
      <c r="B757" s="1159"/>
      <c r="C757" s="1160" t="s">
        <v>596</v>
      </c>
      <c r="D757" s="1160" t="s">
        <v>589</v>
      </c>
      <c r="E757" s="1168">
        <f>E759</f>
        <v>0</v>
      </c>
      <c r="F757" s="1168">
        <f>F759</f>
        <v>0</v>
      </c>
      <c r="G757" s="1160">
        <f>ROUND(F757*0,0)</f>
        <v>0</v>
      </c>
      <c r="H757" s="1162" t="s">
        <v>598</v>
      </c>
      <c r="I757" s="1167">
        <f>ROUND(I759*0%,2)</f>
        <v>0</v>
      </c>
      <c r="J757" s="1167" t="e">
        <f>+#REF!</f>
        <v>#REF!</v>
      </c>
      <c r="K757" s="1167" t="e">
        <f>+#REF!</f>
        <v>#REF!</v>
      </c>
      <c r="L757" s="1167" t="e">
        <f>ROUND((G757*85%)*J757*12/10000000,2)</f>
        <v>#REF!</v>
      </c>
      <c r="M757" s="1167" t="e">
        <f>ROUND(I757*1000000*K757/10000000,2)</f>
        <v>#REF!</v>
      </c>
      <c r="N757" s="1167"/>
      <c r="O757" s="1192"/>
    </row>
    <row r="758" spans="1:15" ht="16.5" x14ac:dyDescent="0.2">
      <c r="A758" s="1197" t="s">
        <v>616</v>
      </c>
      <c r="B758" s="1159"/>
      <c r="C758" s="1160"/>
      <c r="D758" s="1160"/>
      <c r="E758" s="1168"/>
      <c r="F758" s="1168"/>
      <c r="G758" s="1160"/>
      <c r="H758" s="1162" t="s">
        <v>599</v>
      </c>
      <c r="I758" s="1167">
        <f>I759-I757</f>
        <v>0</v>
      </c>
      <c r="J758" s="1167"/>
      <c r="K758" s="1167" t="e">
        <f>+#REF!</f>
        <v>#REF!</v>
      </c>
      <c r="L758" s="1167"/>
      <c r="M758" s="1167" t="e">
        <f>ROUND(I758*1000000*K758/10000000,2)</f>
        <v>#REF!</v>
      </c>
      <c r="N758" s="1167"/>
      <c r="O758" s="1192"/>
    </row>
    <row r="759" spans="1:15" ht="16.5" x14ac:dyDescent="0.2">
      <c r="A759" s="1197" t="s">
        <v>616</v>
      </c>
      <c r="B759" s="1164"/>
      <c r="C759" s="1165"/>
      <c r="D759" s="1166" t="s">
        <v>486</v>
      </c>
      <c r="E759" s="1169">
        <f>ROUND(E764*0%,0)</f>
        <v>0</v>
      </c>
      <c r="F759" s="1169">
        <f>ROUND(F764*0%,0)</f>
        <v>0</v>
      </c>
      <c r="G759" s="1169">
        <f>SUM(G757:G758)</f>
        <v>0</v>
      </c>
      <c r="H759" s="1165"/>
      <c r="I759" s="1170">
        <f>ROUND(I764*0%,2)</f>
        <v>0</v>
      </c>
      <c r="J759" s="1170"/>
      <c r="K759" s="1170"/>
      <c r="L759" s="1170" t="e">
        <f>SUM(L757:L758)</f>
        <v>#REF!</v>
      </c>
      <c r="M759" s="1170" t="e">
        <f>SUM(M757:M758)</f>
        <v>#REF!</v>
      </c>
      <c r="N759" s="1170" t="e">
        <f>L759+M759</f>
        <v>#REF!</v>
      </c>
      <c r="O759" s="1177"/>
    </row>
    <row r="760" spans="1:15" ht="16.5" x14ac:dyDescent="0.2">
      <c r="A760" s="1197" t="s">
        <v>616</v>
      </c>
      <c r="B760" s="1163"/>
      <c r="C760" s="1163"/>
      <c r="D760" s="1163"/>
      <c r="E760" s="1163"/>
      <c r="F760" s="1163"/>
      <c r="G760" s="1163"/>
      <c r="H760" s="1163"/>
      <c r="I760" s="1176"/>
      <c r="J760" s="1176"/>
      <c r="K760" s="1176"/>
      <c r="L760" s="1176"/>
      <c r="M760" s="1176"/>
      <c r="N760" s="1176"/>
      <c r="O760" s="1176"/>
    </row>
    <row r="761" spans="1:15" ht="16.5" x14ac:dyDescent="0.2">
      <c r="A761" s="1197" t="s">
        <v>616</v>
      </c>
      <c r="B761" s="1159"/>
      <c r="C761" s="1160" t="s">
        <v>597</v>
      </c>
      <c r="D761" s="1160" t="s">
        <v>589</v>
      </c>
      <c r="E761" s="1168">
        <f>E763</f>
        <v>5</v>
      </c>
      <c r="F761" s="1168">
        <f>F763</f>
        <v>5</v>
      </c>
      <c r="G761" s="1160">
        <f>ROUND(F761*77,0)</f>
        <v>385</v>
      </c>
      <c r="H761" s="1162" t="s">
        <v>598</v>
      </c>
      <c r="I761" s="1167">
        <f>ROUND(I763*39.2789%,2)</f>
        <v>0.05</v>
      </c>
      <c r="J761" s="1167" t="e">
        <f>+#REF!</f>
        <v>#REF!</v>
      </c>
      <c r="K761" s="1167" t="e">
        <f>+#REF!</f>
        <v>#REF!</v>
      </c>
      <c r="L761" s="1167" t="e">
        <f>ROUND((G761*85%)*J761*12/10000000,2)</f>
        <v>#REF!</v>
      </c>
      <c r="M761" s="1167" t="e">
        <f>ROUND(I761*1000000*K761/10000000,2)</f>
        <v>#REF!</v>
      </c>
      <c r="N761" s="1167"/>
      <c r="O761" s="1192"/>
    </row>
    <row r="762" spans="1:15" ht="16.5" x14ac:dyDescent="0.2">
      <c r="A762" s="1197" t="s">
        <v>616</v>
      </c>
      <c r="B762" s="1159"/>
      <c r="C762" s="1160"/>
      <c r="D762" s="1160"/>
      <c r="E762" s="1168"/>
      <c r="F762" s="1168"/>
      <c r="G762" s="1160"/>
      <c r="H762" s="1162" t="s">
        <v>599</v>
      </c>
      <c r="I762" s="1167">
        <f>I763-I761</f>
        <v>9.0000000000000011E-2</v>
      </c>
      <c r="J762" s="1167"/>
      <c r="K762" s="1167" t="e">
        <f>+#REF!</f>
        <v>#REF!</v>
      </c>
      <c r="L762" s="1167"/>
      <c r="M762" s="1167" t="e">
        <f>ROUND(I762*1000000*K762/10000000,2)</f>
        <v>#REF!</v>
      </c>
      <c r="N762" s="1167"/>
      <c r="O762" s="1192"/>
    </row>
    <row r="763" spans="1:15" ht="16.5" x14ac:dyDescent="0.2">
      <c r="A763" s="1197" t="s">
        <v>616</v>
      </c>
      <c r="B763" s="1164"/>
      <c r="C763" s="1165"/>
      <c r="D763" s="1166" t="s">
        <v>486</v>
      </c>
      <c r="E763" s="1169">
        <f>E764-E759</f>
        <v>5</v>
      </c>
      <c r="F763" s="1169">
        <f>F764-F759</f>
        <v>5</v>
      </c>
      <c r="G763" s="1169">
        <f>SUM(G761:G762)</f>
        <v>385</v>
      </c>
      <c r="H763" s="1165"/>
      <c r="I763" s="1170">
        <f>I764-I759</f>
        <v>0.14000000000000001</v>
      </c>
      <c r="J763" s="1170"/>
      <c r="K763" s="1170"/>
      <c r="L763" s="1170" t="e">
        <f>SUM(L761:L762)</f>
        <v>#REF!</v>
      </c>
      <c r="M763" s="1170" t="e">
        <f>SUM(M761:M762)</f>
        <v>#REF!</v>
      </c>
      <c r="N763" s="1170" t="e">
        <f>L763+M763</f>
        <v>#REF!</v>
      </c>
      <c r="O763" s="1177"/>
    </row>
    <row r="764" spans="1:15" ht="16.5" x14ac:dyDescent="0.2">
      <c r="A764" s="1197" t="s">
        <v>616</v>
      </c>
      <c r="B764" s="1164">
        <v>11</v>
      </c>
      <c r="C764" s="1165" t="s">
        <v>595</v>
      </c>
      <c r="D764" s="1165"/>
      <c r="E764" s="1169">
        <f>Sales_FY24!$P$269</f>
        <v>5</v>
      </c>
      <c r="F764" s="1169">
        <f>Sales_FY24!$V$269</f>
        <v>5</v>
      </c>
      <c r="G764" s="1169">
        <f>G759+G763</f>
        <v>385</v>
      </c>
      <c r="H764" s="1165"/>
      <c r="I764" s="1170">
        <f>Sales_FY24!$Q$269</f>
        <v>0.14000000000000001</v>
      </c>
      <c r="J764" s="1170"/>
      <c r="K764" s="1170"/>
      <c r="L764" s="1170" t="e">
        <f>L759+L763</f>
        <v>#REF!</v>
      </c>
      <c r="M764" s="1170" t="e">
        <f>M759+M763</f>
        <v>#REF!</v>
      </c>
      <c r="N764" s="1170" t="e">
        <f>L764+M764</f>
        <v>#REF!</v>
      </c>
      <c r="O764" s="1177" t="e">
        <f>ROUND(N764/I764*10,2)</f>
        <v>#REF!</v>
      </c>
    </row>
    <row r="765" spans="1:15" ht="16.5" x14ac:dyDescent="0.2">
      <c r="A765" s="1197" t="s">
        <v>616</v>
      </c>
      <c r="B765" s="1163"/>
      <c r="C765" s="1163"/>
      <c r="D765" s="1163"/>
      <c r="E765" s="1163"/>
      <c r="F765" s="1163"/>
      <c r="G765" s="1163"/>
      <c r="H765" s="1163"/>
      <c r="I765" s="1176"/>
      <c r="J765" s="1176"/>
      <c r="K765" s="1176"/>
      <c r="L765" s="1176"/>
      <c r="M765" s="1176"/>
      <c r="N765" s="1176"/>
      <c r="O765" s="1176"/>
    </row>
    <row r="766" spans="1:15" ht="16.5" x14ac:dyDescent="0.2">
      <c r="A766" s="1197" t="s">
        <v>616</v>
      </c>
      <c r="B766" s="1159"/>
      <c r="C766" s="1160" t="s">
        <v>601</v>
      </c>
      <c r="D766" s="1160" t="s">
        <v>589</v>
      </c>
      <c r="E766" s="1168">
        <f>E768</f>
        <v>4</v>
      </c>
      <c r="F766" s="1168">
        <f>F768</f>
        <v>4</v>
      </c>
      <c r="G766" s="1160">
        <f>ROUND(F766*69.5,0)</f>
        <v>278</v>
      </c>
      <c r="H766" s="1162" t="s">
        <v>591</v>
      </c>
      <c r="I766" s="1167">
        <f>ROUND(I768*100%,2)</f>
        <v>0.17</v>
      </c>
      <c r="J766" s="1167" t="e">
        <f>+#REF!</f>
        <v>#REF!</v>
      </c>
      <c r="K766" s="1167" t="e">
        <f>+#REF!</f>
        <v>#REF!</v>
      </c>
      <c r="L766" s="1167" t="e">
        <f>ROUND((G766*85%)*J766*12/10000000,2)</f>
        <v>#REF!</v>
      </c>
      <c r="M766" s="1167" t="e">
        <f>ROUND(I766*1000000*K766/10000000,2)</f>
        <v>#REF!</v>
      </c>
      <c r="N766" s="1167"/>
      <c r="O766" s="1192"/>
    </row>
    <row r="767" spans="1:15" ht="16.5" x14ac:dyDescent="0.2">
      <c r="A767" s="1197" t="s">
        <v>616</v>
      </c>
      <c r="B767" s="1159"/>
      <c r="C767" s="1160"/>
      <c r="D767" s="1160"/>
      <c r="E767" s="1168"/>
      <c r="F767" s="1168"/>
      <c r="G767" s="1160"/>
      <c r="H767" s="1162" t="s">
        <v>590</v>
      </c>
      <c r="I767" s="1167">
        <f>I768-I766</f>
        <v>0</v>
      </c>
      <c r="J767" s="1167"/>
      <c r="K767" s="1167" t="e">
        <f>+#REF!</f>
        <v>#REF!</v>
      </c>
      <c r="L767" s="1167"/>
      <c r="M767" s="1167" t="e">
        <f>ROUND(I767*1000000*K767/10000000,2)</f>
        <v>#REF!</v>
      </c>
      <c r="N767" s="1167"/>
      <c r="O767" s="1192"/>
    </row>
    <row r="768" spans="1:15" ht="16.5" x14ac:dyDescent="0.2">
      <c r="A768" s="1197" t="s">
        <v>616</v>
      </c>
      <c r="B768" s="1164"/>
      <c r="C768" s="1165"/>
      <c r="D768" s="1166" t="s">
        <v>486</v>
      </c>
      <c r="E768" s="1169">
        <f>ROUND(E773*64.12037%,0)</f>
        <v>4</v>
      </c>
      <c r="F768" s="1169">
        <f>ROUND(F773*64.12037%,0)</f>
        <v>4</v>
      </c>
      <c r="G768" s="1169">
        <f>SUM(G766:G767)</f>
        <v>278</v>
      </c>
      <c r="H768" s="1165"/>
      <c r="I768" s="1170">
        <f>ROUND(I773*30.82949%,2)</f>
        <v>0.17</v>
      </c>
      <c r="J768" s="1170"/>
      <c r="K768" s="1170"/>
      <c r="L768" s="1170" t="e">
        <f>SUM(L766:L767)</f>
        <v>#REF!</v>
      </c>
      <c r="M768" s="1170" t="e">
        <f>SUM(M766:M767)</f>
        <v>#REF!</v>
      </c>
      <c r="N768" s="1170" t="e">
        <f>L768+M768</f>
        <v>#REF!</v>
      </c>
      <c r="O768" s="1177" t="e">
        <f>ROUND(N768/I768*10,2)</f>
        <v>#REF!</v>
      </c>
    </row>
    <row r="769" spans="1:15" ht="16.5" x14ac:dyDescent="0.2">
      <c r="A769" s="1197" t="s">
        <v>616</v>
      </c>
      <c r="B769" s="1163"/>
      <c r="C769" s="1163"/>
      <c r="D769" s="1163"/>
      <c r="E769" s="1163"/>
      <c r="F769" s="1163"/>
      <c r="G769" s="1163"/>
      <c r="H769" s="1163"/>
      <c r="I769" s="1176"/>
      <c r="J769" s="1176"/>
      <c r="K769" s="1176"/>
      <c r="L769" s="1176"/>
      <c r="M769" s="1176"/>
      <c r="N769" s="1176"/>
      <c r="O769" s="1176"/>
    </row>
    <row r="770" spans="1:15" ht="16.5" x14ac:dyDescent="0.2">
      <c r="A770" s="1197" t="s">
        <v>616</v>
      </c>
      <c r="B770" s="1159"/>
      <c r="C770" s="1160" t="s">
        <v>602</v>
      </c>
      <c r="D770" s="1160" t="s">
        <v>589</v>
      </c>
      <c r="E770" s="1168">
        <f>E772</f>
        <v>2</v>
      </c>
      <c r="F770" s="1168">
        <f>F772</f>
        <v>2</v>
      </c>
      <c r="G770" s="1160">
        <f>ROUND(F770*80,0)</f>
        <v>160</v>
      </c>
      <c r="H770" s="1162" t="s">
        <v>591</v>
      </c>
      <c r="I770" s="1167">
        <f>ROUND(I772*100%,2)</f>
        <v>0.39</v>
      </c>
      <c r="J770" s="1167" t="e">
        <f>+#REF!</f>
        <v>#REF!</v>
      </c>
      <c r="K770" s="1167" t="e">
        <f>+#REF!</f>
        <v>#REF!</v>
      </c>
      <c r="L770" s="1167" t="e">
        <f>ROUND((G770*85%)*J770*12/10000000,2)</f>
        <v>#REF!</v>
      </c>
      <c r="M770" s="1167" t="e">
        <f>ROUND(I770*1000000*K770/10000000,2)</f>
        <v>#REF!</v>
      </c>
      <c r="N770" s="1167"/>
      <c r="O770" s="1192"/>
    </row>
    <row r="771" spans="1:15" ht="16.5" x14ac:dyDescent="0.2">
      <c r="A771" s="1197" t="s">
        <v>616</v>
      </c>
      <c r="B771" s="1159"/>
      <c r="C771" s="1160"/>
      <c r="D771" s="1160"/>
      <c r="E771" s="1168"/>
      <c r="F771" s="1168"/>
      <c r="G771" s="1160"/>
      <c r="H771" s="1162" t="s">
        <v>590</v>
      </c>
      <c r="I771" s="1167">
        <f>I772-I770</f>
        <v>0</v>
      </c>
      <c r="J771" s="1167"/>
      <c r="K771" s="1167" t="e">
        <f>+#REF!</f>
        <v>#REF!</v>
      </c>
      <c r="L771" s="1167"/>
      <c r="M771" s="1167" t="e">
        <f>ROUND(I771*1000000*K771/10000000,2)</f>
        <v>#REF!</v>
      </c>
      <c r="N771" s="1167"/>
      <c r="O771" s="1192"/>
    </row>
    <row r="772" spans="1:15" ht="16.5" x14ac:dyDescent="0.2">
      <c r="A772" s="1197" t="s">
        <v>616</v>
      </c>
      <c r="B772" s="1164"/>
      <c r="C772" s="1165"/>
      <c r="D772" s="1166" t="s">
        <v>486</v>
      </c>
      <c r="E772" s="1169">
        <f>E773-E768</f>
        <v>2</v>
      </c>
      <c r="F772" s="1169">
        <f>F773-F768</f>
        <v>2</v>
      </c>
      <c r="G772" s="1169">
        <f>SUM(G770:G771)</f>
        <v>160</v>
      </c>
      <c r="H772" s="1165"/>
      <c r="I772" s="1170">
        <f>I773-I768</f>
        <v>0.39</v>
      </c>
      <c r="J772" s="1170"/>
      <c r="K772" s="1170"/>
      <c r="L772" s="1170" t="e">
        <f>SUM(L770:L771)</f>
        <v>#REF!</v>
      </c>
      <c r="M772" s="1170" t="e">
        <f>SUM(M770:M771)</f>
        <v>#REF!</v>
      </c>
      <c r="N772" s="1170" t="e">
        <f>L772+M772</f>
        <v>#REF!</v>
      </c>
      <c r="O772" s="1177" t="e">
        <f>ROUND(N772/I772*10,2)</f>
        <v>#REF!</v>
      </c>
    </row>
    <row r="773" spans="1:15" ht="16.5" x14ac:dyDescent="0.2">
      <c r="A773" s="1197" t="s">
        <v>616</v>
      </c>
      <c r="B773" s="1164">
        <v>12</v>
      </c>
      <c r="C773" s="1165" t="s">
        <v>600</v>
      </c>
      <c r="D773" s="1165"/>
      <c r="E773" s="1169">
        <f>Sales_FY24!$P$270</f>
        <v>6</v>
      </c>
      <c r="F773" s="1169">
        <f>Sales_FY24!$V$270</f>
        <v>6</v>
      </c>
      <c r="G773" s="1169">
        <f>G768+G772</f>
        <v>438</v>
      </c>
      <c r="H773" s="1165"/>
      <c r="I773" s="1170">
        <f>Sales_FY24!$Q$270</f>
        <v>0.56000000000000005</v>
      </c>
      <c r="J773" s="1170"/>
      <c r="K773" s="1170"/>
      <c r="L773" s="1170" t="e">
        <f>L768+L772</f>
        <v>#REF!</v>
      </c>
      <c r="M773" s="1170" t="e">
        <f>M768+M772</f>
        <v>#REF!</v>
      </c>
      <c r="N773" s="1170" t="e">
        <f>L773+M773</f>
        <v>#REF!</v>
      </c>
      <c r="O773" s="1177" t="e">
        <f>ROUND(N773/I773*10,2)</f>
        <v>#REF!</v>
      </c>
    </row>
    <row r="774" spans="1:15" ht="16.5" x14ac:dyDescent="0.2">
      <c r="A774" s="1197" t="s">
        <v>616</v>
      </c>
      <c r="B774" s="1163"/>
      <c r="C774" s="1163"/>
      <c r="D774" s="1163"/>
      <c r="E774" s="1163"/>
      <c r="F774" s="1163"/>
      <c r="G774" s="1163"/>
      <c r="H774" s="1163"/>
      <c r="I774" s="1176"/>
      <c r="J774" s="1176"/>
      <c r="K774" s="1176"/>
      <c r="L774" s="1176"/>
      <c r="M774" s="1176"/>
      <c r="N774" s="1176"/>
      <c r="O774" s="1176"/>
    </row>
    <row r="775" spans="1:15" ht="16.5" x14ac:dyDescent="0.2">
      <c r="A775" s="1197" t="s">
        <v>616</v>
      </c>
      <c r="B775" s="1159"/>
      <c r="C775" s="1160" t="s">
        <v>612</v>
      </c>
      <c r="D775" s="1160" t="s">
        <v>604</v>
      </c>
      <c r="E775" s="1168">
        <f>ROUND(E779*84.61538%,0)</f>
        <v>12</v>
      </c>
      <c r="F775" s="1168">
        <f>ROUND(F779*84.61538%,0)</f>
        <v>12</v>
      </c>
      <c r="G775" s="1160">
        <f>ROUND(F775*437.45454,0)</f>
        <v>5249</v>
      </c>
      <c r="H775" s="1162" t="s">
        <v>561</v>
      </c>
      <c r="I775" s="1167">
        <f>ROUND(I779*95.62503%,2)-0.02</f>
        <v>5.5</v>
      </c>
      <c r="J775" s="1167" t="e">
        <f>+#REF!</f>
        <v>#REF!</v>
      </c>
      <c r="K775" s="1167" t="e">
        <f>+#REF!</f>
        <v>#REF!</v>
      </c>
      <c r="L775" s="1167" t="e">
        <f>IF((ROUND(G775*J775*1/10000000,2))&gt;(ROUND(I775*1000000*K775/10000000,2)),(ROUND(G775*J775*1/10000000,2)),0)</f>
        <v>#REF!</v>
      </c>
      <c r="M775" s="1167" t="e">
        <f>IF((ROUND(I775*1000000*K775/10000000,2))&gt;(ROUND(G775*J775*1/10000000,2)),(ROUND(I775*1000000*K775/10000000,2)),0)</f>
        <v>#REF!</v>
      </c>
      <c r="N775" s="1167" t="e">
        <f>L775+M775</f>
        <v>#REF!</v>
      </c>
      <c r="O775" s="1192" t="e">
        <f>ROUND(N775/I775*10,2)</f>
        <v>#REF!</v>
      </c>
    </row>
    <row r="776" spans="1:15" ht="16.5" x14ac:dyDescent="0.2">
      <c r="A776" s="1197" t="s">
        <v>616</v>
      </c>
      <c r="B776" s="1159"/>
      <c r="C776" s="1160" t="s">
        <v>613</v>
      </c>
      <c r="D776" s="1160" t="s">
        <v>604</v>
      </c>
      <c r="E776" s="1168">
        <f>ROUND(E779*14.28571%,0)</f>
        <v>2</v>
      </c>
      <c r="F776" s="1168">
        <f>ROUND(F779*14.28571%,0)</f>
        <v>2</v>
      </c>
      <c r="G776" s="1160">
        <f>ROUND(F776*196.66666,0)</f>
        <v>393</v>
      </c>
      <c r="H776" s="1162" t="s">
        <v>561</v>
      </c>
      <c r="I776" s="1167">
        <f>ROUND(I779*4.37497%,2)+0.01</f>
        <v>0.26</v>
      </c>
      <c r="J776" s="1167" t="e">
        <f>+#REF!</f>
        <v>#REF!</v>
      </c>
      <c r="K776" s="1167" t="e">
        <f>+#REF!</f>
        <v>#REF!</v>
      </c>
      <c r="L776" s="1167" t="e">
        <f>ROUND(G776*J776*12/10000000,2)</f>
        <v>#REF!</v>
      </c>
      <c r="M776" s="1167" t="e">
        <f>ROUND(I776*1000000*K776/10000000,2)</f>
        <v>#REF!</v>
      </c>
      <c r="N776" s="1167" t="e">
        <f>L776+M776</f>
        <v>#REF!</v>
      </c>
      <c r="O776" s="1192"/>
    </row>
    <row r="777" spans="1:15" ht="16.5" x14ac:dyDescent="0.2">
      <c r="A777" s="1197" t="s">
        <v>616</v>
      </c>
      <c r="B777" s="1159"/>
      <c r="C777" s="1160" t="s">
        <v>614</v>
      </c>
      <c r="D777" s="1160" t="s">
        <v>604</v>
      </c>
      <c r="E777" s="1168">
        <f>ROUND(E779*3.25581%,0)</f>
        <v>0</v>
      </c>
      <c r="F777" s="1168">
        <f>ROUND(F779*3.25581%,0)</f>
        <v>0</v>
      </c>
      <c r="G777" s="1160">
        <f>ROUND(F777*168.5,0)</f>
        <v>0</v>
      </c>
      <c r="H777" s="1162" t="s">
        <v>561</v>
      </c>
      <c r="I777" s="1167">
        <f>ROUND(I779*0%,2)</f>
        <v>0</v>
      </c>
      <c r="J777" s="1167" t="e">
        <f>+#REF!</f>
        <v>#REF!</v>
      </c>
      <c r="K777" s="1167" t="e">
        <f>+#REF!</f>
        <v>#REF!</v>
      </c>
      <c r="L777" s="1167" t="e">
        <f>ROUND(G777*J777*12/10000000,2)</f>
        <v>#REF!</v>
      </c>
      <c r="M777" s="1167" t="e">
        <f>ROUND(I777*1000000*K777/10000000,2)</f>
        <v>#REF!</v>
      </c>
      <c r="N777" s="1167" t="e">
        <f>L777+M777</f>
        <v>#REF!</v>
      </c>
      <c r="O777" s="1192"/>
    </row>
    <row r="778" spans="1:15" ht="16.5" x14ac:dyDescent="0.2">
      <c r="A778" s="1197" t="s">
        <v>616</v>
      </c>
      <c r="B778" s="1159"/>
      <c r="C778" s="1160" t="s">
        <v>615</v>
      </c>
      <c r="D778" s="1160" t="s">
        <v>604</v>
      </c>
      <c r="E778" s="1168">
        <f>ROUND(E779*0.93023%,0)</f>
        <v>0</v>
      </c>
      <c r="F778" s="1168">
        <f>ROUND(F779*0.93023%,0)</f>
        <v>0</v>
      </c>
      <c r="G778" s="1160">
        <f>ROUND(F778*31.5,0)</f>
        <v>0</v>
      </c>
      <c r="H778" s="1162" t="s">
        <v>561</v>
      </c>
      <c r="I778" s="1167">
        <f>+I779-I775-I776-I777</f>
        <v>9.9999999999995648E-3</v>
      </c>
      <c r="J778" s="1167" t="e">
        <f>+#REF!</f>
        <v>#REF!</v>
      </c>
      <c r="K778" s="1167" t="e">
        <f>+#REF!</f>
        <v>#REF!</v>
      </c>
      <c r="L778" s="1167" t="e">
        <f>IF((ROUND(G778*J778*1/10000000,2))&gt;(ROUND(I778*1000000*K778/10000000,2)),(ROUND(G778*J778*1/10000000,2)),0)</f>
        <v>#REF!</v>
      </c>
      <c r="M778" s="1167" t="e">
        <f>IF((ROUND(I778*1000000*K778/10000000,2))&gt;(ROUND(G778*J778*1/10000000,2)),(ROUND(I778*1000000*K778/10000000,2)),0)</f>
        <v>#REF!</v>
      </c>
      <c r="N778" s="1167" t="e">
        <f>L778+M778</f>
        <v>#REF!</v>
      </c>
      <c r="O778" s="1192" t="e">
        <f>ROUND(N778/I778*10,2)</f>
        <v>#REF!</v>
      </c>
    </row>
    <row r="779" spans="1:15" ht="16.5" x14ac:dyDescent="0.2">
      <c r="A779" s="1197" t="s">
        <v>616</v>
      </c>
      <c r="B779" s="1164">
        <v>13</v>
      </c>
      <c r="C779" s="1165" t="s">
        <v>603</v>
      </c>
      <c r="D779" s="1165"/>
      <c r="E779" s="1169">
        <f>Sales_FY24!$P$271</f>
        <v>14</v>
      </c>
      <c r="F779" s="1169">
        <f>Sales_FY24!$V$271</f>
        <v>14</v>
      </c>
      <c r="G779" s="1169">
        <f>SUM(G775:G778)</f>
        <v>5642</v>
      </c>
      <c r="H779" s="1165"/>
      <c r="I779" s="1170">
        <f>Sales_FY24!$Q$271</f>
        <v>5.77</v>
      </c>
      <c r="J779" s="1170"/>
      <c r="K779" s="1170"/>
      <c r="L779" s="1170" t="e">
        <f>SUM(L775:L778)</f>
        <v>#REF!</v>
      </c>
      <c r="M779" s="1170" t="e">
        <f>SUM(M775:M778)</f>
        <v>#REF!</v>
      </c>
      <c r="N779" s="1170" t="e">
        <f>L779+M779</f>
        <v>#REF!</v>
      </c>
      <c r="O779" s="1177" t="e">
        <f>ROUND(N779/I779*10,2)</f>
        <v>#REF!</v>
      </c>
    </row>
    <row r="780" spans="1:15" ht="16.5" x14ac:dyDescent="0.2">
      <c r="A780" s="1197" t="s">
        <v>616</v>
      </c>
      <c r="B780" s="1163"/>
      <c r="C780" s="1163"/>
      <c r="D780" s="1163"/>
      <c r="E780" s="1163"/>
      <c r="F780" s="1163"/>
      <c r="G780" s="1163"/>
      <c r="H780" s="1163"/>
      <c r="I780" s="1176"/>
      <c r="J780" s="1176"/>
      <c r="K780" s="1176"/>
      <c r="L780" s="1176"/>
      <c r="M780" s="1176"/>
      <c r="N780" s="1176"/>
      <c r="O780" s="1176"/>
    </row>
    <row r="781" spans="1:15" ht="16.5" x14ac:dyDescent="0.2">
      <c r="A781" s="1197" t="s">
        <v>616</v>
      </c>
      <c r="B781" s="1159">
        <v>14</v>
      </c>
      <c r="C781" s="1160" t="s">
        <v>312</v>
      </c>
      <c r="D781" s="1160" t="s">
        <v>589</v>
      </c>
      <c r="E781" s="1168">
        <f>Sales_FY24!$P$272</f>
        <v>0</v>
      </c>
      <c r="F781" s="1168">
        <f>Sales_FY24!$V$272</f>
        <v>0</v>
      </c>
      <c r="G781" s="1160">
        <f>ROUND(F781*341.30303,0)</f>
        <v>0</v>
      </c>
      <c r="H781" s="1162" t="s">
        <v>561</v>
      </c>
      <c r="I781" s="1167">
        <f>Sales_FY24!$Q$272</f>
        <v>0</v>
      </c>
      <c r="J781" s="1167" t="e">
        <f>+#REF!</f>
        <v>#REF!</v>
      </c>
      <c r="K781" s="1167" t="e">
        <f>+#REF!</f>
        <v>#REF!</v>
      </c>
      <c r="L781" s="1167" t="e">
        <f>ROUND((G781*85%)*J781*12/10000000,2)</f>
        <v>#REF!</v>
      </c>
      <c r="M781" s="1167" t="e">
        <f>ROUND(I781*1000000*K781/10000000,2)</f>
        <v>#REF!</v>
      </c>
      <c r="N781" s="1167" t="e">
        <f>L781+M781</f>
        <v>#REF!</v>
      </c>
      <c r="O781" s="1192"/>
    </row>
    <row r="782" spans="1:15" ht="16.5" x14ac:dyDescent="0.2">
      <c r="A782" s="1197" t="s">
        <v>616</v>
      </c>
      <c r="B782" s="1163"/>
      <c r="C782" s="1163"/>
      <c r="D782" s="1163"/>
      <c r="E782" s="1163"/>
      <c r="F782" s="1163"/>
      <c r="G782" s="1163"/>
      <c r="H782" s="1163"/>
      <c r="I782" s="1176"/>
      <c r="J782" s="1176"/>
      <c r="K782" s="1176"/>
      <c r="L782" s="1176"/>
      <c r="M782" s="1176"/>
      <c r="N782" s="1176"/>
      <c r="O782" s="1176"/>
    </row>
    <row r="783" spans="1:15" ht="16.5" x14ac:dyDescent="0.2">
      <c r="A783" s="1197" t="s">
        <v>616</v>
      </c>
      <c r="B783" s="1159">
        <v>15</v>
      </c>
      <c r="C783" s="1160" t="s">
        <v>313</v>
      </c>
      <c r="D783" s="1160" t="s">
        <v>589</v>
      </c>
      <c r="E783" s="1168">
        <f>Sales_FY24!$P$273</f>
        <v>2</v>
      </c>
      <c r="F783" s="1168">
        <f>Sales_FY24!$V$273</f>
        <v>2</v>
      </c>
      <c r="G783" s="1160">
        <f>ROUND(F783*351.5,0)</f>
        <v>703</v>
      </c>
      <c r="H783" s="1162" t="s">
        <v>561</v>
      </c>
      <c r="I783" s="1167">
        <f>Sales_FY24!$Q$273</f>
        <v>0.94</v>
      </c>
      <c r="J783" s="1167" t="e">
        <f>+#REF!</f>
        <v>#REF!</v>
      </c>
      <c r="K783" s="1167" t="e">
        <f>+#REF!</f>
        <v>#REF!</v>
      </c>
      <c r="L783" s="1167" t="e">
        <f>ROUND((G783*100%)*J783*12/10000000,2)</f>
        <v>#REF!</v>
      </c>
      <c r="M783" s="1167" t="e">
        <f>ROUND(I783*1000000*K783/10000000,2)</f>
        <v>#REF!</v>
      </c>
      <c r="N783" s="1167" t="e">
        <f>L783+M783</f>
        <v>#REF!</v>
      </c>
      <c r="O783" s="1192" t="e">
        <f>ROUND(N783/I783*10,2)</f>
        <v>#REF!</v>
      </c>
    </row>
    <row r="784" spans="1:15" ht="16.5" x14ac:dyDescent="0.2">
      <c r="A784" s="1197" t="s">
        <v>616</v>
      </c>
      <c r="B784" s="1163"/>
      <c r="C784" s="1163"/>
      <c r="D784" s="1163"/>
      <c r="E784" s="1163"/>
      <c r="F784" s="1163"/>
      <c r="G784" s="1163"/>
      <c r="H784" s="1163"/>
      <c r="I784" s="1176"/>
      <c r="J784" s="1176"/>
      <c r="K784" s="1176"/>
      <c r="L784" s="1176"/>
      <c r="M784" s="1176"/>
      <c r="N784" s="1176"/>
      <c r="O784" s="1176"/>
    </row>
    <row r="785" spans="1:15" ht="16.5" x14ac:dyDescent="0.2">
      <c r="A785" s="1197" t="s">
        <v>616</v>
      </c>
      <c r="B785" s="1194"/>
      <c r="C785" s="1195" t="s">
        <v>605</v>
      </c>
      <c r="D785" s="1195"/>
      <c r="E785" s="1196">
        <f>E746+E755+E764+E773+E779+E781+E783</f>
        <v>67</v>
      </c>
      <c r="F785" s="1196">
        <f>F746+F755+F764+F773+F779+F781+F783</f>
        <v>65</v>
      </c>
      <c r="G785" s="1196">
        <f>G746+G755+G764+G773+G779+G781+G783</f>
        <v>44625</v>
      </c>
      <c r="H785" s="1195"/>
      <c r="I785" s="1193">
        <f>I746+I755+I764+I773+I779+I781+I783</f>
        <v>113.07</v>
      </c>
      <c r="J785" s="1193"/>
      <c r="K785" s="1193"/>
      <c r="L785" s="1193" t="e">
        <f>L746+L755+L764+L773+L779+L781+L783</f>
        <v>#REF!</v>
      </c>
      <c r="M785" s="1193" t="e">
        <f>M746+M755+M764+M773+M779+M781+M783</f>
        <v>#REF!</v>
      </c>
      <c r="N785" s="1193" t="e">
        <f>L785+M785</f>
        <v>#REF!</v>
      </c>
      <c r="O785" s="1193" t="e">
        <f>ROUND(N785/I785*10,2)</f>
        <v>#REF!</v>
      </c>
    </row>
    <row r="786" spans="1:15" ht="16.5" x14ac:dyDescent="0.2">
      <c r="A786" s="1197" t="s">
        <v>616</v>
      </c>
      <c r="B786" s="1163"/>
      <c r="C786" s="1163"/>
      <c r="D786" s="1163"/>
      <c r="E786" s="1163"/>
      <c r="F786" s="1163"/>
      <c r="G786" s="1163"/>
      <c r="H786" s="1163"/>
      <c r="I786" s="1176"/>
      <c r="J786" s="1176"/>
      <c r="K786" s="1176"/>
      <c r="L786" s="1176"/>
      <c r="M786" s="1176"/>
      <c r="N786" s="1176"/>
      <c r="O786" s="1176"/>
    </row>
    <row r="787" spans="1:15" ht="16.5" x14ac:dyDescent="0.2">
      <c r="A787" s="1197" t="s">
        <v>616</v>
      </c>
      <c r="B787" s="1194"/>
      <c r="C787" s="1195" t="s">
        <v>606</v>
      </c>
      <c r="D787" s="1195"/>
      <c r="E787" s="1196">
        <f>E744+E785</f>
        <v>147988</v>
      </c>
      <c r="F787" s="1196">
        <f>F744+F785</f>
        <v>145662</v>
      </c>
      <c r="G787" s="1196">
        <f>G744+G785</f>
        <v>332190</v>
      </c>
      <c r="H787" s="1195"/>
      <c r="I787" s="1193">
        <f>I744+I785</f>
        <v>367.40100000000001</v>
      </c>
      <c r="J787" s="1193"/>
      <c r="K787" s="1193"/>
      <c r="L787" s="1193" t="e">
        <f>L744+L785</f>
        <v>#REF!</v>
      </c>
      <c r="M787" s="1193" t="e">
        <f>M744+M785</f>
        <v>#REF!</v>
      </c>
      <c r="N787" s="1193" t="e">
        <f>L787+M787</f>
        <v>#REF!</v>
      </c>
      <c r="O787" s="1193" t="e">
        <f>ROUND(N787/I787*10,2)</f>
        <v>#REF!</v>
      </c>
    </row>
    <row r="788" spans="1:15" ht="16.5" x14ac:dyDescent="0.2">
      <c r="A788" s="1197" t="s">
        <v>616</v>
      </c>
      <c r="B788" s="1163"/>
      <c r="C788" s="1163"/>
      <c r="D788" s="1163"/>
      <c r="E788" s="1163"/>
      <c r="F788" s="1163"/>
      <c r="G788" s="1163"/>
      <c r="H788" s="1163"/>
      <c r="I788" s="1176"/>
      <c r="J788" s="1176"/>
      <c r="K788" s="1176"/>
      <c r="L788" s="1176"/>
      <c r="M788" s="1176"/>
      <c r="N788" s="1176"/>
      <c r="O788" s="1176"/>
    </row>
    <row r="789" spans="1:15" ht="16.5" x14ac:dyDescent="0.2">
      <c r="A789" s="1197" t="s">
        <v>616</v>
      </c>
      <c r="B789" s="1159">
        <v>16</v>
      </c>
      <c r="C789" s="1160"/>
      <c r="D789" s="1160"/>
      <c r="E789" s="1168"/>
      <c r="F789" s="1168"/>
      <c r="G789" s="1160"/>
      <c r="H789" s="1162"/>
      <c r="I789" s="1167"/>
      <c r="J789" s="1167"/>
      <c r="K789" s="1167"/>
      <c r="L789" s="1167"/>
      <c r="M789" s="1167"/>
      <c r="N789" s="1167"/>
      <c r="O789" s="1192"/>
    </row>
    <row r="790" spans="1:15" ht="16.5" x14ac:dyDescent="0.2">
      <c r="A790" s="1197" t="s">
        <v>616</v>
      </c>
      <c r="B790" s="1163"/>
      <c r="C790" s="1163"/>
      <c r="D790" s="1163"/>
      <c r="E790" s="1163"/>
      <c r="F790" s="1163"/>
      <c r="G790" s="1163"/>
      <c r="H790" s="1163"/>
      <c r="I790" s="1176"/>
      <c r="J790" s="1176"/>
      <c r="K790" s="1176"/>
      <c r="L790" s="1176"/>
      <c r="M790" s="1176"/>
      <c r="N790" s="1176"/>
      <c r="O790" s="1176"/>
    </row>
    <row r="791" spans="1:15" ht="16.5" x14ac:dyDescent="0.2">
      <c r="A791" s="1197" t="s">
        <v>616</v>
      </c>
      <c r="B791" s="1159">
        <v>17</v>
      </c>
      <c r="C791" s="1160"/>
      <c r="D791" s="1160"/>
      <c r="E791" s="1168"/>
      <c r="F791" s="1168"/>
      <c r="G791" s="1160"/>
      <c r="H791" s="1162"/>
      <c r="I791" s="1167"/>
      <c r="J791" s="1167"/>
      <c r="K791" s="1167"/>
      <c r="L791" s="1167"/>
      <c r="M791" s="1167"/>
      <c r="N791" s="1167"/>
      <c r="O791" s="1192"/>
    </row>
    <row r="792" spans="1:15" ht="16.5" x14ac:dyDescent="0.2">
      <c r="A792" s="1197" t="s">
        <v>616</v>
      </c>
      <c r="B792" s="1163"/>
      <c r="C792" s="1163"/>
      <c r="D792" s="1163"/>
      <c r="E792" s="1163"/>
      <c r="F792" s="1163"/>
      <c r="G792" s="1163"/>
      <c r="H792" s="1163"/>
      <c r="I792" s="1176"/>
      <c r="J792" s="1176"/>
      <c r="K792" s="1176"/>
      <c r="L792" s="1176"/>
      <c r="M792" s="1176"/>
      <c r="N792" s="1176"/>
      <c r="O792" s="1176"/>
    </row>
    <row r="793" spans="1:15" ht="16.5" x14ac:dyDescent="0.2">
      <c r="A793" s="1197" t="s">
        <v>616</v>
      </c>
      <c r="B793" s="1159">
        <v>18</v>
      </c>
      <c r="C793" s="1160"/>
      <c r="D793" s="1160" t="s">
        <v>305</v>
      </c>
      <c r="E793" s="1168"/>
      <c r="F793" s="1168"/>
      <c r="G793" s="1160"/>
      <c r="H793" s="1162"/>
      <c r="I793" s="1167"/>
      <c r="J793" s="1167"/>
      <c r="K793" s="1167"/>
      <c r="L793" s="1167">
        <v>0</v>
      </c>
      <c r="M793" s="1167">
        <f>ROUND((4.67+(4.67*28.65013%))+1.15,2)</f>
        <v>7.16</v>
      </c>
      <c r="N793" s="1167">
        <f>L793+M793</f>
        <v>7.16</v>
      </c>
      <c r="O793" s="1192"/>
    </row>
    <row r="794" spans="1:15" ht="16.5" x14ac:dyDescent="0.2">
      <c r="A794" s="1197" t="s">
        <v>616</v>
      </c>
      <c r="B794" s="1163"/>
      <c r="C794" s="1163"/>
      <c r="D794" s="1163"/>
      <c r="E794" s="1163"/>
      <c r="F794" s="1163"/>
      <c r="G794" s="1163"/>
      <c r="H794" s="1163"/>
      <c r="I794" s="1176"/>
      <c r="J794" s="1176"/>
      <c r="K794" s="1176"/>
      <c r="L794" s="1176"/>
      <c r="M794" s="1176"/>
      <c r="N794" s="1176"/>
      <c r="O794" s="1176"/>
    </row>
    <row r="795" spans="1:15" ht="16.5" x14ac:dyDescent="0.2">
      <c r="A795" s="1197" t="s">
        <v>616</v>
      </c>
      <c r="B795" s="1194"/>
      <c r="C795" s="1195" t="s">
        <v>607</v>
      </c>
      <c r="D795" s="1195"/>
      <c r="E795" s="1196">
        <f>E787+E793+E789+E791</f>
        <v>147988</v>
      </c>
      <c r="F795" s="1196">
        <f>F787+F793+F789+F791</f>
        <v>145662</v>
      </c>
      <c r="G795" s="1196">
        <f>G787+G793+G789+G791</f>
        <v>332190</v>
      </c>
      <c r="H795" s="1195"/>
      <c r="I795" s="1193">
        <f>I787+I793+I789+I791</f>
        <v>367.40100000000001</v>
      </c>
      <c r="J795" s="1193"/>
      <c r="K795" s="1193"/>
      <c r="L795" s="1193" t="e">
        <f>L787+L793+L789+L791</f>
        <v>#REF!</v>
      </c>
      <c r="M795" s="1193" t="e">
        <f>M787+M793+M789+M791</f>
        <v>#REF!</v>
      </c>
      <c r="N795" s="1193" t="e">
        <f>L795+M795</f>
        <v>#REF!</v>
      </c>
      <c r="O795" s="1193" t="e">
        <f>ROUND(N795/I795*10,2)</f>
        <v>#REF!</v>
      </c>
    </row>
    <row r="799" spans="1:15" x14ac:dyDescent="0.15">
      <c r="B799" s="1172" t="s">
        <v>609</v>
      </c>
      <c r="D799" s="1173" t="s">
        <v>608</v>
      </c>
    </row>
    <row r="800" spans="1:15" x14ac:dyDescent="0.15">
      <c r="B800" s="1187" t="s">
        <v>472</v>
      </c>
      <c r="C800" s="1187" t="s">
        <v>474</v>
      </c>
      <c r="D800" s="1188" t="s">
        <v>3</v>
      </c>
      <c r="E800" s="1187" t="s">
        <v>49</v>
      </c>
      <c r="F800" s="1187" t="s">
        <v>469</v>
      </c>
      <c r="G800" s="1187" t="s">
        <v>467</v>
      </c>
      <c r="H800" s="1188" t="s">
        <v>475</v>
      </c>
      <c r="I800" s="1188" t="s">
        <v>475</v>
      </c>
      <c r="J800" s="1200" t="s">
        <v>477</v>
      </c>
      <c r="K800" s="1200" t="s">
        <v>480</v>
      </c>
      <c r="L800" s="1206" t="s">
        <v>610</v>
      </c>
      <c r="M800" s="1189" t="s">
        <v>611</v>
      </c>
      <c r="N800" s="1189" t="s">
        <v>488</v>
      </c>
      <c r="O800" s="1189" t="s">
        <v>489</v>
      </c>
    </row>
    <row r="801" spans="1:15" x14ac:dyDescent="0.15">
      <c r="B801" s="1190" t="s">
        <v>473</v>
      </c>
      <c r="C801" s="1190" t="s">
        <v>31</v>
      </c>
      <c r="D801" s="1191"/>
      <c r="E801" s="1190" t="s">
        <v>33</v>
      </c>
      <c r="F801" s="1190" t="s">
        <v>33</v>
      </c>
      <c r="G801" s="1190" t="s">
        <v>468</v>
      </c>
      <c r="H801" s="1191" t="s">
        <v>487</v>
      </c>
      <c r="I801" s="1191" t="s">
        <v>476</v>
      </c>
      <c r="J801" s="1201" t="s">
        <v>479</v>
      </c>
      <c r="K801" s="1201" t="s">
        <v>478</v>
      </c>
      <c r="L801" s="1207" t="s">
        <v>481</v>
      </c>
      <c r="M801" s="1190" t="s">
        <v>481</v>
      </c>
      <c r="N801" s="1190" t="s">
        <v>481</v>
      </c>
      <c r="O801" s="1190" t="s">
        <v>478</v>
      </c>
    </row>
    <row r="802" spans="1:15" ht="18" x14ac:dyDescent="0.2">
      <c r="A802" s="1199" t="s">
        <v>151</v>
      </c>
      <c r="B802" s="1159"/>
      <c r="C802" s="1160" t="s">
        <v>38</v>
      </c>
      <c r="D802" s="1160" t="s">
        <v>482</v>
      </c>
      <c r="E802" s="1168">
        <f t="shared" ref="E802:G803" si="3">+E4+E137+E270+E403+E536+E669</f>
        <v>2663553</v>
      </c>
      <c r="F802" s="1168">
        <f t="shared" si="3"/>
        <v>2663553</v>
      </c>
      <c r="G802" s="1168">
        <f t="shared" si="3"/>
        <v>228495</v>
      </c>
      <c r="H802" s="1167"/>
      <c r="I802" s="1167">
        <f>+I4+I137+I270+I403+I536+I669</f>
        <v>733.55000000000007</v>
      </c>
      <c r="J802" s="1212"/>
      <c r="K802" s="1213"/>
      <c r="L802" s="1167">
        <f t="shared" ref="L802:M804" si="4">+L4+L137+L270+L403+L536+L669</f>
        <v>0</v>
      </c>
      <c r="M802" s="1167" t="e">
        <f t="shared" si="4"/>
        <v>#REF!</v>
      </c>
      <c r="N802" s="1175" t="e">
        <f>+L802+M802</f>
        <v>#REF!</v>
      </c>
      <c r="O802" s="1171" t="e">
        <f>ROUND(N802/I802*10,2)</f>
        <v>#REF!</v>
      </c>
    </row>
    <row r="803" spans="1:15" ht="18" x14ac:dyDescent="0.2">
      <c r="A803" s="1199" t="s">
        <v>151</v>
      </c>
      <c r="B803" s="1159"/>
      <c r="C803" s="1160" t="s">
        <v>38</v>
      </c>
      <c r="D803" s="1161" t="s">
        <v>483</v>
      </c>
      <c r="E803" s="1168">
        <f t="shared" si="3"/>
        <v>208909</v>
      </c>
      <c r="F803" s="1168">
        <f t="shared" si="3"/>
        <v>208909</v>
      </c>
      <c r="G803" s="1168">
        <f t="shared" si="3"/>
        <v>20196</v>
      </c>
      <c r="H803" s="1162" t="s">
        <v>426</v>
      </c>
      <c r="I803" s="1167">
        <f>+I5+I138+I271+I404+I537+I670</f>
        <v>125.34</v>
      </c>
      <c r="J803" s="1212"/>
      <c r="K803" s="1213"/>
      <c r="L803" s="1167" t="e">
        <f t="shared" si="4"/>
        <v>#REF!</v>
      </c>
      <c r="M803" s="1167" t="e">
        <f t="shared" si="4"/>
        <v>#REF!</v>
      </c>
      <c r="N803" s="1167"/>
      <c r="O803" s="1167"/>
    </row>
    <row r="804" spans="1:15" ht="18" x14ac:dyDescent="0.2">
      <c r="A804" s="1199" t="s">
        <v>151</v>
      </c>
      <c r="B804" s="1159"/>
      <c r="C804" s="1160"/>
      <c r="D804" s="1161"/>
      <c r="E804" s="1160"/>
      <c r="F804" s="1160"/>
      <c r="G804" s="1160"/>
      <c r="H804" s="1162" t="s">
        <v>432</v>
      </c>
      <c r="I804" s="1167">
        <f>+I6+I139+I272+I405+I538+I671</f>
        <v>66.730000000000018</v>
      </c>
      <c r="J804" s="1212"/>
      <c r="K804" s="1213"/>
      <c r="L804" s="1208"/>
      <c r="M804" s="1167" t="e">
        <f t="shared" si="4"/>
        <v>#REF!</v>
      </c>
      <c r="N804" s="1167"/>
      <c r="O804" s="1167"/>
    </row>
    <row r="805" spans="1:15" ht="18" x14ac:dyDescent="0.2">
      <c r="A805" s="1199" t="s">
        <v>151</v>
      </c>
      <c r="B805" s="1172"/>
      <c r="C805" s="1173"/>
      <c r="D805" s="1174" t="s">
        <v>486</v>
      </c>
      <c r="E805" s="1173">
        <f>SUM(E803:E804)</f>
        <v>208909</v>
      </c>
      <c r="F805" s="1173">
        <f>SUM(F803:F804)</f>
        <v>208909</v>
      </c>
      <c r="G805" s="1173">
        <f>SUM(G803:G804)</f>
        <v>20196</v>
      </c>
      <c r="H805" s="1173"/>
      <c r="I805" s="1203">
        <f>SUM(I803:I804)</f>
        <v>192.07000000000002</v>
      </c>
      <c r="J805" s="1214"/>
      <c r="K805" s="1215"/>
      <c r="L805" s="1209" t="e">
        <f>SUM(L803:L804)</f>
        <v>#REF!</v>
      </c>
      <c r="M805" s="1175" t="e">
        <f>SUM(M803:M804)</f>
        <v>#REF!</v>
      </c>
      <c r="N805" s="1175" t="e">
        <f>+L805+M805</f>
        <v>#REF!</v>
      </c>
      <c r="O805" s="1171" t="e">
        <f>ROUND(N805/I805*10,2)</f>
        <v>#REF!</v>
      </c>
    </row>
    <row r="806" spans="1:15" ht="18" x14ac:dyDescent="0.2">
      <c r="A806" s="1199" t="s">
        <v>151</v>
      </c>
      <c r="B806" s="1164">
        <v>1</v>
      </c>
      <c r="C806" s="1165" t="s">
        <v>484</v>
      </c>
      <c r="D806" s="1165"/>
      <c r="E806" s="1169">
        <f>+E802+E805</f>
        <v>2872462</v>
      </c>
      <c r="F806" s="1169">
        <f>+F802+F805</f>
        <v>2872462</v>
      </c>
      <c r="G806" s="1169">
        <f>+G802+G805</f>
        <v>248691</v>
      </c>
      <c r="H806" s="1165"/>
      <c r="I806" s="1204">
        <f>+I802+I805</f>
        <v>925.62000000000012</v>
      </c>
      <c r="J806" s="1214"/>
      <c r="K806" s="1215"/>
      <c r="L806" s="1210" t="e">
        <f>+L802+L805</f>
        <v>#REF!</v>
      </c>
      <c r="M806" s="1170" t="e">
        <f>+M802+M805</f>
        <v>#REF!</v>
      </c>
      <c r="N806" s="1170" t="e">
        <f>L806+M806</f>
        <v>#REF!</v>
      </c>
      <c r="O806" s="1170"/>
    </row>
    <row r="807" spans="1:15" ht="18" x14ac:dyDescent="0.2">
      <c r="A807" s="1199" t="s">
        <v>151</v>
      </c>
      <c r="B807" s="1163"/>
      <c r="C807" s="1163"/>
      <c r="D807" s="1163"/>
      <c r="E807" s="1163"/>
      <c r="F807" s="1163"/>
      <c r="G807" s="1163"/>
      <c r="H807" s="1163"/>
      <c r="I807" s="1176"/>
      <c r="J807" s="1212"/>
      <c r="K807" s="1213"/>
      <c r="L807" s="1176"/>
      <c r="M807" s="1176"/>
      <c r="N807" s="1176"/>
      <c r="O807" s="1176"/>
    </row>
    <row r="808" spans="1:15" ht="18" x14ac:dyDescent="0.2">
      <c r="A808" s="1199" t="s">
        <v>151</v>
      </c>
      <c r="B808" s="1159"/>
      <c r="C808" s="1160" t="s">
        <v>485</v>
      </c>
      <c r="D808" s="1160" t="s">
        <v>43</v>
      </c>
      <c r="E808" s="1168">
        <f t="shared" ref="E808:G810" si="5">+E10+E143+E276+E409+E542+E675</f>
        <v>6833323</v>
      </c>
      <c r="F808" s="1168">
        <f t="shared" si="5"/>
        <v>6706578</v>
      </c>
      <c r="G808" s="1168">
        <f t="shared" si="5"/>
        <v>5317562</v>
      </c>
      <c r="H808" s="1162" t="s">
        <v>426</v>
      </c>
      <c r="I808" s="1167">
        <f>+I10+I143+I276+I409+I542+I675</f>
        <v>2739.44</v>
      </c>
      <c r="J808" s="1212"/>
      <c r="K808" s="1213"/>
      <c r="L808" s="1167" t="e">
        <f t="shared" ref="L808:M811" si="6">+L10+L143+L276+L409+L542+L675</f>
        <v>#REF!</v>
      </c>
      <c r="M808" s="1167" t="e">
        <f t="shared" si="6"/>
        <v>#REF!</v>
      </c>
      <c r="N808" s="1167"/>
      <c r="O808" s="1171"/>
    </row>
    <row r="809" spans="1:15" ht="18" x14ac:dyDescent="0.2">
      <c r="A809" s="1199" t="s">
        <v>151</v>
      </c>
      <c r="B809" s="1159"/>
      <c r="C809" s="1160"/>
      <c r="D809" s="1160" t="s">
        <v>451</v>
      </c>
      <c r="E809" s="1168">
        <f t="shared" si="5"/>
        <v>5085467</v>
      </c>
      <c r="F809" s="1168">
        <f t="shared" si="5"/>
        <v>4991235</v>
      </c>
      <c r="G809" s="1168">
        <f t="shared" si="5"/>
        <v>14373484</v>
      </c>
      <c r="H809" s="1162" t="s">
        <v>432</v>
      </c>
      <c r="I809" s="1167">
        <f>+I11+I144+I277+I410+I543+I676</f>
        <v>2889.76</v>
      </c>
      <c r="J809" s="1212"/>
      <c r="K809" s="1213"/>
      <c r="L809" s="1167" t="e">
        <f t="shared" si="6"/>
        <v>#REF!</v>
      </c>
      <c r="M809" s="1167" t="e">
        <f t="shared" si="6"/>
        <v>#REF!</v>
      </c>
      <c r="N809" s="1167"/>
      <c r="O809" s="1167"/>
    </row>
    <row r="810" spans="1:15" ht="18" x14ac:dyDescent="0.2">
      <c r="A810" s="1199" t="s">
        <v>151</v>
      </c>
      <c r="B810" s="1159"/>
      <c r="C810" s="1160"/>
      <c r="D810" s="1160" t="s">
        <v>444</v>
      </c>
      <c r="E810" s="1168">
        <f t="shared" si="5"/>
        <v>1911</v>
      </c>
      <c r="F810" s="1168">
        <f t="shared" si="5"/>
        <v>1873</v>
      </c>
      <c r="G810" s="1168">
        <f t="shared" si="5"/>
        <v>121745</v>
      </c>
      <c r="H810" s="1162" t="s">
        <v>380</v>
      </c>
      <c r="I810" s="1167">
        <f>+I12+I145+I278+I411+I544+I677</f>
        <v>2949.67</v>
      </c>
      <c r="J810" s="1212"/>
      <c r="K810" s="1213"/>
      <c r="L810" s="1167" t="e">
        <f t="shared" si="6"/>
        <v>#REF!</v>
      </c>
      <c r="M810" s="1167" t="e">
        <f t="shared" si="6"/>
        <v>#REF!</v>
      </c>
      <c r="N810" s="1167"/>
      <c r="O810" s="1167"/>
    </row>
    <row r="811" spans="1:15" ht="18" x14ac:dyDescent="0.2">
      <c r="A811" s="1199" t="s">
        <v>151</v>
      </c>
      <c r="B811" s="1159"/>
      <c r="C811" s="1160"/>
      <c r="D811" s="1160"/>
      <c r="E811" s="1160"/>
      <c r="F811" s="1160"/>
      <c r="G811" s="1160"/>
      <c r="H811" s="1162" t="s">
        <v>411</v>
      </c>
      <c r="I811" s="1167">
        <f>+I13+I146+I279+I412+I545+I678</f>
        <v>2405.7599999999993</v>
      </c>
      <c r="J811" s="1212"/>
      <c r="K811" s="1213"/>
      <c r="L811" s="1167">
        <f t="shared" si="6"/>
        <v>0</v>
      </c>
      <c r="M811" s="1167" t="e">
        <f t="shared" si="6"/>
        <v>#REF!</v>
      </c>
      <c r="N811" s="1167"/>
      <c r="O811" s="1167"/>
    </row>
    <row r="812" spans="1:15" ht="18" x14ac:dyDescent="0.2">
      <c r="A812" s="1199" t="s">
        <v>151</v>
      </c>
      <c r="B812" s="1164"/>
      <c r="C812" s="1165"/>
      <c r="D812" s="1166" t="s">
        <v>486</v>
      </c>
      <c r="E812" s="1169">
        <f>SUM(E808:E811)</f>
        <v>11920701</v>
      </c>
      <c r="F812" s="1169">
        <f>SUM(F808:F811)</f>
        <v>11699686</v>
      </c>
      <c r="G812" s="1169">
        <f>SUM(G808:G811)</f>
        <v>19812791</v>
      </c>
      <c r="H812" s="1165"/>
      <c r="I812" s="1170">
        <f>SUM(I808:I811)</f>
        <v>10984.630000000001</v>
      </c>
      <c r="J812" s="1214"/>
      <c r="K812" s="1215"/>
      <c r="L812" s="1170" t="e">
        <f>SUM(L808:L811)</f>
        <v>#REF!</v>
      </c>
      <c r="M812" s="1170" t="e">
        <f>SUM(M808:M811)</f>
        <v>#REF!</v>
      </c>
      <c r="N812" s="1170" t="e">
        <f>L812+M812</f>
        <v>#REF!</v>
      </c>
      <c r="O812" s="1177" t="e">
        <f>ROUND(N812/I812*10,2)</f>
        <v>#REF!</v>
      </c>
    </row>
    <row r="813" spans="1:15" ht="18" x14ac:dyDescent="0.2">
      <c r="A813" s="1199" t="s">
        <v>151</v>
      </c>
      <c r="B813" s="1163"/>
      <c r="C813" s="1163"/>
      <c r="D813" s="1163"/>
      <c r="E813" s="1163"/>
      <c r="F813" s="1163"/>
      <c r="G813" s="1163"/>
      <c r="H813" s="1163"/>
      <c r="I813" s="1176"/>
      <c r="J813" s="1212"/>
      <c r="K813" s="1213"/>
      <c r="L813" s="1176"/>
      <c r="M813" s="1176"/>
      <c r="N813" s="1176"/>
      <c r="O813" s="1176"/>
    </row>
    <row r="814" spans="1:15" ht="18" x14ac:dyDescent="0.2">
      <c r="A814" s="1199" t="s">
        <v>151</v>
      </c>
      <c r="B814" s="1159"/>
      <c r="C814" s="1160" t="s">
        <v>555</v>
      </c>
      <c r="D814" s="1160" t="s">
        <v>43</v>
      </c>
      <c r="E814" s="1168">
        <f t="shared" ref="E814:G816" si="7">+E16+E149+E282+E415+E548+E681</f>
        <v>5803201</v>
      </c>
      <c r="F814" s="1168">
        <f t="shared" si="7"/>
        <v>5698551</v>
      </c>
      <c r="G814" s="1168">
        <f t="shared" si="7"/>
        <v>3765111</v>
      </c>
      <c r="H814" s="1162" t="s">
        <v>426</v>
      </c>
      <c r="I814" s="1167">
        <f>+I16+I149+I282+I415+I548+I681</f>
        <v>1404.3100000000002</v>
      </c>
      <c r="J814" s="1212"/>
      <c r="K814" s="1213"/>
      <c r="L814" s="1167" t="e">
        <f t="shared" ref="L814:M817" si="8">+L16+L149+L282+L415+L548+L681</f>
        <v>#REF!</v>
      </c>
      <c r="M814" s="1167" t="e">
        <f t="shared" si="8"/>
        <v>#REF!</v>
      </c>
      <c r="N814" s="1167"/>
      <c r="O814" s="1167"/>
    </row>
    <row r="815" spans="1:15" ht="18" x14ac:dyDescent="0.2">
      <c r="A815" s="1199" t="s">
        <v>151</v>
      </c>
      <c r="B815" s="1159"/>
      <c r="C815" s="1160"/>
      <c r="D815" s="1160" t="s">
        <v>451</v>
      </c>
      <c r="E815" s="1168">
        <f t="shared" si="7"/>
        <v>1606887</v>
      </c>
      <c r="F815" s="1168">
        <f t="shared" si="7"/>
        <v>1582460</v>
      </c>
      <c r="G815" s="1168">
        <f t="shared" si="7"/>
        <v>3393536</v>
      </c>
      <c r="H815" s="1162" t="s">
        <v>432</v>
      </c>
      <c r="I815" s="1167">
        <f>+I17+I150+I283+I416+I549+I682</f>
        <v>864.8</v>
      </c>
      <c r="J815" s="1212"/>
      <c r="K815" s="1213"/>
      <c r="L815" s="1167" t="e">
        <f t="shared" si="8"/>
        <v>#REF!</v>
      </c>
      <c r="M815" s="1167" t="e">
        <f t="shared" si="8"/>
        <v>#REF!</v>
      </c>
      <c r="N815" s="1167"/>
      <c r="O815" s="1167"/>
    </row>
    <row r="816" spans="1:15" ht="18" x14ac:dyDescent="0.2">
      <c r="A816" s="1199" t="s">
        <v>151</v>
      </c>
      <c r="B816" s="1159"/>
      <c r="C816" s="1160"/>
      <c r="D816" s="1160" t="s">
        <v>444</v>
      </c>
      <c r="E816" s="1168">
        <f t="shared" si="7"/>
        <v>230</v>
      </c>
      <c r="F816" s="1168">
        <f t="shared" si="7"/>
        <v>226</v>
      </c>
      <c r="G816" s="1168">
        <f t="shared" si="7"/>
        <v>14690</v>
      </c>
      <c r="H816" s="1162" t="s">
        <v>380</v>
      </c>
      <c r="I816" s="1167">
        <f>+I18+I151+I284+I417+I550+I683</f>
        <v>541.77</v>
      </c>
      <c r="J816" s="1212"/>
      <c r="K816" s="1213"/>
      <c r="L816" s="1167" t="e">
        <f t="shared" si="8"/>
        <v>#REF!</v>
      </c>
      <c r="M816" s="1167" t="e">
        <f t="shared" si="8"/>
        <v>#REF!</v>
      </c>
      <c r="N816" s="1167"/>
      <c r="O816" s="1167"/>
    </row>
    <row r="817" spans="1:15" ht="18" x14ac:dyDescent="0.2">
      <c r="A817" s="1199" t="s">
        <v>151</v>
      </c>
      <c r="B817" s="1159"/>
      <c r="C817" s="1160"/>
      <c r="D817" s="1160"/>
      <c r="E817" s="1160"/>
      <c r="F817" s="1160"/>
      <c r="G817" s="1160"/>
      <c r="H817" s="1162" t="s">
        <v>411</v>
      </c>
      <c r="I817" s="1167">
        <f>+I19+I152+I285+I418+I551+I684</f>
        <v>327.88000000000045</v>
      </c>
      <c r="J817" s="1212"/>
      <c r="K817" s="1213"/>
      <c r="L817" s="1167">
        <f t="shared" si="8"/>
        <v>0</v>
      </c>
      <c r="M817" s="1167" t="e">
        <f t="shared" si="8"/>
        <v>#REF!</v>
      </c>
      <c r="N817" s="1167"/>
      <c r="O817" s="1167"/>
    </row>
    <row r="818" spans="1:15" ht="18" x14ac:dyDescent="0.2">
      <c r="A818" s="1199" t="s">
        <v>151</v>
      </c>
      <c r="B818" s="1164"/>
      <c r="C818" s="1165"/>
      <c r="D818" s="1166" t="s">
        <v>486</v>
      </c>
      <c r="E818" s="1169">
        <f>SUM(E814:E817)</f>
        <v>7410318</v>
      </c>
      <c r="F818" s="1169">
        <f>SUM(F814:F817)</f>
        <v>7281237</v>
      </c>
      <c r="G818" s="1169">
        <f>SUM(G814:G817)</f>
        <v>7173337</v>
      </c>
      <c r="H818" s="1165"/>
      <c r="I818" s="1170">
        <f>SUM(I814:I817)</f>
        <v>3138.7600000000007</v>
      </c>
      <c r="J818" s="1214"/>
      <c r="K818" s="1215"/>
      <c r="L818" s="1170" t="e">
        <f>SUM(L814:L817)</f>
        <v>#REF!</v>
      </c>
      <c r="M818" s="1170" t="e">
        <f>SUM(M814:M817)</f>
        <v>#REF!</v>
      </c>
      <c r="N818" s="1170" t="e">
        <f>L818+M818</f>
        <v>#REF!</v>
      </c>
      <c r="O818" s="1177" t="e">
        <f>ROUND(N818/I818*10,2)</f>
        <v>#REF!</v>
      </c>
    </row>
    <row r="819" spans="1:15" ht="18" x14ac:dyDescent="0.2">
      <c r="A819" s="1199" t="s">
        <v>151</v>
      </c>
      <c r="B819" s="1164">
        <v>2</v>
      </c>
      <c r="C819" s="1165" t="s">
        <v>490</v>
      </c>
      <c r="D819" s="1165"/>
      <c r="E819" s="1169">
        <f>+E812+E818</f>
        <v>19331019</v>
      </c>
      <c r="F819" s="1169">
        <f>+F812+F818</f>
        <v>18980923</v>
      </c>
      <c r="G819" s="1169">
        <f>+G812+G818</f>
        <v>26986128</v>
      </c>
      <c r="H819" s="1165"/>
      <c r="I819" s="1170">
        <f>+I812+I818</f>
        <v>14123.390000000001</v>
      </c>
      <c r="J819" s="1214"/>
      <c r="K819" s="1215"/>
      <c r="L819" s="1170" t="e">
        <f>+L812+L818</f>
        <v>#REF!</v>
      </c>
      <c r="M819" s="1170" t="e">
        <f>+M812+M818</f>
        <v>#REF!</v>
      </c>
      <c r="N819" s="1170" t="e">
        <f>L819+M819</f>
        <v>#REF!</v>
      </c>
      <c r="O819" s="1177" t="e">
        <f>ROUND(N819/I819*10,2)</f>
        <v>#REF!</v>
      </c>
    </row>
    <row r="820" spans="1:15" ht="18" x14ac:dyDescent="0.2">
      <c r="A820" s="1199" t="s">
        <v>151</v>
      </c>
      <c r="B820" s="1163"/>
      <c r="C820" s="1163"/>
      <c r="D820" s="1163"/>
      <c r="E820" s="1163"/>
      <c r="F820" s="1163"/>
      <c r="G820" s="1163"/>
      <c r="H820" s="1163"/>
      <c r="I820" s="1176"/>
      <c r="J820" s="1212"/>
      <c r="K820" s="1213"/>
      <c r="L820" s="1176"/>
      <c r="M820" s="1176"/>
      <c r="N820" s="1176"/>
      <c r="O820" s="1176"/>
    </row>
    <row r="821" spans="1:15" ht="18" x14ac:dyDescent="0.2">
      <c r="A821" s="1199" t="s">
        <v>151</v>
      </c>
      <c r="B821" s="1159"/>
      <c r="C821" s="1160" t="s">
        <v>491</v>
      </c>
      <c r="D821" s="1160" t="s">
        <v>492</v>
      </c>
      <c r="E821" s="1168">
        <f t="shared" ref="E821:G822" si="9">+E23+E156+E289+E422+E555+E688</f>
        <v>22682</v>
      </c>
      <c r="F821" s="1168">
        <f t="shared" si="9"/>
        <v>22367</v>
      </c>
      <c r="G821" s="1168">
        <f t="shared" si="9"/>
        <v>90257</v>
      </c>
      <c r="H821" s="1162" t="s">
        <v>493</v>
      </c>
      <c r="I821" s="1167">
        <f>+I23+I156+I289+I422+I555+I688</f>
        <v>29.919999999999998</v>
      </c>
      <c r="J821" s="1212"/>
      <c r="K821" s="1213"/>
      <c r="L821" s="1167" t="e">
        <f>+L23+L156+L289+L422+L555+L688</f>
        <v>#REF!</v>
      </c>
      <c r="M821" s="1167" t="e">
        <f>+M23+M156+M289+M422+M555+M688</f>
        <v>#REF!</v>
      </c>
      <c r="N821" s="1167"/>
      <c r="O821" s="1167"/>
    </row>
    <row r="822" spans="1:15" ht="18" x14ac:dyDescent="0.2">
      <c r="A822" s="1199" t="s">
        <v>151</v>
      </c>
      <c r="B822" s="1159"/>
      <c r="C822" s="1160"/>
      <c r="D822" s="1160" t="s">
        <v>444</v>
      </c>
      <c r="E822" s="1168">
        <f t="shared" si="9"/>
        <v>2121</v>
      </c>
      <c r="F822" s="1168">
        <f t="shared" si="9"/>
        <v>2092</v>
      </c>
      <c r="G822" s="1168">
        <f t="shared" si="9"/>
        <v>114407</v>
      </c>
      <c r="H822" s="1162" t="s">
        <v>411</v>
      </c>
      <c r="I822" s="1167">
        <f>+I24+I157+I290+I423+I556+I689</f>
        <v>64.88</v>
      </c>
      <c r="J822" s="1212"/>
      <c r="K822" s="1213"/>
      <c r="L822" s="1167" t="e">
        <f>+L24+L157+L290+L423+L556+L689</f>
        <v>#REF!</v>
      </c>
      <c r="M822" s="1167" t="e">
        <f>+M24+M157+M290+M423+M556+M689</f>
        <v>#REF!</v>
      </c>
      <c r="N822" s="1167"/>
      <c r="O822" s="1167"/>
    </row>
    <row r="823" spans="1:15" ht="18" x14ac:dyDescent="0.2">
      <c r="A823" s="1199" t="s">
        <v>151</v>
      </c>
      <c r="B823" s="1159"/>
      <c r="C823" s="1160"/>
      <c r="D823" s="1160" t="s">
        <v>556</v>
      </c>
      <c r="E823" s="1160"/>
      <c r="F823" s="1160"/>
      <c r="G823" s="1160"/>
      <c r="H823" s="1162"/>
      <c r="I823" s="1202"/>
      <c r="J823" s="1216"/>
      <c r="K823" s="1213"/>
      <c r="L823" s="1208"/>
      <c r="M823" s="1167"/>
      <c r="N823" s="1167"/>
      <c r="O823" s="1167"/>
    </row>
    <row r="824" spans="1:15" ht="18" x14ac:dyDescent="0.2">
      <c r="A824" s="1199" t="s">
        <v>151</v>
      </c>
      <c r="B824" s="1164"/>
      <c r="C824" s="1165"/>
      <c r="D824" s="1166" t="s">
        <v>486</v>
      </c>
      <c r="E824" s="1169">
        <f>SUM(E821:E823)</f>
        <v>24803</v>
      </c>
      <c r="F824" s="1169">
        <f>SUM(F821:F823)</f>
        <v>24459</v>
      </c>
      <c r="G824" s="1169">
        <f>SUM(G821:G823)</f>
        <v>204664</v>
      </c>
      <c r="H824" s="1165"/>
      <c r="I824" s="1170">
        <f>SUM(I821:I823)</f>
        <v>94.8</v>
      </c>
      <c r="J824" s="1214"/>
      <c r="K824" s="1215"/>
      <c r="L824" s="1170" t="e">
        <f>SUM(L821:L823)</f>
        <v>#REF!</v>
      </c>
      <c r="M824" s="1170" t="e">
        <f>SUM(M821:M823)</f>
        <v>#REF!</v>
      </c>
      <c r="N824" s="1170" t="e">
        <f>L824+M824</f>
        <v>#REF!</v>
      </c>
      <c r="O824" s="1177" t="e">
        <f>ROUND(N824/I824*10,2)</f>
        <v>#REF!</v>
      </c>
    </row>
    <row r="825" spans="1:15" ht="18" x14ac:dyDescent="0.2">
      <c r="A825" s="1199" t="s">
        <v>151</v>
      </c>
      <c r="B825" s="1163"/>
      <c r="C825" s="1163"/>
      <c r="D825" s="1163"/>
      <c r="E825" s="1163"/>
      <c r="F825" s="1163"/>
      <c r="G825" s="1163"/>
      <c r="H825" s="1163"/>
      <c r="I825" s="1176"/>
      <c r="J825" s="1212"/>
      <c r="K825" s="1213"/>
      <c r="L825" s="1176"/>
      <c r="M825" s="1176"/>
      <c r="N825" s="1176"/>
      <c r="O825" s="1176"/>
    </row>
    <row r="826" spans="1:15" ht="18" x14ac:dyDescent="0.2">
      <c r="A826" s="1199" t="s">
        <v>151</v>
      </c>
      <c r="B826" s="1159"/>
      <c r="C826" s="1160" t="s">
        <v>554</v>
      </c>
      <c r="D826" s="1160" t="s">
        <v>492</v>
      </c>
      <c r="E826" s="1168">
        <f t="shared" ref="E826:G827" si="10">+E28+E161+E294+E427+E560+E693</f>
        <v>10131</v>
      </c>
      <c r="F826" s="1168">
        <f t="shared" si="10"/>
        <v>9988</v>
      </c>
      <c r="G826" s="1168">
        <f t="shared" si="10"/>
        <v>31902</v>
      </c>
      <c r="H826" s="1162" t="s">
        <v>493</v>
      </c>
      <c r="I826" s="1167">
        <f>+I28+I161+I294+I427+I560+I693</f>
        <v>10.370000000000001</v>
      </c>
      <c r="J826" s="1212"/>
      <c r="K826" s="1213"/>
      <c r="L826" s="1167" t="e">
        <f>+L28+L161+L294+L427+L560+L693</f>
        <v>#REF!</v>
      </c>
      <c r="M826" s="1167" t="e">
        <f>+M28+M161+M294+M427+M560+M693</f>
        <v>#REF!</v>
      </c>
      <c r="N826" s="1167"/>
      <c r="O826" s="1167"/>
    </row>
    <row r="827" spans="1:15" ht="18" x14ac:dyDescent="0.2">
      <c r="A827" s="1199" t="s">
        <v>151</v>
      </c>
      <c r="B827" s="1159"/>
      <c r="C827" s="1160"/>
      <c r="D827" s="1160" t="s">
        <v>444</v>
      </c>
      <c r="E827" s="1168">
        <f t="shared" si="10"/>
        <v>915</v>
      </c>
      <c r="F827" s="1168">
        <f t="shared" si="10"/>
        <v>901</v>
      </c>
      <c r="G827" s="1168">
        <f t="shared" si="10"/>
        <v>46196</v>
      </c>
      <c r="H827" s="1162" t="s">
        <v>411</v>
      </c>
      <c r="I827" s="1167">
        <f>+I29+I162+I295+I428+I561+I694</f>
        <v>14.010000000000009</v>
      </c>
      <c r="J827" s="1212"/>
      <c r="K827" s="1213"/>
      <c r="L827" s="1167" t="e">
        <f>+L29+L162+L295+L428+L561+L694</f>
        <v>#REF!</v>
      </c>
      <c r="M827" s="1167" t="e">
        <f>+M29+M162+M295+M428+M561+M694</f>
        <v>#REF!</v>
      </c>
      <c r="N827" s="1167"/>
      <c r="O827" s="1167"/>
    </row>
    <row r="828" spans="1:15" ht="18" x14ac:dyDescent="0.2">
      <c r="A828" s="1199" t="s">
        <v>151</v>
      </c>
      <c r="B828" s="1159"/>
      <c r="C828" s="1160"/>
      <c r="D828" s="1160" t="s">
        <v>556</v>
      </c>
      <c r="E828" s="1160"/>
      <c r="F828" s="1160"/>
      <c r="G828" s="1160"/>
      <c r="H828" s="1162"/>
      <c r="I828" s="1202"/>
      <c r="J828" s="1216"/>
      <c r="K828" s="1213"/>
      <c r="L828" s="1208"/>
      <c r="M828" s="1167"/>
      <c r="N828" s="1167"/>
      <c r="O828" s="1167"/>
    </row>
    <row r="829" spans="1:15" ht="18" x14ac:dyDescent="0.2">
      <c r="A829" s="1199" t="s">
        <v>151</v>
      </c>
      <c r="B829" s="1164"/>
      <c r="C829" s="1165"/>
      <c r="D829" s="1166" t="s">
        <v>486</v>
      </c>
      <c r="E829" s="1169">
        <f>SUM(E826:E828)</f>
        <v>11046</v>
      </c>
      <c r="F829" s="1169">
        <f>SUM(F826:F828)</f>
        <v>10889</v>
      </c>
      <c r="G829" s="1169">
        <f>SUM(G826:G828)</f>
        <v>78098</v>
      </c>
      <c r="H829" s="1165"/>
      <c r="I829" s="1210">
        <f>SUM(I826:I827)</f>
        <v>24.38000000000001</v>
      </c>
      <c r="J829" s="1214"/>
      <c r="K829" s="1215"/>
      <c r="L829" s="1210" t="e">
        <f>SUM(L826:L827)</f>
        <v>#REF!</v>
      </c>
      <c r="M829" s="1170" t="e">
        <f>SUM(M826:M827)</f>
        <v>#REF!</v>
      </c>
      <c r="N829" s="1170" t="e">
        <f>L829+M829</f>
        <v>#REF!</v>
      </c>
      <c r="O829" s="1177" t="e">
        <f>ROUND(N829/I829*10,2)</f>
        <v>#REF!</v>
      </c>
    </row>
    <row r="830" spans="1:15" ht="18" x14ac:dyDescent="0.2">
      <c r="A830" s="1199" t="s">
        <v>151</v>
      </c>
      <c r="B830" s="1164">
        <v>3</v>
      </c>
      <c r="C830" s="1165" t="s">
        <v>553</v>
      </c>
      <c r="D830" s="1165"/>
      <c r="E830" s="1169">
        <f>+E824+E829</f>
        <v>35849</v>
      </c>
      <c r="F830" s="1169">
        <f>+F824+F829</f>
        <v>35348</v>
      </c>
      <c r="G830" s="1169">
        <f>+G824+G829</f>
        <v>282762</v>
      </c>
      <c r="H830" s="1165"/>
      <c r="I830" s="1210">
        <f>I824+I829</f>
        <v>119.18</v>
      </c>
      <c r="J830" s="1214"/>
      <c r="K830" s="1215"/>
      <c r="L830" s="1210" t="e">
        <f>L824+L829</f>
        <v>#REF!</v>
      </c>
      <c r="M830" s="1210" t="e">
        <f>M824+M829</f>
        <v>#REF!</v>
      </c>
      <c r="N830" s="1170" t="e">
        <f>L830+M830</f>
        <v>#REF!</v>
      </c>
      <c r="O830" s="1177" t="e">
        <f>ROUND(N830/I830*10,2)</f>
        <v>#REF!</v>
      </c>
    </row>
    <row r="831" spans="1:15" ht="18" x14ac:dyDescent="0.2">
      <c r="A831" s="1199" t="s">
        <v>151</v>
      </c>
      <c r="B831" s="1163"/>
      <c r="C831" s="1163"/>
      <c r="D831" s="1163"/>
      <c r="E831" s="1163"/>
      <c r="F831" s="1163"/>
      <c r="G831" s="1163"/>
      <c r="H831" s="1163"/>
      <c r="I831" s="1176"/>
      <c r="J831" s="1212"/>
      <c r="K831" s="1213"/>
      <c r="L831" s="1176"/>
      <c r="M831" s="1176"/>
      <c r="N831" s="1176"/>
      <c r="O831" s="1176"/>
    </row>
    <row r="832" spans="1:15" ht="18" x14ac:dyDescent="0.2">
      <c r="A832" s="1199" t="s">
        <v>151</v>
      </c>
      <c r="B832" s="1159"/>
      <c r="C832" s="1160" t="s">
        <v>69</v>
      </c>
      <c r="D832" s="1160" t="s">
        <v>492</v>
      </c>
      <c r="E832" s="1168">
        <f t="shared" ref="E832:G833" si="11">+E34+E167+E300+E433+E566+E699</f>
        <v>2079939</v>
      </c>
      <c r="F832" s="1168">
        <f t="shared" si="11"/>
        <v>2063119</v>
      </c>
      <c r="G832" s="1168">
        <f t="shared" si="11"/>
        <v>4760273</v>
      </c>
      <c r="H832" s="1162" t="s">
        <v>426</v>
      </c>
      <c r="I832" s="1167">
        <f>+I34+I167+I300+I433+I566+I699</f>
        <v>694.62</v>
      </c>
      <c r="J832" s="1212"/>
      <c r="K832" s="1213"/>
      <c r="L832" s="1167" t="e">
        <f>+L34+L167+L300+L433+L566+L699</f>
        <v>#REF!</v>
      </c>
      <c r="M832" s="1167" t="e">
        <f>+M34+M167+M300+M433+M566+M699</f>
        <v>#REF!</v>
      </c>
      <c r="N832" s="1167"/>
      <c r="O832" s="1167"/>
    </row>
    <row r="833" spans="1:15" ht="18" x14ac:dyDescent="0.2">
      <c r="A833" s="1199" t="s">
        <v>151</v>
      </c>
      <c r="B833" s="1159"/>
      <c r="C833" s="1160"/>
      <c r="D833" s="1160" t="s">
        <v>444</v>
      </c>
      <c r="E833" s="1168">
        <f t="shared" si="11"/>
        <v>2132</v>
      </c>
      <c r="F833" s="1168">
        <f t="shared" si="11"/>
        <v>2100</v>
      </c>
      <c r="G833" s="1168">
        <f t="shared" si="11"/>
        <v>218925</v>
      </c>
      <c r="H833" s="1162" t="s">
        <v>558</v>
      </c>
      <c r="I833" s="1167">
        <f>+I35+I168+I301+I434+I567+I700</f>
        <v>2560.0400000000004</v>
      </c>
      <c r="J833" s="1212"/>
      <c r="K833" s="1213"/>
      <c r="L833" s="1167" t="e">
        <f>+L35+L168+L301+L434+L567+L700</f>
        <v>#REF!</v>
      </c>
      <c r="M833" s="1167" t="e">
        <f>+M35+M168+M301+M434+M567+M700</f>
        <v>#REF!</v>
      </c>
      <c r="N833" s="1167"/>
      <c r="O833" s="1167"/>
    </row>
    <row r="834" spans="1:15" ht="18" x14ac:dyDescent="0.2">
      <c r="A834" s="1199" t="s">
        <v>151</v>
      </c>
      <c r="B834" s="1164"/>
      <c r="C834" s="1165"/>
      <c r="D834" s="1166" t="s">
        <v>486</v>
      </c>
      <c r="E834" s="1169">
        <f>SUM(E832:E833)</f>
        <v>2082071</v>
      </c>
      <c r="F834" s="1169">
        <f>SUM(F832:F833)</f>
        <v>2065219</v>
      </c>
      <c r="G834" s="1169">
        <f>SUM(G832:G833)</f>
        <v>4979198</v>
      </c>
      <c r="H834" s="1165"/>
      <c r="I834" s="1210">
        <f>SUM(I832:I833)</f>
        <v>3254.6600000000003</v>
      </c>
      <c r="J834" s="1214"/>
      <c r="K834" s="1215"/>
      <c r="L834" s="1210" t="e">
        <f>SUM(L832:L833)</f>
        <v>#REF!</v>
      </c>
      <c r="M834" s="1210" t="e">
        <f>SUM(M832:M833)</f>
        <v>#REF!</v>
      </c>
      <c r="N834" s="1170" t="e">
        <f>L834+M834</f>
        <v>#REF!</v>
      </c>
      <c r="O834" s="1177" t="e">
        <f>ROUND(N834/I834*10,2)</f>
        <v>#REF!</v>
      </c>
    </row>
    <row r="835" spans="1:15" ht="18" x14ac:dyDescent="0.2">
      <c r="A835" s="1199" t="s">
        <v>151</v>
      </c>
      <c r="B835" s="1163"/>
      <c r="C835" s="1163"/>
      <c r="D835" s="1163"/>
      <c r="E835" s="1163"/>
      <c r="F835" s="1163"/>
      <c r="G835" s="1163"/>
      <c r="H835" s="1163"/>
      <c r="I835" s="1176"/>
      <c r="J835" s="1212"/>
      <c r="K835" s="1213"/>
      <c r="L835" s="1176"/>
      <c r="M835" s="1176"/>
      <c r="N835" s="1176"/>
      <c r="O835" s="1176"/>
    </row>
    <row r="836" spans="1:15" ht="18" x14ac:dyDescent="0.2">
      <c r="A836" s="1199" t="s">
        <v>151</v>
      </c>
      <c r="B836" s="1159"/>
      <c r="C836" s="1160" t="s">
        <v>76</v>
      </c>
      <c r="D836" s="1160" t="s">
        <v>492</v>
      </c>
      <c r="E836" s="1168">
        <f t="shared" ref="E836:G837" si="12">+E38+E171+E304+E437+E570+E703</f>
        <v>642007</v>
      </c>
      <c r="F836" s="1168">
        <f t="shared" si="12"/>
        <v>606793</v>
      </c>
      <c r="G836" s="1168">
        <f t="shared" si="12"/>
        <v>997605</v>
      </c>
      <c r="H836" s="1162" t="s">
        <v>426</v>
      </c>
      <c r="I836" s="1167">
        <f>+I38+I171+I304+I437+I570+I703</f>
        <v>166.81</v>
      </c>
      <c r="J836" s="1212"/>
      <c r="K836" s="1213"/>
      <c r="L836" s="1167" t="e">
        <f>+L38+L171+L304+L437+L570+L703</f>
        <v>#REF!</v>
      </c>
      <c r="M836" s="1167" t="e">
        <f>+M38+M171+M304+M437+M570+M703</f>
        <v>#REF!</v>
      </c>
      <c r="N836" s="1167"/>
      <c r="O836" s="1167"/>
    </row>
    <row r="837" spans="1:15" ht="18" x14ac:dyDescent="0.2">
      <c r="A837" s="1199" t="s">
        <v>151</v>
      </c>
      <c r="B837" s="1159"/>
      <c r="C837" s="1160"/>
      <c r="D837" s="1160" t="s">
        <v>444</v>
      </c>
      <c r="E837" s="1168">
        <f t="shared" si="12"/>
        <v>167</v>
      </c>
      <c r="F837" s="1168">
        <f t="shared" si="12"/>
        <v>175</v>
      </c>
      <c r="G837" s="1168">
        <f t="shared" si="12"/>
        <v>8993</v>
      </c>
      <c r="H837" s="1162" t="s">
        <v>558</v>
      </c>
      <c r="I837" s="1167">
        <f>+I39+I172+I305+I438+I571+I704</f>
        <v>682.36999999999989</v>
      </c>
      <c r="J837" s="1212"/>
      <c r="K837" s="1213"/>
      <c r="L837" s="1167" t="e">
        <f>+L39+L172+L305+L438+L571+L704</f>
        <v>#REF!</v>
      </c>
      <c r="M837" s="1167" t="e">
        <f>+M39+M172+M305+M438+M571+M704</f>
        <v>#REF!</v>
      </c>
      <c r="N837" s="1167"/>
      <c r="O837" s="1167"/>
    </row>
    <row r="838" spans="1:15" ht="18" x14ac:dyDescent="0.2">
      <c r="A838" s="1199" t="s">
        <v>151</v>
      </c>
      <c r="B838" s="1164"/>
      <c r="C838" s="1165"/>
      <c r="D838" s="1166" t="s">
        <v>486</v>
      </c>
      <c r="E838" s="1169">
        <f>SUM(E836:E837)</f>
        <v>642174</v>
      </c>
      <c r="F838" s="1169">
        <f>SUM(F836:F837)</f>
        <v>606968</v>
      </c>
      <c r="G838" s="1169">
        <f>SUM(G836:G837)</f>
        <v>1006598</v>
      </c>
      <c r="H838" s="1165"/>
      <c r="I838" s="1210">
        <f>SUM(I836:I837)</f>
        <v>849.17999999999984</v>
      </c>
      <c r="J838" s="1214"/>
      <c r="K838" s="1215"/>
      <c r="L838" s="1210" t="e">
        <f>SUM(L836:L837)</f>
        <v>#REF!</v>
      </c>
      <c r="M838" s="1210" t="e">
        <f>SUM(M836:M837)</f>
        <v>#REF!</v>
      </c>
      <c r="N838" s="1170" t="e">
        <f>L838+M838</f>
        <v>#REF!</v>
      </c>
      <c r="O838" s="1177" t="e">
        <f>ROUND(N838/I838*10,2)</f>
        <v>#REF!</v>
      </c>
    </row>
    <row r="839" spans="1:15" ht="18" x14ac:dyDescent="0.2">
      <c r="A839" s="1199" t="s">
        <v>151</v>
      </c>
      <c r="B839" s="1164">
        <v>4</v>
      </c>
      <c r="C839" s="1165" t="s">
        <v>557</v>
      </c>
      <c r="D839" s="1165"/>
      <c r="E839" s="1169">
        <f>+E834+E838</f>
        <v>2724245</v>
      </c>
      <c r="F839" s="1169">
        <f>+F834+F838</f>
        <v>2672187</v>
      </c>
      <c r="G839" s="1169">
        <f>+G834+G838</f>
        <v>5985796</v>
      </c>
      <c r="H839" s="1165"/>
      <c r="I839" s="1170">
        <f>+I834+I838</f>
        <v>4103.84</v>
      </c>
      <c r="J839" s="1214"/>
      <c r="K839" s="1215"/>
      <c r="L839" s="1170" t="e">
        <f>+L834+L838</f>
        <v>#REF!</v>
      </c>
      <c r="M839" s="1170" t="e">
        <f>+M834+M838</f>
        <v>#REF!</v>
      </c>
      <c r="N839" s="1170" t="e">
        <f>L839+M839</f>
        <v>#REF!</v>
      </c>
      <c r="O839" s="1177" t="e">
        <f>ROUND(N839/I839*10,2)</f>
        <v>#REF!</v>
      </c>
    </row>
    <row r="840" spans="1:15" ht="18" x14ac:dyDescent="0.2">
      <c r="A840" s="1199" t="s">
        <v>151</v>
      </c>
      <c r="B840" s="1163"/>
      <c r="C840" s="1163"/>
      <c r="D840" s="1163"/>
      <c r="E840" s="1163"/>
      <c r="F840" s="1163"/>
      <c r="G840" s="1163"/>
      <c r="H840" s="1163"/>
      <c r="I840" s="1176"/>
      <c r="J840" s="1212"/>
      <c r="K840" s="1213"/>
      <c r="L840" s="1176"/>
      <c r="M840" s="1176"/>
      <c r="N840" s="1176"/>
      <c r="O840" s="1176"/>
    </row>
    <row r="841" spans="1:15" ht="18" x14ac:dyDescent="0.2">
      <c r="A841" s="1199" t="s">
        <v>151</v>
      </c>
      <c r="B841" s="1159"/>
      <c r="C841" s="1160" t="s">
        <v>559</v>
      </c>
      <c r="D841" s="1160" t="s">
        <v>560</v>
      </c>
      <c r="E841" s="1168">
        <f t="shared" ref="E841:G843" si="13">+E43+E176+E309+E442+E575+E708</f>
        <v>3451304</v>
      </c>
      <c r="F841" s="1168">
        <f t="shared" si="13"/>
        <v>3410924</v>
      </c>
      <c r="G841" s="1168">
        <f t="shared" si="13"/>
        <v>20044155</v>
      </c>
      <c r="H841" s="1162" t="s">
        <v>561</v>
      </c>
      <c r="I841" s="1167">
        <f>+I43+I176+I309+I442+I575+I708</f>
        <v>21615.02</v>
      </c>
      <c r="J841" s="1212"/>
      <c r="K841" s="1213"/>
      <c r="L841" s="1167">
        <f t="shared" ref="L841:M843" si="14">+L43+L176+L309+L442+L575+L708</f>
        <v>0</v>
      </c>
      <c r="M841" s="1167" t="e">
        <f t="shared" si="14"/>
        <v>#REF!</v>
      </c>
      <c r="N841" s="1167" t="e">
        <f>L841+M841</f>
        <v>#REF!</v>
      </c>
      <c r="O841" s="1192" t="e">
        <f>ROUND(N841/I841*10,2)</f>
        <v>#REF!</v>
      </c>
    </row>
    <row r="842" spans="1:15" ht="18" x14ac:dyDescent="0.2">
      <c r="A842" s="1199" t="s">
        <v>151</v>
      </c>
      <c r="B842" s="1159"/>
      <c r="C842" s="1160" t="s">
        <v>562</v>
      </c>
      <c r="D842" s="1160" t="s">
        <v>563</v>
      </c>
      <c r="E842" s="1168">
        <f t="shared" si="13"/>
        <v>4382</v>
      </c>
      <c r="F842" s="1168">
        <f t="shared" si="13"/>
        <v>4322</v>
      </c>
      <c r="G842" s="1168">
        <f t="shared" si="13"/>
        <v>79394</v>
      </c>
      <c r="H842" s="1162" t="s">
        <v>561</v>
      </c>
      <c r="I842" s="1167">
        <f>+I44+I177+I310+I443+I576+I709</f>
        <v>26.34</v>
      </c>
      <c r="J842" s="1212"/>
      <c r="K842" s="1213"/>
      <c r="L842" s="1167" t="e">
        <f t="shared" si="14"/>
        <v>#REF!</v>
      </c>
      <c r="M842" s="1167" t="e">
        <f t="shared" si="14"/>
        <v>#REF!</v>
      </c>
      <c r="N842" s="1167" t="e">
        <f>L842+M842</f>
        <v>#REF!</v>
      </c>
      <c r="O842" s="1192" t="e">
        <f>ROUND(N842/I842*10,2)</f>
        <v>#REF!</v>
      </c>
    </row>
    <row r="843" spans="1:15" ht="18" x14ac:dyDescent="0.2">
      <c r="A843" s="1199" t="s">
        <v>151</v>
      </c>
      <c r="B843" s="1159"/>
      <c r="C843" s="1160" t="s">
        <v>564</v>
      </c>
      <c r="D843" s="1160" t="s">
        <v>565</v>
      </c>
      <c r="E843" s="1168">
        <f t="shared" si="13"/>
        <v>22193</v>
      </c>
      <c r="F843" s="1168">
        <f t="shared" si="13"/>
        <v>21329</v>
      </c>
      <c r="G843" s="1168">
        <f t="shared" si="13"/>
        <v>164185</v>
      </c>
      <c r="H843" s="1162" t="s">
        <v>561</v>
      </c>
      <c r="I843" s="1167">
        <f>+I45+I178+I311+I444+I577+I710</f>
        <v>42.310999999999993</v>
      </c>
      <c r="J843" s="1212"/>
      <c r="K843" s="1213"/>
      <c r="L843" s="1167" t="e">
        <f t="shared" si="14"/>
        <v>#REF!</v>
      </c>
      <c r="M843" s="1167" t="e">
        <f t="shared" si="14"/>
        <v>#REF!</v>
      </c>
      <c r="N843" s="1167" t="e">
        <f>L843+M843</f>
        <v>#REF!</v>
      </c>
      <c r="O843" s="1192" t="e">
        <f>ROUND(N843/I843*10,2)</f>
        <v>#REF!</v>
      </c>
    </row>
    <row r="844" spans="1:15" ht="18" x14ac:dyDescent="0.2">
      <c r="A844" s="1199" t="s">
        <v>151</v>
      </c>
      <c r="B844" s="1164">
        <v>5</v>
      </c>
      <c r="C844" s="1165" t="s">
        <v>566</v>
      </c>
      <c r="D844" s="1165"/>
      <c r="E844" s="1169">
        <f>SUM(E841:E843)</f>
        <v>3477879</v>
      </c>
      <c r="F844" s="1169">
        <f>SUM(F841:F843)</f>
        <v>3436575</v>
      </c>
      <c r="G844" s="1169">
        <f>SUM(G841:G843)</f>
        <v>20287734</v>
      </c>
      <c r="H844" s="1165"/>
      <c r="I844" s="1204">
        <f>SUM(I841:I843)</f>
        <v>21683.671000000002</v>
      </c>
      <c r="J844" s="1214"/>
      <c r="K844" s="1215"/>
      <c r="L844" s="1210" t="e">
        <f>SUM(L841:L843)</f>
        <v>#REF!</v>
      </c>
      <c r="M844" s="1170" t="e">
        <f>SUM(M841:M843)</f>
        <v>#REF!</v>
      </c>
      <c r="N844" s="1170" t="e">
        <f>SUM(N841:N843)</f>
        <v>#REF!</v>
      </c>
      <c r="O844" s="1177" t="e">
        <f>ROUND(N844/I844*10,2)</f>
        <v>#REF!</v>
      </c>
    </row>
    <row r="845" spans="1:15" ht="18" x14ac:dyDescent="0.2">
      <c r="A845" s="1199" t="s">
        <v>151</v>
      </c>
      <c r="B845" s="1163"/>
      <c r="C845" s="1163"/>
      <c r="D845" s="1163"/>
      <c r="E845" s="1163"/>
      <c r="F845" s="1163"/>
      <c r="G845" s="1163"/>
      <c r="H845" s="1163"/>
      <c r="I845" s="1176"/>
      <c r="J845" s="1212"/>
      <c r="K845" s="1213"/>
      <c r="L845" s="1176"/>
      <c r="M845" s="1176"/>
      <c r="N845" s="1176"/>
      <c r="O845" s="1176"/>
    </row>
    <row r="846" spans="1:15" ht="18" x14ac:dyDescent="0.2">
      <c r="A846" s="1199" t="s">
        <v>151</v>
      </c>
      <c r="B846" s="1159"/>
      <c r="C846" s="1160" t="s">
        <v>9</v>
      </c>
      <c r="D846" s="1160" t="s">
        <v>568</v>
      </c>
      <c r="E846" s="1168">
        <f t="shared" ref="E846:G850" si="15">+E48+E181+E314+E447+E580+E713</f>
        <v>86327</v>
      </c>
      <c r="F846" s="1168">
        <f t="shared" si="15"/>
        <v>84758</v>
      </c>
      <c r="G846" s="1168">
        <f t="shared" si="15"/>
        <v>260095</v>
      </c>
      <c r="H846" s="1162" t="s">
        <v>573</v>
      </c>
      <c r="I846" s="1167">
        <f>+I48+I181+I314+I447+I580+I713</f>
        <v>323.86999999999995</v>
      </c>
      <c r="J846" s="1212"/>
      <c r="K846" s="1213"/>
      <c r="L846" s="1167" t="e">
        <f t="shared" ref="L846:M848" si="16">+L48+L181+L314+L447+L580+L713</f>
        <v>#REF!</v>
      </c>
      <c r="M846" s="1167" t="e">
        <f t="shared" si="16"/>
        <v>#REF!</v>
      </c>
      <c r="N846" s="1167"/>
      <c r="O846" s="1167"/>
    </row>
    <row r="847" spans="1:15" ht="18" x14ac:dyDescent="0.2">
      <c r="A847" s="1199" t="s">
        <v>151</v>
      </c>
      <c r="B847" s="1159"/>
      <c r="C847" s="1160"/>
      <c r="D847" s="1160" t="s">
        <v>569</v>
      </c>
      <c r="E847" s="1168">
        <f t="shared" si="15"/>
        <v>114550</v>
      </c>
      <c r="F847" s="1168">
        <f t="shared" si="15"/>
        <v>112520</v>
      </c>
      <c r="G847" s="1168">
        <f t="shared" si="15"/>
        <v>1385061</v>
      </c>
      <c r="H847" s="1162" t="s">
        <v>574</v>
      </c>
      <c r="I847" s="1167">
        <f>+I49+I182+I315+I448+I581+I714</f>
        <v>856.58</v>
      </c>
      <c r="J847" s="1212"/>
      <c r="K847" s="1213"/>
      <c r="L847" s="1167" t="e">
        <f>+L49+L182+L315+L448+L581+L714</f>
        <v>#REF!</v>
      </c>
      <c r="M847" s="1167" t="e">
        <f t="shared" si="16"/>
        <v>#REF!</v>
      </c>
      <c r="N847" s="1167"/>
      <c r="O847" s="1167"/>
    </row>
    <row r="848" spans="1:15" ht="18" x14ac:dyDescent="0.2">
      <c r="A848" s="1199" t="s">
        <v>151</v>
      </c>
      <c r="B848" s="1159"/>
      <c r="C848" s="1160"/>
      <c r="D848" s="1160" t="s">
        <v>570</v>
      </c>
      <c r="E848" s="1168">
        <f t="shared" si="15"/>
        <v>20905</v>
      </c>
      <c r="F848" s="1168">
        <f t="shared" si="15"/>
        <v>20536</v>
      </c>
      <c r="G848" s="1168">
        <f t="shared" si="15"/>
        <v>1002474</v>
      </c>
      <c r="H848" s="1162" t="s">
        <v>575</v>
      </c>
      <c r="I848" s="1167">
        <f>+I50+I183+I316+I449+I582+I715</f>
        <v>93.570000000000007</v>
      </c>
      <c r="J848" s="1212"/>
      <c r="K848" s="1213"/>
      <c r="L848" s="1167" t="e">
        <f>+L50+L183+L316+L449+L582+L715</f>
        <v>#REF!</v>
      </c>
      <c r="M848" s="1167" t="e">
        <f t="shared" si="16"/>
        <v>#REF!</v>
      </c>
      <c r="N848" s="1167"/>
      <c r="O848" s="1167"/>
    </row>
    <row r="849" spans="1:15" ht="18" x14ac:dyDescent="0.2">
      <c r="A849" s="1199" t="s">
        <v>151</v>
      </c>
      <c r="B849" s="1159"/>
      <c r="C849" s="1160"/>
      <c r="D849" s="1160" t="s">
        <v>571</v>
      </c>
      <c r="E849" s="1168">
        <f t="shared" si="15"/>
        <v>3630</v>
      </c>
      <c r="F849" s="1168">
        <f t="shared" si="15"/>
        <v>3564</v>
      </c>
      <c r="G849" s="1168">
        <f t="shared" si="15"/>
        <v>289263</v>
      </c>
      <c r="H849" s="1162"/>
      <c r="I849" s="1202"/>
      <c r="J849" s="1212"/>
      <c r="K849" s="1213"/>
      <c r="L849" s="1167" t="e">
        <f>+L51+L184+L317+L450+L583+L716</f>
        <v>#REF!</v>
      </c>
      <c r="M849" s="1167"/>
      <c r="N849" s="1167"/>
      <c r="O849" s="1167"/>
    </row>
    <row r="850" spans="1:15" ht="18" x14ac:dyDescent="0.2">
      <c r="A850" s="1199" t="s">
        <v>151</v>
      </c>
      <c r="B850" s="1159"/>
      <c r="C850" s="1160"/>
      <c r="D850" s="1160" t="s">
        <v>572</v>
      </c>
      <c r="E850" s="1168">
        <f t="shared" si="15"/>
        <v>18</v>
      </c>
      <c r="F850" s="1168">
        <f t="shared" si="15"/>
        <v>19</v>
      </c>
      <c r="G850" s="1168">
        <f t="shared" si="15"/>
        <v>2892</v>
      </c>
      <c r="H850" s="1162"/>
      <c r="I850" s="1202"/>
      <c r="J850" s="1212"/>
      <c r="K850" s="1213"/>
      <c r="L850" s="1167" t="e">
        <f>+L52+L185+L318+L451+L584+L717</f>
        <v>#REF!</v>
      </c>
      <c r="M850" s="1167"/>
      <c r="N850" s="1167"/>
      <c r="O850" s="1167"/>
    </row>
    <row r="851" spans="1:15" ht="18" x14ac:dyDescent="0.2">
      <c r="A851" s="1199" t="s">
        <v>151</v>
      </c>
      <c r="B851" s="1164"/>
      <c r="C851" s="1165"/>
      <c r="D851" s="1166" t="s">
        <v>486</v>
      </c>
      <c r="E851" s="1169">
        <f>SUM(E846:E850)</f>
        <v>225430</v>
      </c>
      <c r="F851" s="1169">
        <f>SUM(F846:F850)</f>
        <v>221397</v>
      </c>
      <c r="G851" s="1169">
        <f>SUM(G846:G850)</f>
        <v>2939785</v>
      </c>
      <c r="H851" s="1165"/>
      <c r="I851" s="1170">
        <f>SUM(I846:I850)</f>
        <v>1274.02</v>
      </c>
      <c r="J851" s="1214"/>
      <c r="K851" s="1215"/>
      <c r="L851" s="1170" t="e">
        <f>SUM(L846:L850)</f>
        <v>#REF!</v>
      </c>
      <c r="M851" s="1170" t="e">
        <f>SUM(M846:M850)</f>
        <v>#REF!</v>
      </c>
      <c r="N851" s="1170" t="e">
        <f>L851+M851</f>
        <v>#REF!</v>
      </c>
      <c r="O851" s="1177" t="e">
        <f>ROUND(N851/I851*10,2)</f>
        <v>#REF!</v>
      </c>
    </row>
    <row r="852" spans="1:15" ht="18" x14ac:dyDescent="0.2">
      <c r="A852" s="1199" t="s">
        <v>151</v>
      </c>
      <c r="B852" s="1163"/>
      <c r="C852" s="1163"/>
      <c r="D852" s="1163"/>
      <c r="E852" s="1163"/>
      <c r="F852" s="1163"/>
      <c r="G852" s="1163"/>
      <c r="H852" s="1163"/>
      <c r="I852" s="1176"/>
      <c r="J852" s="1212"/>
      <c r="K852" s="1213"/>
      <c r="L852" s="1176"/>
      <c r="M852" s="1176"/>
      <c r="N852" s="1176"/>
      <c r="O852" s="1176"/>
    </row>
    <row r="853" spans="1:15" ht="18" x14ac:dyDescent="0.2">
      <c r="A853" s="1199" t="s">
        <v>151</v>
      </c>
      <c r="B853" s="1159"/>
      <c r="C853" s="1160" t="s">
        <v>11</v>
      </c>
      <c r="D853" s="1160" t="s">
        <v>568</v>
      </c>
      <c r="E853" s="1168">
        <f t="shared" ref="E853:G857" si="17">+E55+E188+E321+E454+E587+E720</f>
        <v>184356</v>
      </c>
      <c r="F853" s="1168">
        <f t="shared" si="17"/>
        <v>180910</v>
      </c>
      <c r="G853" s="1168">
        <f t="shared" si="17"/>
        <v>401318</v>
      </c>
      <c r="H853" s="1162" t="s">
        <v>573</v>
      </c>
      <c r="I853" s="1167">
        <f>+I55+I188+I321+I454+I587+I720</f>
        <v>332.00000000000006</v>
      </c>
      <c r="J853" s="1212"/>
      <c r="K853" s="1213"/>
      <c r="L853" s="1167" t="e">
        <f t="shared" ref="L853:M857" si="18">+L55+L188+L321+L454+L587+L720</f>
        <v>#REF!</v>
      </c>
      <c r="M853" s="1167" t="e">
        <f t="shared" si="18"/>
        <v>#REF!</v>
      </c>
      <c r="N853" s="1167"/>
      <c r="O853" s="1167"/>
    </row>
    <row r="854" spans="1:15" ht="18" x14ac:dyDescent="0.2">
      <c r="A854" s="1199" t="s">
        <v>151</v>
      </c>
      <c r="B854" s="1159"/>
      <c r="C854" s="1160"/>
      <c r="D854" s="1160" t="s">
        <v>569</v>
      </c>
      <c r="E854" s="1168">
        <f t="shared" si="17"/>
        <v>133057</v>
      </c>
      <c r="F854" s="1168">
        <f t="shared" si="17"/>
        <v>130554</v>
      </c>
      <c r="G854" s="1168">
        <f t="shared" si="17"/>
        <v>1585611</v>
      </c>
      <c r="H854" s="1162" t="s">
        <v>574</v>
      </c>
      <c r="I854" s="1167">
        <f>+I56+I189+I322+I455+I588+I721</f>
        <v>242.92000000000002</v>
      </c>
      <c r="J854" s="1212"/>
      <c r="K854" s="1213"/>
      <c r="L854" s="1167" t="e">
        <f t="shared" si="18"/>
        <v>#REF!</v>
      </c>
      <c r="M854" s="1167" t="e">
        <f t="shared" si="18"/>
        <v>#REF!</v>
      </c>
      <c r="N854" s="1167"/>
      <c r="O854" s="1167"/>
    </row>
    <row r="855" spans="1:15" ht="18" x14ac:dyDescent="0.2">
      <c r="A855" s="1199" t="s">
        <v>151</v>
      </c>
      <c r="B855" s="1159"/>
      <c r="C855" s="1160"/>
      <c r="D855" s="1160" t="s">
        <v>570</v>
      </c>
      <c r="E855" s="1168">
        <f t="shared" si="17"/>
        <v>20742</v>
      </c>
      <c r="F855" s="1168">
        <f t="shared" si="17"/>
        <v>20352</v>
      </c>
      <c r="G855" s="1168">
        <f t="shared" si="17"/>
        <v>1030043</v>
      </c>
      <c r="H855" s="1162" t="s">
        <v>575</v>
      </c>
      <c r="I855" s="1167">
        <f>+I57+I190+I323+I456+I589+I722</f>
        <v>398.38999999999987</v>
      </c>
      <c r="J855" s="1212"/>
      <c r="K855" s="1213"/>
      <c r="L855" s="1167" t="e">
        <f t="shared" si="18"/>
        <v>#REF!</v>
      </c>
      <c r="M855" s="1167" t="e">
        <f t="shared" si="18"/>
        <v>#REF!</v>
      </c>
      <c r="N855" s="1167"/>
      <c r="O855" s="1167"/>
    </row>
    <row r="856" spans="1:15" ht="18" x14ac:dyDescent="0.2">
      <c r="A856" s="1199" t="s">
        <v>151</v>
      </c>
      <c r="B856" s="1159"/>
      <c r="C856" s="1160"/>
      <c r="D856" s="1160" t="s">
        <v>571</v>
      </c>
      <c r="E856" s="1168">
        <f t="shared" si="17"/>
        <v>4312</v>
      </c>
      <c r="F856" s="1168">
        <f t="shared" si="17"/>
        <v>4229</v>
      </c>
      <c r="G856" s="1168">
        <f t="shared" si="17"/>
        <v>301802</v>
      </c>
      <c r="H856" s="1162"/>
      <c r="I856" s="1202"/>
      <c r="J856" s="1212"/>
      <c r="K856" s="1213"/>
      <c r="L856" s="1167" t="e">
        <f t="shared" si="18"/>
        <v>#REF!</v>
      </c>
      <c r="M856" s="1167"/>
      <c r="N856" s="1167"/>
      <c r="O856" s="1167"/>
    </row>
    <row r="857" spans="1:15" ht="18" x14ac:dyDescent="0.2">
      <c r="A857" s="1199" t="s">
        <v>151</v>
      </c>
      <c r="B857" s="1159"/>
      <c r="C857" s="1160"/>
      <c r="D857" s="1160" t="s">
        <v>572</v>
      </c>
      <c r="E857" s="1168">
        <f t="shared" si="17"/>
        <v>114</v>
      </c>
      <c r="F857" s="1168">
        <f t="shared" si="17"/>
        <v>113</v>
      </c>
      <c r="G857" s="1168">
        <f t="shared" si="17"/>
        <v>14215</v>
      </c>
      <c r="H857" s="1162"/>
      <c r="I857" s="1202"/>
      <c r="J857" s="1212"/>
      <c r="K857" s="1213"/>
      <c r="L857" s="1167" t="e">
        <f t="shared" si="18"/>
        <v>#REF!</v>
      </c>
      <c r="M857" s="1167"/>
      <c r="N857" s="1167"/>
      <c r="O857" s="1167"/>
    </row>
    <row r="858" spans="1:15" ht="18" x14ac:dyDescent="0.2">
      <c r="A858" s="1199" t="s">
        <v>151</v>
      </c>
      <c r="B858" s="1164"/>
      <c r="C858" s="1165"/>
      <c r="D858" s="1166" t="s">
        <v>486</v>
      </c>
      <c r="E858" s="1169">
        <f>SUM(E853:E857)</f>
        <v>342581</v>
      </c>
      <c r="F858" s="1169">
        <f>SUM(F853:F857)</f>
        <v>336158</v>
      </c>
      <c r="G858" s="1169">
        <f>SUM(G853:G857)</f>
        <v>3332989</v>
      </c>
      <c r="H858" s="1165"/>
      <c r="I858" s="1170">
        <f>SUM(I853:I857)</f>
        <v>973.31</v>
      </c>
      <c r="J858" s="1214"/>
      <c r="K858" s="1215"/>
      <c r="L858" s="1170" t="e">
        <f>SUM(L853:L857)</f>
        <v>#REF!</v>
      </c>
      <c r="M858" s="1170" t="e">
        <f>SUM(M853:M857)</f>
        <v>#REF!</v>
      </c>
      <c r="N858" s="1170" t="e">
        <f>L858+M858</f>
        <v>#REF!</v>
      </c>
      <c r="O858" s="1177" t="e">
        <f>ROUND(N858/I858*10,2)</f>
        <v>#REF!</v>
      </c>
    </row>
    <row r="859" spans="1:15" ht="18" x14ac:dyDescent="0.2">
      <c r="A859" s="1199" t="s">
        <v>151</v>
      </c>
      <c r="B859" s="1164">
        <v>6</v>
      </c>
      <c r="C859" s="1165" t="s">
        <v>567</v>
      </c>
      <c r="D859" s="1165"/>
      <c r="E859" s="1169">
        <f>+E851+E858</f>
        <v>568011</v>
      </c>
      <c r="F859" s="1169">
        <f>+F851+F858</f>
        <v>557555</v>
      </c>
      <c r="G859" s="1169">
        <f>+G851+G858</f>
        <v>6272774</v>
      </c>
      <c r="H859" s="1165"/>
      <c r="I859" s="1170">
        <f>+I851+I858</f>
        <v>2247.33</v>
      </c>
      <c r="J859" s="1214"/>
      <c r="K859" s="1215"/>
      <c r="L859" s="1170" t="e">
        <f>+L851+L858</f>
        <v>#REF!</v>
      </c>
      <c r="M859" s="1170" t="e">
        <f>+M851+M858</f>
        <v>#REF!</v>
      </c>
      <c r="N859" s="1170" t="e">
        <f>L859+M859</f>
        <v>#REF!</v>
      </c>
      <c r="O859" s="1177" t="e">
        <f>ROUND(N859/I859*10,2)</f>
        <v>#REF!</v>
      </c>
    </row>
    <row r="860" spans="1:15" ht="18" x14ac:dyDescent="0.2">
      <c r="A860" s="1199" t="s">
        <v>151</v>
      </c>
      <c r="B860" s="1163"/>
      <c r="C860" s="1163"/>
      <c r="D860" s="1163"/>
      <c r="E860" s="1163"/>
      <c r="F860" s="1163"/>
      <c r="G860" s="1163"/>
      <c r="H860" s="1163"/>
      <c r="I860" s="1176"/>
      <c r="J860" s="1212"/>
      <c r="K860" s="1213"/>
      <c r="L860" s="1176"/>
      <c r="M860" s="1176"/>
      <c r="N860" s="1176"/>
      <c r="O860" s="1176"/>
    </row>
    <row r="861" spans="1:15" ht="18" x14ac:dyDescent="0.2">
      <c r="A861" s="1199" t="s">
        <v>151</v>
      </c>
      <c r="B861" s="1159"/>
      <c r="C861" s="1160" t="s">
        <v>512</v>
      </c>
      <c r="D861" s="1160" t="s">
        <v>578</v>
      </c>
      <c r="E861" s="1168">
        <f>+E63+E196+E329+E462+E595+E728</f>
        <v>241615</v>
      </c>
      <c r="F861" s="1168">
        <f>+F63+F196+F329+F462+F595+F728</f>
        <v>235872</v>
      </c>
      <c r="G861" s="1168">
        <f>+G63+G196+G329+G462+G595+G728</f>
        <v>2756989</v>
      </c>
      <c r="H861" s="1162" t="s">
        <v>561</v>
      </c>
      <c r="I861" s="1167">
        <f>+I63+I196+I329+I462+I595+I728</f>
        <v>2918.45</v>
      </c>
      <c r="J861" s="1212"/>
      <c r="K861" s="1213"/>
      <c r="L861" s="1167" t="e">
        <f>+L63+L196+L329+L462+L595+L728</f>
        <v>#REF!</v>
      </c>
      <c r="M861" s="1167" t="e">
        <f>+M63+M196+M329+M462+M595+M728</f>
        <v>#REF!</v>
      </c>
      <c r="N861" s="1167" t="e">
        <f>L861+M861</f>
        <v>#REF!</v>
      </c>
      <c r="O861" s="1192"/>
    </row>
    <row r="862" spans="1:15" ht="18" x14ac:dyDescent="0.2">
      <c r="A862" s="1199" t="s">
        <v>151</v>
      </c>
      <c r="B862" s="1159"/>
      <c r="C862" s="1160"/>
      <c r="D862" s="1160" t="s">
        <v>579</v>
      </c>
      <c r="E862" s="1168"/>
      <c r="F862" s="1168"/>
      <c r="G862" s="1160"/>
      <c r="H862" s="1162"/>
      <c r="I862" s="1202"/>
      <c r="J862" s="1212"/>
      <c r="K862" s="1213"/>
      <c r="L862" s="1208"/>
      <c r="M862" s="1167"/>
      <c r="N862" s="1167"/>
      <c r="O862" s="1192"/>
    </row>
    <row r="863" spans="1:15" ht="18" x14ac:dyDescent="0.2">
      <c r="A863" s="1199" t="s">
        <v>151</v>
      </c>
      <c r="B863" s="1164"/>
      <c r="C863" s="1165"/>
      <c r="D863" s="1166" t="s">
        <v>486</v>
      </c>
      <c r="E863" s="1169">
        <f>SUM(E861:E862)</f>
        <v>241615</v>
      </c>
      <c r="F863" s="1169">
        <f>SUM(F861:F862)</f>
        <v>235872</v>
      </c>
      <c r="G863" s="1169">
        <f>SUM(G861:G862)</f>
        <v>2756989</v>
      </c>
      <c r="H863" s="1165"/>
      <c r="I863" s="1204">
        <f>SUM(I861:I862)</f>
        <v>2918.45</v>
      </c>
      <c r="J863" s="1214"/>
      <c r="K863" s="1215"/>
      <c r="L863" s="1210" t="e">
        <f>SUM(L861:L862)</f>
        <v>#REF!</v>
      </c>
      <c r="M863" s="1170" t="e">
        <f>SUM(M861:M862)</f>
        <v>#REF!</v>
      </c>
      <c r="N863" s="1170" t="e">
        <f>L863+M863</f>
        <v>#REF!</v>
      </c>
      <c r="O863" s="1177" t="e">
        <f>ROUND(N863/I863*10,2)</f>
        <v>#REF!</v>
      </c>
    </row>
    <row r="864" spans="1:15" ht="18" x14ac:dyDescent="0.2">
      <c r="A864" s="1199" t="s">
        <v>151</v>
      </c>
      <c r="B864" s="1163"/>
      <c r="C864" s="1163"/>
      <c r="D864" s="1163"/>
      <c r="E864" s="1163"/>
      <c r="F864" s="1163"/>
      <c r="G864" s="1163"/>
      <c r="H864" s="1163"/>
      <c r="I864" s="1176"/>
      <c r="J864" s="1212"/>
      <c r="K864" s="1213"/>
      <c r="L864" s="1176"/>
      <c r="M864" s="1176"/>
      <c r="N864" s="1176"/>
      <c r="O864" s="1176"/>
    </row>
    <row r="865" spans="1:15" ht="18" x14ac:dyDescent="0.2">
      <c r="A865" s="1199" t="s">
        <v>151</v>
      </c>
      <c r="B865" s="1159"/>
      <c r="C865" s="1160" t="s">
        <v>513</v>
      </c>
      <c r="D865" s="1160" t="s">
        <v>580</v>
      </c>
      <c r="E865" s="1168">
        <f>+E67+E200+E333+E466+E599+E732</f>
        <v>201640</v>
      </c>
      <c r="F865" s="1168">
        <f>+F67+F200+F333+F466+F599+F732</f>
        <v>195929</v>
      </c>
      <c r="G865" s="1168">
        <f>+G67+G200+G333+G466+G599+G732</f>
        <v>859389</v>
      </c>
      <c r="H865" s="1162" t="s">
        <v>561</v>
      </c>
      <c r="I865" s="1167">
        <f>+I67+I200+I333+I466+I599+I732</f>
        <v>1290.8400000000001</v>
      </c>
      <c r="J865" s="1212"/>
      <c r="K865" s="1213"/>
      <c r="L865" s="1167" t="e">
        <f>+L67+L200+L333+L466+L599+L732</f>
        <v>#REF!</v>
      </c>
      <c r="M865" s="1167" t="e">
        <f>+M67+M200+M333+M466+M599+M732</f>
        <v>#REF!</v>
      </c>
      <c r="N865" s="1167" t="e">
        <f>L865+M865</f>
        <v>#REF!</v>
      </c>
      <c r="O865" s="1192" t="e">
        <f>ROUND(N865/I865*10,2)</f>
        <v>#REF!</v>
      </c>
    </row>
    <row r="866" spans="1:15" ht="18" x14ac:dyDescent="0.2">
      <c r="A866" s="1199" t="s">
        <v>151</v>
      </c>
      <c r="B866" s="1163"/>
      <c r="C866" s="1163"/>
      <c r="D866" s="1163"/>
      <c r="E866" s="1163"/>
      <c r="F866" s="1163"/>
      <c r="G866" s="1163"/>
      <c r="H866" s="1163"/>
      <c r="I866" s="1176"/>
      <c r="J866" s="1212"/>
      <c r="K866" s="1213"/>
      <c r="L866" s="1176"/>
      <c r="M866" s="1176"/>
      <c r="N866" s="1176"/>
      <c r="O866" s="1176"/>
    </row>
    <row r="867" spans="1:15" ht="18" x14ac:dyDescent="0.2">
      <c r="A867" s="1199" t="s">
        <v>151</v>
      </c>
      <c r="B867" s="1159"/>
      <c r="C867" s="1160" t="s">
        <v>526</v>
      </c>
      <c r="D867" s="1160" t="s">
        <v>581</v>
      </c>
      <c r="E867" s="1168">
        <f t="shared" ref="E867:G869" si="19">+E69+E202+E335+E468+E601+E734</f>
        <v>685</v>
      </c>
      <c r="F867" s="1168">
        <f t="shared" si="19"/>
        <v>481</v>
      </c>
      <c r="G867" s="1168">
        <f t="shared" si="19"/>
        <v>2623</v>
      </c>
      <c r="H867" s="1162" t="s">
        <v>561</v>
      </c>
      <c r="I867" s="1167">
        <f>+I69+I202+I335+I468+I601+I734</f>
        <v>25.72</v>
      </c>
      <c r="J867" s="1212"/>
      <c r="K867" s="1213"/>
      <c r="L867" s="1167" t="e">
        <f t="shared" ref="L867:M869" si="20">+L69+L202+L335+L468+L601+L734</f>
        <v>#REF!</v>
      </c>
      <c r="M867" s="1167" t="e">
        <f t="shared" si="20"/>
        <v>#REF!</v>
      </c>
      <c r="N867" s="1167" t="e">
        <f>L867+M867</f>
        <v>#REF!</v>
      </c>
      <c r="O867" s="1192"/>
    </row>
    <row r="868" spans="1:15" ht="18" x14ac:dyDescent="0.2">
      <c r="A868" s="1199" t="s">
        <v>151</v>
      </c>
      <c r="B868" s="1159"/>
      <c r="C868" s="1160"/>
      <c r="D868" s="1160" t="s">
        <v>582</v>
      </c>
      <c r="E868" s="1168">
        <f t="shared" si="19"/>
        <v>0</v>
      </c>
      <c r="F868" s="1168">
        <f t="shared" si="19"/>
        <v>0</v>
      </c>
      <c r="G868" s="1168">
        <f t="shared" si="19"/>
        <v>0</v>
      </c>
      <c r="H868" s="1162"/>
      <c r="I868" s="1167">
        <f>+I70+I203+I336+I469+I602+I735</f>
        <v>0</v>
      </c>
      <c r="J868" s="1212"/>
      <c r="K868" s="1213"/>
      <c r="L868" s="1167">
        <f t="shared" si="20"/>
        <v>0</v>
      </c>
      <c r="M868" s="1167">
        <f t="shared" si="20"/>
        <v>0</v>
      </c>
      <c r="N868" s="1167"/>
      <c r="O868" s="1192"/>
    </row>
    <row r="869" spans="1:15" ht="18" x14ac:dyDescent="0.2">
      <c r="A869" s="1199" t="s">
        <v>151</v>
      </c>
      <c r="B869" s="1159"/>
      <c r="C869" s="1160"/>
      <c r="D869" s="1160" t="s">
        <v>583</v>
      </c>
      <c r="E869" s="1168">
        <f t="shared" si="19"/>
        <v>0</v>
      </c>
      <c r="F869" s="1168">
        <f t="shared" si="19"/>
        <v>0</v>
      </c>
      <c r="G869" s="1168">
        <f t="shared" si="19"/>
        <v>0</v>
      </c>
      <c r="H869" s="1162"/>
      <c r="I869" s="1167">
        <f>+I71+I204+I337+I470+I603+I736</f>
        <v>0</v>
      </c>
      <c r="J869" s="1212"/>
      <c r="K869" s="1213"/>
      <c r="L869" s="1167">
        <f t="shared" si="20"/>
        <v>0</v>
      </c>
      <c r="M869" s="1167">
        <f t="shared" si="20"/>
        <v>0</v>
      </c>
      <c r="N869" s="1167"/>
      <c r="O869" s="1192"/>
    </row>
    <row r="870" spans="1:15" ht="18" x14ac:dyDescent="0.2">
      <c r="A870" s="1199" t="s">
        <v>151</v>
      </c>
      <c r="B870" s="1164"/>
      <c r="C870" s="1165"/>
      <c r="D870" s="1166" t="s">
        <v>486</v>
      </c>
      <c r="E870" s="1169">
        <f>SUM(E867:E869)</f>
        <v>685</v>
      </c>
      <c r="F870" s="1169">
        <f>SUM(F867:F869)</f>
        <v>481</v>
      </c>
      <c r="G870" s="1169">
        <f>SUM(G867:G869)</f>
        <v>2623</v>
      </c>
      <c r="H870" s="1165"/>
      <c r="I870" s="1204">
        <f>SUM(I867:I869)</f>
        <v>25.72</v>
      </c>
      <c r="J870" s="1214"/>
      <c r="K870" s="1215"/>
      <c r="L870" s="1210" t="e">
        <f>SUM(L867:L869)</f>
        <v>#REF!</v>
      </c>
      <c r="M870" s="1170" t="e">
        <f>SUM(M867:M869)</f>
        <v>#REF!</v>
      </c>
      <c r="N870" s="1170" t="e">
        <f>L870+M870</f>
        <v>#REF!</v>
      </c>
      <c r="O870" s="1177"/>
    </row>
    <row r="871" spans="1:15" ht="18" x14ac:dyDescent="0.2">
      <c r="A871" s="1199" t="s">
        <v>151</v>
      </c>
      <c r="B871" s="1164">
        <v>7</v>
      </c>
      <c r="C871" s="1165" t="s">
        <v>577</v>
      </c>
      <c r="D871" s="1165"/>
      <c r="E871" s="1169">
        <f>E863+E865+E870</f>
        <v>443940</v>
      </c>
      <c r="F871" s="1169">
        <f>F863+F865+F870</f>
        <v>432282</v>
      </c>
      <c r="G871" s="1169">
        <f>G863+G865+G870</f>
        <v>3619001</v>
      </c>
      <c r="H871" s="1165"/>
      <c r="I871" s="1204">
        <f>I863+I865+I870</f>
        <v>4235.01</v>
      </c>
      <c r="J871" s="1214"/>
      <c r="K871" s="1215"/>
      <c r="L871" s="1210" t="e">
        <f>L863+L865+L870</f>
        <v>#REF!</v>
      </c>
      <c r="M871" s="1170" t="e">
        <f>M863+M865+M870</f>
        <v>#REF!</v>
      </c>
      <c r="N871" s="1170" t="e">
        <f>L871+M871</f>
        <v>#REF!</v>
      </c>
      <c r="O871" s="1177" t="e">
        <f>ROUND(N871/I871*10,2)</f>
        <v>#REF!</v>
      </c>
    </row>
    <row r="872" spans="1:15" ht="18" x14ac:dyDescent="0.2">
      <c r="A872" s="1199" t="s">
        <v>151</v>
      </c>
      <c r="B872" s="1163"/>
      <c r="C872" s="1163"/>
      <c r="D872" s="1163"/>
      <c r="E872" s="1163"/>
      <c r="F872" s="1163"/>
      <c r="G872" s="1163"/>
      <c r="H872" s="1163"/>
      <c r="I872" s="1176"/>
      <c r="J872" s="1212"/>
      <c r="K872" s="1213"/>
      <c r="L872" s="1176"/>
      <c r="M872" s="1176"/>
      <c r="N872" s="1176"/>
      <c r="O872" s="1176"/>
    </row>
    <row r="873" spans="1:15" ht="18" x14ac:dyDescent="0.2">
      <c r="A873" s="1199" t="s">
        <v>151</v>
      </c>
      <c r="B873" s="1159"/>
      <c r="C873" s="1160" t="s">
        <v>584</v>
      </c>
      <c r="D873" s="1160" t="s">
        <v>586</v>
      </c>
      <c r="E873" s="1168">
        <f t="shared" ref="E873:G874" si="21">+E75+E208+E341+E474+E607+E740</f>
        <v>1608878</v>
      </c>
      <c r="F873" s="1168">
        <f t="shared" si="21"/>
        <v>1526004</v>
      </c>
      <c r="G873" s="1168">
        <f t="shared" si="21"/>
        <v>7692605</v>
      </c>
      <c r="H873" s="1162" t="s">
        <v>561</v>
      </c>
      <c r="I873" s="1167">
        <f>+I75+I208+I341+I474+I607+I740</f>
        <v>454.71000000000004</v>
      </c>
      <c r="J873" s="1212"/>
      <c r="K873" s="1213"/>
      <c r="L873" s="1167" t="e">
        <f>+L75+L208+L341+L474+L607+L740</f>
        <v>#REF!</v>
      </c>
      <c r="M873" s="1167" t="e">
        <f>+M75+M208+M341+M474+M607+M740</f>
        <v>#REF!</v>
      </c>
      <c r="N873" s="1167" t="e">
        <f>L873+M873</f>
        <v>#REF!</v>
      </c>
      <c r="O873" s="1192"/>
    </row>
    <row r="874" spans="1:15" ht="18" x14ac:dyDescent="0.2">
      <c r="A874" s="1199" t="s">
        <v>151</v>
      </c>
      <c r="B874" s="1159"/>
      <c r="C874" s="1160" t="s">
        <v>585</v>
      </c>
      <c r="D874" s="1160" t="s">
        <v>586</v>
      </c>
      <c r="E874" s="1168">
        <f t="shared" si="21"/>
        <v>6332</v>
      </c>
      <c r="F874" s="1168">
        <f t="shared" si="21"/>
        <v>6089</v>
      </c>
      <c r="G874" s="1168">
        <f t="shared" si="21"/>
        <v>32552</v>
      </c>
      <c r="H874" s="1162" t="s">
        <v>561</v>
      </c>
      <c r="I874" s="1167">
        <f>+I76+I209+I342+I475+I608+I741</f>
        <v>2.25</v>
      </c>
      <c r="J874" s="1212"/>
      <c r="K874" s="1213"/>
      <c r="L874" s="1167" t="e">
        <f>+L76+L209+L342+L475+L608+L741</f>
        <v>#REF!</v>
      </c>
      <c r="M874" s="1167" t="e">
        <f>+M76+M209+M342+M475+M608+M741</f>
        <v>#REF!</v>
      </c>
      <c r="N874" s="1167" t="e">
        <f>L874+M874</f>
        <v>#REF!</v>
      </c>
      <c r="O874" s="1192"/>
    </row>
    <row r="875" spans="1:15" ht="18" x14ac:dyDescent="0.2">
      <c r="A875" s="1199" t="s">
        <v>151</v>
      </c>
      <c r="B875" s="1164">
        <v>8</v>
      </c>
      <c r="C875" s="1165" t="s">
        <v>587</v>
      </c>
      <c r="D875" s="1165"/>
      <c r="E875" s="1169">
        <f>SUM(E873:E874)</f>
        <v>1615210</v>
      </c>
      <c r="F875" s="1169">
        <f>SUM(F873:F874)</f>
        <v>1532093</v>
      </c>
      <c r="G875" s="1169">
        <f>SUM(G873:G874)</f>
        <v>7725157</v>
      </c>
      <c r="H875" s="1165"/>
      <c r="I875" s="1170">
        <f>SUM(I873:I874)</f>
        <v>456.96000000000004</v>
      </c>
      <c r="J875" s="1214"/>
      <c r="K875" s="1215"/>
      <c r="L875" s="1210" t="e">
        <f>SUM(L873:L874)</f>
        <v>#REF!</v>
      </c>
      <c r="M875" s="1170" t="e">
        <f>SUM(M873:M874)</f>
        <v>#REF!</v>
      </c>
      <c r="N875" s="1170" t="e">
        <f>L875+M875</f>
        <v>#REF!</v>
      </c>
      <c r="O875" s="1177" t="e">
        <f>ROUND(N875/I875*10,2)</f>
        <v>#REF!</v>
      </c>
    </row>
    <row r="876" spans="1:15" ht="18" x14ac:dyDescent="0.2">
      <c r="A876" s="1199" t="s">
        <v>151</v>
      </c>
      <c r="B876" s="1163"/>
      <c r="C876" s="1163"/>
      <c r="D876" s="1163"/>
      <c r="E876" s="1163"/>
      <c r="F876" s="1163"/>
      <c r="G876" s="1163"/>
      <c r="H876" s="1163"/>
      <c r="I876" s="1176"/>
      <c r="J876" s="1212"/>
      <c r="K876" s="1213"/>
      <c r="L876" s="1176"/>
      <c r="M876" s="1176"/>
      <c r="N876" s="1176"/>
      <c r="O876" s="1176"/>
    </row>
    <row r="877" spans="1:15" ht="18" x14ac:dyDescent="0.2">
      <c r="A877" s="1199" t="s">
        <v>151</v>
      </c>
      <c r="B877" s="1194"/>
      <c r="C877" s="1195" t="s">
        <v>588</v>
      </c>
      <c r="D877" s="1195"/>
      <c r="E877" s="1196">
        <f>E806+E819+E830+E839+E844+E859+E871+E875</f>
        <v>31068615</v>
      </c>
      <c r="F877" s="1196">
        <f>F806+F819+F830+F839+F844+F859+F871+F875</f>
        <v>30519425</v>
      </c>
      <c r="G877" s="1196">
        <f>G806+G819+G830+G839+G844+G859+G871+G875</f>
        <v>71408043</v>
      </c>
      <c r="H877" s="1195"/>
      <c r="I877" s="1205">
        <f>I806+I819+I830+I839+I844+I859+I871+I875</f>
        <v>47895.001000000004</v>
      </c>
      <c r="J877" s="1217"/>
      <c r="K877" s="1218"/>
      <c r="L877" s="1211" t="e">
        <f>L806+L819+L830+L839+L844+L859+L871+L875</f>
        <v>#REF!</v>
      </c>
      <c r="M877" s="1193" t="e">
        <f>M806+M819+M830+M839+M844+M859+M871+M875</f>
        <v>#REF!</v>
      </c>
      <c r="N877" s="1193" t="e">
        <f>L877+M877</f>
        <v>#REF!</v>
      </c>
      <c r="O877" s="1193" t="e">
        <f>ROUND(N877/I877*10,2)</f>
        <v>#REF!</v>
      </c>
    </row>
    <row r="878" spans="1:15" ht="18" x14ac:dyDescent="0.2">
      <c r="A878" s="1199" t="s">
        <v>151</v>
      </c>
      <c r="B878" s="1163"/>
      <c r="C878" s="1163"/>
      <c r="D878" s="1163"/>
      <c r="E878" s="1163"/>
      <c r="F878" s="1176"/>
      <c r="G878" s="1163"/>
      <c r="H878" s="1163"/>
      <c r="I878" s="1176"/>
      <c r="J878" s="1212"/>
      <c r="K878" s="1213"/>
      <c r="L878" s="1176"/>
      <c r="M878" s="1176"/>
      <c r="N878" s="1176"/>
      <c r="O878" s="1176"/>
    </row>
    <row r="879" spans="1:15" ht="18" x14ac:dyDescent="0.2">
      <c r="A879" s="1199" t="s">
        <v>151</v>
      </c>
      <c r="B879" s="1159">
        <v>9</v>
      </c>
      <c r="C879" s="1160" t="s">
        <v>16</v>
      </c>
      <c r="D879" s="1160" t="s">
        <v>589</v>
      </c>
      <c r="E879" s="1168">
        <f t="shared" ref="E879:I881" si="22">+E81+E214+E347+E480+E613+E746</f>
        <v>1377</v>
      </c>
      <c r="F879" s="1168">
        <f t="shared" si="22"/>
        <v>1333</v>
      </c>
      <c r="G879" s="1168">
        <f t="shared" si="22"/>
        <v>586591</v>
      </c>
      <c r="H879" s="1162" t="s">
        <v>561</v>
      </c>
      <c r="I879" s="1167">
        <f t="shared" si="22"/>
        <v>2114.4900000000002</v>
      </c>
      <c r="J879" s="1212"/>
      <c r="K879" s="1213"/>
      <c r="L879" s="1167" t="e">
        <f>+L81+L214+L347+L480+L613+L746</f>
        <v>#REF!</v>
      </c>
      <c r="M879" s="1167" t="e">
        <f>+M81+M214+M347+M480+M613+M746</f>
        <v>#REF!</v>
      </c>
      <c r="N879" s="1167" t="e">
        <f>L879+M879</f>
        <v>#REF!</v>
      </c>
      <c r="O879" s="1192" t="e">
        <f>ROUND(N879/I879*10,2)</f>
        <v>#REF!</v>
      </c>
    </row>
    <row r="880" spans="1:15" ht="18" x14ac:dyDescent="0.2">
      <c r="A880" s="1199" t="s">
        <v>151</v>
      </c>
      <c r="B880" s="1163"/>
      <c r="C880" s="1163"/>
      <c r="D880" s="1163"/>
      <c r="E880" s="1163"/>
      <c r="F880" s="1163"/>
      <c r="G880" s="1163"/>
      <c r="H880" s="1163"/>
      <c r="I880" s="1176"/>
      <c r="J880" s="1212"/>
      <c r="K880" s="1213"/>
      <c r="L880" s="1176"/>
      <c r="M880" s="1176"/>
      <c r="N880" s="1176"/>
      <c r="O880" s="1176"/>
    </row>
    <row r="881" spans="1:15" ht="18" x14ac:dyDescent="0.2">
      <c r="A881" s="1199" t="s">
        <v>151</v>
      </c>
      <c r="B881" s="1159"/>
      <c r="C881" s="1160" t="s">
        <v>593</v>
      </c>
      <c r="D881" s="1160" t="s">
        <v>589</v>
      </c>
      <c r="E881" s="1168">
        <f t="shared" si="22"/>
        <v>4500</v>
      </c>
      <c r="F881" s="1168">
        <f t="shared" si="22"/>
        <v>4410</v>
      </c>
      <c r="G881" s="1168">
        <f t="shared" si="22"/>
        <v>1984500</v>
      </c>
      <c r="H881" s="1162" t="s">
        <v>591</v>
      </c>
      <c r="I881" s="1167">
        <f t="shared" si="22"/>
        <v>1023.81</v>
      </c>
      <c r="J881" s="1212"/>
      <c r="K881" s="1213"/>
      <c r="L881" s="1167" t="e">
        <f>+L83+L216+L349+L482+L615+L748</f>
        <v>#REF!</v>
      </c>
      <c r="M881" s="1167" t="e">
        <f>+M83+M216+M349+M482+M615+M748</f>
        <v>#REF!</v>
      </c>
      <c r="N881" s="1167"/>
      <c r="O881" s="1192"/>
    </row>
    <row r="882" spans="1:15" ht="18" x14ac:dyDescent="0.2">
      <c r="A882" s="1199" t="s">
        <v>151</v>
      </c>
      <c r="B882" s="1159"/>
      <c r="C882" s="1160"/>
      <c r="D882" s="1160"/>
      <c r="E882" s="1168"/>
      <c r="F882" s="1168"/>
      <c r="G882" s="1160"/>
      <c r="H882" s="1162" t="s">
        <v>590</v>
      </c>
      <c r="I882" s="1167">
        <f>+I84+I217+I350+I483+I616+I749</f>
        <v>1765.8600000000001</v>
      </c>
      <c r="J882" s="1212"/>
      <c r="K882" s="1213"/>
      <c r="L882" s="1167">
        <f>+L84+L217+L350+L483+L616+L749</f>
        <v>0</v>
      </c>
      <c r="M882" s="1167" t="e">
        <f>+M84+M217+M350+M483+M616+M749</f>
        <v>#REF!</v>
      </c>
      <c r="N882" s="1167"/>
      <c r="O882" s="1192"/>
    </row>
    <row r="883" spans="1:15" ht="18" x14ac:dyDescent="0.2">
      <c r="A883" s="1199" t="s">
        <v>151</v>
      </c>
      <c r="B883" s="1164"/>
      <c r="C883" s="1165"/>
      <c r="D883" s="1166" t="s">
        <v>486</v>
      </c>
      <c r="E883" s="1169">
        <f>SUM(E881:E882)</f>
        <v>4500</v>
      </c>
      <c r="F883" s="1169">
        <f>SUM(F881:F882)</f>
        <v>4410</v>
      </c>
      <c r="G883" s="1169">
        <f>SUM(G881:G882)</f>
        <v>1984500</v>
      </c>
      <c r="H883" s="1165"/>
      <c r="I883" s="1210">
        <f>SUM(I881:I882)</f>
        <v>2789.67</v>
      </c>
      <c r="J883" s="1214"/>
      <c r="K883" s="1215"/>
      <c r="L883" s="1210" t="e">
        <f>SUM(L881:L882)</f>
        <v>#REF!</v>
      </c>
      <c r="M883" s="1170" t="e">
        <f>SUM(M881:M882)</f>
        <v>#REF!</v>
      </c>
      <c r="N883" s="1170" t="e">
        <f>L883+M883</f>
        <v>#REF!</v>
      </c>
      <c r="O883" s="1177" t="e">
        <f>ROUND(N883/I883*10,2)</f>
        <v>#REF!</v>
      </c>
    </row>
    <row r="884" spans="1:15" ht="18" x14ac:dyDescent="0.2">
      <c r="A884" s="1199" t="s">
        <v>151</v>
      </c>
      <c r="B884" s="1163"/>
      <c r="C884" s="1163"/>
      <c r="D884" s="1163"/>
      <c r="E884" s="1163"/>
      <c r="F884" s="1163"/>
      <c r="G884" s="1163"/>
      <c r="H884" s="1163"/>
      <c r="I884" s="1176"/>
      <c r="J884" s="1212"/>
      <c r="K884" s="1213"/>
      <c r="L884" s="1176"/>
      <c r="M884" s="1176"/>
      <c r="N884" s="1176"/>
      <c r="O884" s="1176"/>
    </row>
    <row r="885" spans="1:15" ht="18" x14ac:dyDescent="0.2">
      <c r="A885" s="1199" t="s">
        <v>151</v>
      </c>
      <c r="B885" s="1159"/>
      <c r="C885" s="1160" t="s">
        <v>594</v>
      </c>
      <c r="D885" s="1160" t="s">
        <v>589</v>
      </c>
      <c r="E885" s="1168">
        <f>+E87+E220+E353+E486+E619+E752</f>
        <v>11141</v>
      </c>
      <c r="F885" s="1168">
        <f>+F87+F220+F353+F486+F619+F752</f>
        <v>10838</v>
      </c>
      <c r="G885" s="1168">
        <f>+G87+G220+G353+G486+G619+G752</f>
        <v>5247818</v>
      </c>
      <c r="H885" s="1162" t="s">
        <v>591</v>
      </c>
      <c r="I885" s="1167">
        <f>+I87+I220+I353+I486+I619+I752</f>
        <v>2937.1699999999996</v>
      </c>
      <c r="J885" s="1212"/>
      <c r="K885" s="1213"/>
      <c r="L885" s="1167" t="e">
        <f>+L87+L220+L353+L486+L619+L752</f>
        <v>#REF!</v>
      </c>
      <c r="M885" s="1167" t="e">
        <f>+M87+M220+M353+M486+M619+M752</f>
        <v>#REF!</v>
      </c>
      <c r="N885" s="1167"/>
      <c r="O885" s="1192"/>
    </row>
    <row r="886" spans="1:15" ht="18" x14ac:dyDescent="0.2">
      <c r="A886" s="1199" t="s">
        <v>151</v>
      </c>
      <c r="B886" s="1159"/>
      <c r="C886" s="1160"/>
      <c r="D886" s="1160"/>
      <c r="E886" s="1168"/>
      <c r="F886" s="1168"/>
      <c r="G886" s="1160"/>
      <c r="H886" s="1162" t="s">
        <v>590</v>
      </c>
      <c r="I886" s="1167">
        <f>+I88+I221+I354+I487+I620+I753</f>
        <v>3398.5799999999995</v>
      </c>
      <c r="J886" s="1212"/>
      <c r="K886" s="1213"/>
      <c r="L886" s="1167">
        <f>+L88+L221+L354+L487+L620+L753</f>
        <v>0</v>
      </c>
      <c r="M886" s="1167" t="e">
        <f>+M88+M221+M354+M487+M620+M753</f>
        <v>#REF!</v>
      </c>
      <c r="N886" s="1167"/>
      <c r="O886" s="1192"/>
    </row>
    <row r="887" spans="1:15" ht="18" x14ac:dyDescent="0.2">
      <c r="A887" s="1199" t="s">
        <v>151</v>
      </c>
      <c r="B887" s="1164"/>
      <c r="C887" s="1165"/>
      <c r="D887" s="1166" t="s">
        <v>486</v>
      </c>
      <c r="E887" s="1169">
        <f>SUM(E885:E886)</f>
        <v>11141</v>
      </c>
      <c r="F887" s="1169">
        <f>SUM(F885:F886)</f>
        <v>10838</v>
      </c>
      <c r="G887" s="1169">
        <f>SUM(G885:G886)</f>
        <v>5247818</v>
      </c>
      <c r="H887" s="1165"/>
      <c r="I887" s="1210">
        <f>SUM(I885:I886)</f>
        <v>6335.7499999999991</v>
      </c>
      <c r="J887" s="1214"/>
      <c r="K887" s="1215"/>
      <c r="L887" s="1210" t="e">
        <f>SUM(L885:L886)</f>
        <v>#REF!</v>
      </c>
      <c r="M887" s="1170" t="e">
        <f>SUM(M885:M886)</f>
        <v>#REF!</v>
      </c>
      <c r="N887" s="1170" t="e">
        <f>L887+M887</f>
        <v>#REF!</v>
      </c>
      <c r="O887" s="1177" t="e">
        <f>ROUND(N887/I887*10,2)</f>
        <v>#REF!</v>
      </c>
    </row>
    <row r="888" spans="1:15" ht="18" x14ac:dyDescent="0.2">
      <c r="A888" s="1199" t="s">
        <v>151</v>
      </c>
      <c r="B888" s="1164">
        <v>10</v>
      </c>
      <c r="C888" s="1165" t="s">
        <v>592</v>
      </c>
      <c r="D888" s="1165"/>
      <c r="E888" s="1169">
        <f>+E883+E887</f>
        <v>15641</v>
      </c>
      <c r="F888" s="1169">
        <f>+F883+F887</f>
        <v>15248</v>
      </c>
      <c r="G888" s="1169">
        <f>+G883+G887</f>
        <v>7232318</v>
      </c>
      <c r="H888" s="1165"/>
      <c r="I888" s="1170">
        <f>+I883+I887</f>
        <v>9125.4199999999983</v>
      </c>
      <c r="J888" s="1214"/>
      <c r="K888" s="1215"/>
      <c r="L888" s="1170" t="e">
        <f>+L883+L887</f>
        <v>#REF!</v>
      </c>
      <c r="M888" s="1170" t="e">
        <f>+M883+M887</f>
        <v>#REF!</v>
      </c>
      <c r="N888" s="1170" t="e">
        <f>L888+M888</f>
        <v>#REF!</v>
      </c>
      <c r="O888" s="1177" t="e">
        <f>ROUND(N888/I888*10,2)</f>
        <v>#REF!</v>
      </c>
    </row>
    <row r="889" spans="1:15" ht="18" x14ac:dyDescent="0.2">
      <c r="A889" s="1199" t="s">
        <v>151</v>
      </c>
      <c r="B889" s="1163"/>
      <c r="C889" s="1163"/>
      <c r="D889" s="1163"/>
      <c r="E889" s="1163"/>
      <c r="F889" s="1163"/>
      <c r="G889" s="1163"/>
      <c r="H889" s="1163"/>
      <c r="I889" s="1176"/>
      <c r="J889" s="1212"/>
      <c r="K889" s="1213"/>
      <c r="L889" s="1176"/>
      <c r="M889" s="1176"/>
      <c r="N889" s="1176"/>
      <c r="O889" s="1176"/>
    </row>
    <row r="890" spans="1:15" ht="18" x14ac:dyDescent="0.2">
      <c r="A890" s="1199" t="s">
        <v>151</v>
      </c>
      <c r="B890" s="1159"/>
      <c r="C890" s="1160" t="s">
        <v>596</v>
      </c>
      <c r="D890" s="1160" t="s">
        <v>589</v>
      </c>
      <c r="E890" s="1168">
        <f>+E92+E225+E358+E491+E624+E757</f>
        <v>8183</v>
      </c>
      <c r="F890" s="1168">
        <f>+F92+F225+F358+F491+F624+F757</f>
        <v>7994</v>
      </c>
      <c r="G890" s="1168">
        <f>+G92+G225+G358+G491+G624+G757</f>
        <v>2677990</v>
      </c>
      <c r="H890" s="1162" t="s">
        <v>598</v>
      </c>
      <c r="I890" s="1167">
        <f>+I92+I225+I358+I491+I624+I757</f>
        <v>1327.28</v>
      </c>
      <c r="J890" s="1212"/>
      <c r="K890" s="1213"/>
      <c r="L890" s="1167" t="e">
        <f>+L92+L225+L358+L491+L624+L757</f>
        <v>#REF!</v>
      </c>
      <c r="M890" s="1167" t="e">
        <f>+M92+M225+M358+M491+M624+M757</f>
        <v>#REF!</v>
      </c>
      <c r="N890" s="1167"/>
      <c r="O890" s="1192"/>
    </row>
    <row r="891" spans="1:15" ht="18" x14ac:dyDescent="0.2">
      <c r="A891" s="1199" t="s">
        <v>151</v>
      </c>
      <c r="B891" s="1159"/>
      <c r="C891" s="1160"/>
      <c r="D891" s="1160"/>
      <c r="E891" s="1168"/>
      <c r="F891" s="1168"/>
      <c r="G891" s="1160"/>
      <c r="H891" s="1162" t="s">
        <v>599</v>
      </c>
      <c r="I891" s="1167">
        <f>+I93+I226+I359+I492+I625+I758</f>
        <v>699.10000000000014</v>
      </c>
      <c r="J891" s="1212"/>
      <c r="K891" s="1213"/>
      <c r="L891" s="1167">
        <f>+L93+L226+L359+L492+L625+L758</f>
        <v>0</v>
      </c>
      <c r="M891" s="1167" t="e">
        <f>+M93+M226+M359+M492+M625+M758</f>
        <v>#REF!</v>
      </c>
      <c r="N891" s="1167"/>
      <c r="O891" s="1192"/>
    </row>
    <row r="892" spans="1:15" ht="18" x14ac:dyDescent="0.2">
      <c r="A892" s="1199" t="s">
        <v>151</v>
      </c>
      <c r="B892" s="1164"/>
      <c r="C892" s="1165"/>
      <c r="D892" s="1166" t="s">
        <v>486</v>
      </c>
      <c r="E892" s="1169">
        <f>SUM(E890:E891)</f>
        <v>8183</v>
      </c>
      <c r="F892" s="1169">
        <f>SUM(F890:F891)</f>
        <v>7994</v>
      </c>
      <c r="G892" s="1169">
        <f>SUM(G890:G891)</f>
        <v>2677990</v>
      </c>
      <c r="H892" s="1165"/>
      <c r="I892" s="1210">
        <f>SUM(I890:I891)</f>
        <v>2026.38</v>
      </c>
      <c r="J892" s="1214"/>
      <c r="K892" s="1215"/>
      <c r="L892" s="1210" t="e">
        <f>SUM(L890:L891)</f>
        <v>#REF!</v>
      </c>
      <c r="M892" s="1170" t="e">
        <f>SUM(M890:M891)</f>
        <v>#REF!</v>
      </c>
      <c r="N892" s="1170" t="e">
        <f>L892+M892</f>
        <v>#REF!</v>
      </c>
      <c r="O892" s="1177" t="e">
        <f>ROUND(N892/I892*10,2)</f>
        <v>#REF!</v>
      </c>
    </row>
    <row r="893" spans="1:15" ht="18" x14ac:dyDescent="0.2">
      <c r="A893" s="1199" t="s">
        <v>151</v>
      </c>
      <c r="B893" s="1163"/>
      <c r="C893" s="1163"/>
      <c r="D893" s="1163"/>
      <c r="E893" s="1163"/>
      <c r="F893" s="1163"/>
      <c r="G893" s="1163"/>
      <c r="H893" s="1163"/>
      <c r="I893" s="1176"/>
      <c r="J893" s="1212"/>
      <c r="K893" s="1213"/>
      <c r="L893" s="1176"/>
      <c r="M893" s="1176"/>
      <c r="N893" s="1176"/>
      <c r="O893" s="1176"/>
    </row>
    <row r="894" spans="1:15" ht="18" x14ac:dyDescent="0.2">
      <c r="A894" s="1199" t="s">
        <v>151</v>
      </c>
      <c r="B894" s="1159"/>
      <c r="C894" s="1160" t="s">
        <v>597</v>
      </c>
      <c r="D894" s="1160" t="s">
        <v>589</v>
      </c>
      <c r="E894" s="1168">
        <f>+E96+E229+E362+E495+E628+E761</f>
        <v>4101</v>
      </c>
      <c r="F894" s="1168">
        <f>+F96+F229+F362+F495+F628+F761</f>
        <v>3982</v>
      </c>
      <c r="G894" s="1168">
        <f>+G96+G229+G362+G495+G628+G761</f>
        <v>665192</v>
      </c>
      <c r="H894" s="1162" t="s">
        <v>598</v>
      </c>
      <c r="I894" s="1167">
        <f>+I96+I229+I362+I495+I628+I761</f>
        <v>494</v>
      </c>
      <c r="J894" s="1212"/>
      <c r="K894" s="1213"/>
      <c r="L894" s="1167" t="e">
        <f>+L96+L229+L362+L495+L628+L761</f>
        <v>#REF!</v>
      </c>
      <c r="M894" s="1167" t="e">
        <f>+M96+M229+M362+M495+M628+M761</f>
        <v>#REF!</v>
      </c>
      <c r="N894" s="1167"/>
      <c r="O894" s="1192"/>
    </row>
    <row r="895" spans="1:15" ht="18" x14ac:dyDescent="0.2">
      <c r="A895" s="1199" t="s">
        <v>151</v>
      </c>
      <c r="B895" s="1159"/>
      <c r="C895" s="1160"/>
      <c r="D895" s="1160"/>
      <c r="E895" s="1168"/>
      <c r="F895" s="1168"/>
      <c r="G895" s="1160"/>
      <c r="H895" s="1162" t="s">
        <v>599</v>
      </c>
      <c r="I895" s="1167">
        <f>+I97+I230+I363+I496+I629+I762</f>
        <v>179.23000000000005</v>
      </c>
      <c r="J895" s="1212"/>
      <c r="K895" s="1213"/>
      <c r="L895" s="1167">
        <f>+L97+L230+L363+L496+L629+L762</f>
        <v>0</v>
      </c>
      <c r="M895" s="1167" t="e">
        <f>+M97+M230+M363+M496+M629+M762</f>
        <v>#REF!</v>
      </c>
      <c r="N895" s="1167"/>
      <c r="O895" s="1192"/>
    </row>
    <row r="896" spans="1:15" ht="18" x14ac:dyDescent="0.2">
      <c r="A896" s="1199" t="s">
        <v>151</v>
      </c>
      <c r="B896" s="1164"/>
      <c r="C896" s="1165"/>
      <c r="D896" s="1166" t="s">
        <v>486</v>
      </c>
      <c r="E896" s="1169">
        <f>SUM(E894:E895)</f>
        <v>4101</v>
      </c>
      <c r="F896" s="1169">
        <f>SUM(F894:F895)</f>
        <v>3982</v>
      </c>
      <c r="G896" s="1169">
        <f>SUM(G894:G895)</f>
        <v>665192</v>
      </c>
      <c r="H896" s="1165"/>
      <c r="I896" s="1210">
        <f>SUM(I894:I895)</f>
        <v>673.23</v>
      </c>
      <c r="J896" s="1214"/>
      <c r="K896" s="1215"/>
      <c r="L896" s="1210" t="e">
        <f>SUM(L894:L895)</f>
        <v>#REF!</v>
      </c>
      <c r="M896" s="1170" t="e">
        <f>SUM(M894:M895)</f>
        <v>#REF!</v>
      </c>
      <c r="N896" s="1170" t="e">
        <f>L896+M896</f>
        <v>#REF!</v>
      </c>
      <c r="O896" s="1177"/>
    </row>
    <row r="897" spans="1:15" ht="18" x14ac:dyDescent="0.2">
      <c r="A897" s="1199" t="s">
        <v>151</v>
      </c>
      <c r="B897" s="1164">
        <v>11</v>
      </c>
      <c r="C897" s="1165" t="s">
        <v>595</v>
      </c>
      <c r="D897" s="1165"/>
      <c r="E897" s="1169">
        <f>+E892+E896</f>
        <v>12284</v>
      </c>
      <c r="F897" s="1169">
        <f>+F892+F896</f>
        <v>11976</v>
      </c>
      <c r="G897" s="1169">
        <f>+G892+G896</f>
        <v>3343182</v>
      </c>
      <c r="H897" s="1165"/>
      <c r="I897" s="1170">
        <f>+I892+I896</f>
        <v>2699.61</v>
      </c>
      <c r="J897" s="1214"/>
      <c r="K897" s="1215"/>
      <c r="L897" s="1170" t="e">
        <f>+L892+L896</f>
        <v>#REF!</v>
      </c>
      <c r="M897" s="1170" t="e">
        <f>+M892+M896</f>
        <v>#REF!</v>
      </c>
      <c r="N897" s="1170" t="e">
        <f>L897+M897</f>
        <v>#REF!</v>
      </c>
      <c r="O897" s="1177" t="e">
        <f>ROUND(N897/I897*10,2)</f>
        <v>#REF!</v>
      </c>
    </row>
    <row r="898" spans="1:15" ht="18" x14ac:dyDescent="0.2">
      <c r="A898" s="1199" t="s">
        <v>151</v>
      </c>
      <c r="B898" s="1163"/>
      <c r="C898" s="1163"/>
      <c r="D898" s="1163"/>
      <c r="E898" s="1163"/>
      <c r="F898" s="1163"/>
      <c r="G898" s="1163"/>
      <c r="H898" s="1163"/>
      <c r="I898" s="1176"/>
      <c r="J898" s="1212"/>
      <c r="K898" s="1213"/>
      <c r="L898" s="1176"/>
      <c r="M898" s="1176"/>
      <c r="N898" s="1176"/>
      <c r="O898" s="1176"/>
    </row>
    <row r="899" spans="1:15" ht="18" x14ac:dyDescent="0.2">
      <c r="A899" s="1199" t="s">
        <v>151</v>
      </c>
      <c r="B899" s="1159"/>
      <c r="C899" s="1160" t="s">
        <v>601</v>
      </c>
      <c r="D899" s="1160" t="s">
        <v>589</v>
      </c>
      <c r="E899" s="1168">
        <f>+E101+E234+E367+E500+E633+E766</f>
        <v>1553</v>
      </c>
      <c r="F899" s="1168">
        <f>+F101+F234+F367+F500+F633+F766</f>
        <v>1486</v>
      </c>
      <c r="G899" s="1168">
        <f>+G101+G234+G367+G500+G633+G766</f>
        <v>220189</v>
      </c>
      <c r="H899" s="1162" t="s">
        <v>591</v>
      </c>
      <c r="I899" s="1167">
        <f>+I101+I234+I367+I500+I633+I766</f>
        <v>181.4</v>
      </c>
      <c r="J899" s="1212"/>
      <c r="K899" s="1213"/>
      <c r="L899" s="1167" t="e">
        <f>+L101+L234+L367+L500+L633+L766</f>
        <v>#REF!</v>
      </c>
      <c r="M899" s="1167" t="e">
        <f>+M101+M234+M367+M500+M633+M766</f>
        <v>#REF!</v>
      </c>
      <c r="N899" s="1167"/>
      <c r="O899" s="1192"/>
    </row>
    <row r="900" spans="1:15" ht="18" x14ac:dyDescent="0.2">
      <c r="A900" s="1199" t="s">
        <v>151</v>
      </c>
      <c r="B900" s="1159"/>
      <c r="C900" s="1160"/>
      <c r="D900" s="1160"/>
      <c r="E900" s="1168"/>
      <c r="F900" s="1168"/>
      <c r="G900" s="1160"/>
      <c r="H900" s="1162" t="s">
        <v>590</v>
      </c>
      <c r="I900" s="1167">
        <f>+I102+I235+I368+I501+I634+I767</f>
        <v>192.69</v>
      </c>
      <c r="J900" s="1212"/>
      <c r="K900" s="1213"/>
      <c r="L900" s="1167">
        <f>+L102+L235+L368+L501+L634+L767</f>
        <v>0</v>
      </c>
      <c r="M900" s="1167" t="e">
        <f>+M102+M235+M368+M501+M634+M767</f>
        <v>#REF!</v>
      </c>
      <c r="N900" s="1167"/>
      <c r="O900" s="1192"/>
    </row>
    <row r="901" spans="1:15" ht="18" x14ac:dyDescent="0.2">
      <c r="A901" s="1199" t="s">
        <v>151</v>
      </c>
      <c r="B901" s="1164"/>
      <c r="C901" s="1165"/>
      <c r="D901" s="1166" t="s">
        <v>486</v>
      </c>
      <c r="E901" s="1169">
        <f>SUM(E899:E900)</f>
        <v>1553</v>
      </c>
      <c r="F901" s="1169">
        <f>SUM(F899:F900)</f>
        <v>1486</v>
      </c>
      <c r="G901" s="1169">
        <f>SUM(G899:G900)</f>
        <v>220189</v>
      </c>
      <c r="H901" s="1165"/>
      <c r="I901" s="1210">
        <f>SUM(I899:I900)</f>
        <v>374.09000000000003</v>
      </c>
      <c r="J901" s="1214"/>
      <c r="K901" s="1215"/>
      <c r="L901" s="1210" t="e">
        <f>SUM(L899:L900)</f>
        <v>#REF!</v>
      </c>
      <c r="M901" s="1170" t="e">
        <f>SUM(M899:M900)</f>
        <v>#REF!</v>
      </c>
      <c r="N901" s="1170" t="e">
        <f>L901+M901</f>
        <v>#REF!</v>
      </c>
      <c r="O901" s="1177" t="e">
        <f>ROUND(N901/I901*10,2)</f>
        <v>#REF!</v>
      </c>
    </row>
    <row r="902" spans="1:15" ht="18" x14ac:dyDescent="0.2">
      <c r="A902" s="1199" t="s">
        <v>151</v>
      </c>
      <c r="B902" s="1163"/>
      <c r="C902" s="1163"/>
      <c r="D902" s="1163"/>
      <c r="E902" s="1163"/>
      <c r="F902" s="1163"/>
      <c r="G902" s="1163"/>
      <c r="H902" s="1163"/>
      <c r="I902" s="1176"/>
      <c r="J902" s="1212"/>
      <c r="K902" s="1213"/>
      <c r="L902" s="1176"/>
      <c r="M902" s="1176"/>
      <c r="N902" s="1176"/>
      <c r="O902" s="1176"/>
    </row>
    <row r="903" spans="1:15" ht="18" x14ac:dyDescent="0.2">
      <c r="A903" s="1199" t="s">
        <v>151</v>
      </c>
      <c r="B903" s="1159"/>
      <c r="C903" s="1160" t="s">
        <v>602</v>
      </c>
      <c r="D903" s="1160" t="s">
        <v>589</v>
      </c>
      <c r="E903" s="1168">
        <f>+E105+E238+E371+E504+E637+E770</f>
        <v>1188</v>
      </c>
      <c r="F903" s="1168">
        <f>+F105+F238+F371+F504+F637+F770</f>
        <v>1147</v>
      </c>
      <c r="G903" s="1168">
        <f>+G105+G238+G371+G504+G637+G770</f>
        <v>253175</v>
      </c>
      <c r="H903" s="1162" t="s">
        <v>591</v>
      </c>
      <c r="I903" s="1167">
        <f>+I105+I238+I371+I504+I637+I770</f>
        <v>204.48999999999998</v>
      </c>
      <c r="J903" s="1212"/>
      <c r="K903" s="1213"/>
      <c r="L903" s="1167" t="e">
        <f>+L105+L238+L371+L504+L637+L770</f>
        <v>#REF!</v>
      </c>
      <c r="M903" s="1167" t="e">
        <f>+M105+M238+M371+M504+M637+M770</f>
        <v>#REF!</v>
      </c>
      <c r="N903" s="1167"/>
      <c r="O903" s="1192"/>
    </row>
    <row r="904" spans="1:15" ht="18" x14ac:dyDescent="0.2">
      <c r="A904" s="1199" t="s">
        <v>151</v>
      </c>
      <c r="B904" s="1159"/>
      <c r="C904" s="1160"/>
      <c r="D904" s="1160"/>
      <c r="E904" s="1168"/>
      <c r="F904" s="1168"/>
      <c r="G904" s="1160"/>
      <c r="H904" s="1162" t="s">
        <v>590</v>
      </c>
      <c r="I904" s="1167">
        <f>+I106+I239+I372+I505+I638+I771</f>
        <v>101.02000000000001</v>
      </c>
      <c r="J904" s="1212"/>
      <c r="K904" s="1213"/>
      <c r="L904" s="1167">
        <f>+L106+L239+L372+L505+L638+L771</f>
        <v>0</v>
      </c>
      <c r="M904" s="1167" t="e">
        <f>+M106+M239+M372+M505+M638+M771</f>
        <v>#REF!</v>
      </c>
      <c r="N904" s="1167"/>
      <c r="O904" s="1192"/>
    </row>
    <row r="905" spans="1:15" ht="18" x14ac:dyDescent="0.2">
      <c r="A905" s="1199" t="s">
        <v>151</v>
      </c>
      <c r="B905" s="1164"/>
      <c r="C905" s="1165"/>
      <c r="D905" s="1166" t="s">
        <v>486</v>
      </c>
      <c r="E905" s="1169">
        <f>SUM(E903:E904)</f>
        <v>1188</v>
      </c>
      <c r="F905" s="1169">
        <f>SUM(F903:F904)</f>
        <v>1147</v>
      </c>
      <c r="G905" s="1169">
        <f>SUM(G903:G904)</f>
        <v>253175</v>
      </c>
      <c r="H905" s="1165"/>
      <c r="I905" s="1210">
        <f>SUM(I903:I904)</f>
        <v>305.51</v>
      </c>
      <c r="J905" s="1214"/>
      <c r="K905" s="1215"/>
      <c r="L905" s="1210" t="e">
        <f>SUM(L903:L904)</f>
        <v>#REF!</v>
      </c>
      <c r="M905" s="1170" t="e">
        <f>SUM(M903:M904)</f>
        <v>#REF!</v>
      </c>
      <c r="N905" s="1170" t="e">
        <f>L905+M905</f>
        <v>#REF!</v>
      </c>
      <c r="O905" s="1177" t="e">
        <f>ROUND(N905/I905*10,2)</f>
        <v>#REF!</v>
      </c>
    </row>
    <row r="906" spans="1:15" ht="18" x14ac:dyDescent="0.2">
      <c r="A906" s="1199" t="s">
        <v>151</v>
      </c>
      <c r="B906" s="1164">
        <v>12</v>
      </c>
      <c r="C906" s="1165" t="s">
        <v>600</v>
      </c>
      <c r="D906" s="1165"/>
      <c r="E906" s="1169">
        <f>+E901+E905</f>
        <v>2741</v>
      </c>
      <c r="F906" s="1169">
        <f>+F901+F905</f>
        <v>2633</v>
      </c>
      <c r="G906" s="1169">
        <f>+G901+G905</f>
        <v>473364</v>
      </c>
      <c r="H906" s="1165"/>
      <c r="I906" s="1170">
        <f>+I901+I905</f>
        <v>679.6</v>
      </c>
      <c r="J906" s="1214"/>
      <c r="K906" s="1215"/>
      <c r="L906" s="1170" t="e">
        <f>+L901+L905</f>
        <v>#REF!</v>
      </c>
      <c r="M906" s="1170" t="e">
        <f>+M901+M905</f>
        <v>#REF!</v>
      </c>
      <c r="N906" s="1170" t="e">
        <f>L906+M906</f>
        <v>#REF!</v>
      </c>
      <c r="O906" s="1177" t="e">
        <f>ROUND(N906/I906*10,2)</f>
        <v>#REF!</v>
      </c>
    </row>
    <row r="907" spans="1:15" ht="18" x14ac:dyDescent="0.2">
      <c r="A907" s="1199" t="s">
        <v>151</v>
      </c>
      <c r="B907" s="1163"/>
      <c r="C907" s="1163"/>
      <c r="D907" s="1163"/>
      <c r="E907" s="1163"/>
      <c r="F907" s="1163"/>
      <c r="G907" s="1163"/>
      <c r="H907" s="1163"/>
      <c r="I907" s="1176"/>
      <c r="J907" s="1212"/>
      <c r="K907" s="1213"/>
      <c r="L907" s="1176"/>
      <c r="M907" s="1176"/>
      <c r="N907" s="1176"/>
      <c r="O907" s="1176"/>
    </row>
    <row r="908" spans="1:15" ht="18" x14ac:dyDescent="0.2">
      <c r="A908" s="1199" t="s">
        <v>151</v>
      </c>
      <c r="B908" s="1159"/>
      <c r="C908" s="1160" t="s">
        <v>612</v>
      </c>
      <c r="D908" s="1160" t="s">
        <v>604</v>
      </c>
      <c r="E908" s="1168">
        <f t="shared" ref="E908:G911" si="23">+E110+E243+E376+E509+E642+E775</f>
        <v>852</v>
      </c>
      <c r="F908" s="1168">
        <f t="shared" si="23"/>
        <v>822</v>
      </c>
      <c r="G908" s="1168">
        <f t="shared" si="23"/>
        <v>1037486</v>
      </c>
      <c r="H908" s="1162" t="s">
        <v>561</v>
      </c>
      <c r="I908" s="1167">
        <f>+I110+I243+I376+I509+I642+I775</f>
        <v>942.49</v>
      </c>
      <c r="J908" s="1212"/>
      <c r="K908" s="1213"/>
      <c r="L908" s="1167" t="e">
        <f t="shared" ref="L908:M911" si="24">+L110+L243+L376+L509+L642+L775</f>
        <v>#REF!</v>
      </c>
      <c r="M908" s="1167" t="e">
        <f t="shared" si="24"/>
        <v>#REF!</v>
      </c>
      <c r="N908" s="1167" t="e">
        <f>L908+M908</f>
        <v>#REF!</v>
      </c>
      <c r="O908" s="1192" t="e">
        <f>ROUND(N908/I908*10,2)</f>
        <v>#REF!</v>
      </c>
    </row>
    <row r="909" spans="1:15" ht="18" x14ac:dyDescent="0.2">
      <c r="A909" s="1199" t="s">
        <v>151</v>
      </c>
      <c r="B909" s="1159"/>
      <c r="C909" s="1160" t="s">
        <v>613</v>
      </c>
      <c r="D909" s="1160" t="s">
        <v>604</v>
      </c>
      <c r="E909" s="1168">
        <f t="shared" si="23"/>
        <v>332</v>
      </c>
      <c r="F909" s="1168">
        <f t="shared" si="23"/>
        <v>321</v>
      </c>
      <c r="G909" s="1168">
        <f t="shared" si="23"/>
        <v>179754</v>
      </c>
      <c r="H909" s="1162" t="s">
        <v>561</v>
      </c>
      <c r="I909" s="1167">
        <f>+I111+I244+I377+I510+I643+I776</f>
        <v>188.34</v>
      </c>
      <c r="J909" s="1212"/>
      <c r="K909" s="1213"/>
      <c r="L909" s="1167" t="e">
        <f t="shared" si="24"/>
        <v>#REF!</v>
      </c>
      <c r="M909" s="1167" t="e">
        <f t="shared" si="24"/>
        <v>#REF!</v>
      </c>
      <c r="N909" s="1167" t="e">
        <f>L909+M909</f>
        <v>#REF!</v>
      </c>
      <c r="O909" s="1192"/>
    </row>
    <row r="910" spans="1:15" ht="18" x14ac:dyDescent="0.2">
      <c r="A910" s="1199" t="s">
        <v>151</v>
      </c>
      <c r="B910" s="1159"/>
      <c r="C910" s="1160" t="s">
        <v>614</v>
      </c>
      <c r="D910" s="1160" t="s">
        <v>604</v>
      </c>
      <c r="E910" s="1168">
        <f t="shared" si="23"/>
        <v>16</v>
      </c>
      <c r="F910" s="1168">
        <f t="shared" si="23"/>
        <v>15</v>
      </c>
      <c r="G910" s="1168">
        <f t="shared" si="23"/>
        <v>1550</v>
      </c>
      <c r="H910" s="1162" t="s">
        <v>561</v>
      </c>
      <c r="I910" s="1167">
        <f>+I112+I245+I378+I511+I644+I777</f>
        <v>0.76</v>
      </c>
      <c r="J910" s="1212"/>
      <c r="K910" s="1213"/>
      <c r="L910" s="1167" t="e">
        <f t="shared" si="24"/>
        <v>#REF!</v>
      </c>
      <c r="M910" s="1167" t="e">
        <f t="shared" si="24"/>
        <v>#REF!</v>
      </c>
      <c r="N910" s="1167" t="e">
        <f>L910+M910</f>
        <v>#REF!</v>
      </c>
      <c r="O910" s="1192"/>
    </row>
    <row r="911" spans="1:15" ht="18" x14ac:dyDescent="0.2">
      <c r="A911" s="1199" t="s">
        <v>151</v>
      </c>
      <c r="B911" s="1159"/>
      <c r="C911" s="1160" t="s">
        <v>615</v>
      </c>
      <c r="D911" s="1160" t="s">
        <v>604</v>
      </c>
      <c r="E911" s="1168">
        <f t="shared" si="23"/>
        <v>30</v>
      </c>
      <c r="F911" s="1168">
        <f t="shared" si="23"/>
        <v>28</v>
      </c>
      <c r="G911" s="1168">
        <f t="shared" si="23"/>
        <v>2708</v>
      </c>
      <c r="H911" s="1162" t="s">
        <v>561</v>
      </c>
      <c r="I911" s="1167">
        <f>+I113+I246+I379+I512+I645+I778</f>
        <v>2.26999999999998</v>
      </c>
      <c r="J911" s="1212"/>
      <c r="K911" s="1213"/>
      <c r="L911" s="1167" t="e">
        <f t="shared" si="24"/>
        <v>#REF!</v>
      </c>
      <c r="M911" s="1167" t="e">
        <f t="shared" si="24"/>
        <v>#REF!</v>
      </c>
      <c r="N911" s="1167" t="e">
        <f>L911+M911</f>
        <v>#REF!</v>
      </c>
      <c r="O911" s="1192" t="e">
        <f>ROUND(N911/I911*10,2)</f>
        <v>#REF!</v>
      </c>
    </row>
    <row r="912" spans="1:15" ht="18" x14ac:dyDescent="0.2">
      <c r="A912" s="1199" t="s">
        <v>151</v>
      </c>
      <c r="B912" s="1164">
        <v>13</v>
      </c>
      <c r="C912" s="1165" t="s">
        <v>603</v>
      </c>
      <c r="D912" s="1165"/>
      <c r="E912" s="1169">
        <f>SUM(E908:E911)</f>
        <v>1230</v>
      </c>
      <c r="F912" s="1169">
        <f>SUM(F908:F911)</f>
        <v>1186</v>
      </c>
      <c r="G912" s="1169">
        <f>SUM(G908:G911)</f>
        <v>1221498</v>
      </c>
      <c r="H912" s="1165"/>
      <c r="I912" s="1170">
        <f>SUM(I908:I911)</f>
        <v>1133.8599999999999</v>
      </c>
      <c r="J912" s="1214"/>
      <c r="K912" s="1215"/>
      <c r="L912" s="1170" t="e">
        <f>SUM(L908:L911)</f>
        <v>#REF!</v>
      </c>
      <c r="M912" s="1170" t="e">
        <f>SUM(M908:M911)</f>
        <v>#REF!</v>
      </c>
      <c r="N912" s="1170" t="e">
        <f>L912+M912</f>
        <v>#REF!</v>
      </c>
      <c r="O912" s="1177" t="e">
        <f>ROUND(N912/I912*10,2)</f>
        <v>#REF!</v>
      </c>
    </row>
    <row r="913" spans="1:15" ht="18" x14ac:dyDescent="0.2">
      <c r="A913" s="1199" t="s">
        <v>151</v>
      </c>
      <c r="B913" s="1163"/>
      <c r="C913" s="1163"/>
      <c r="D913" s="1163"/>
      <c r="E913" s="1163"/>
      <c r="F913" s="1163"/>
      <c r="G913" s="1163"/>
      <c r="H913" s="1163"/>
      <c r="I913" s="1176"/>
      <c r="J913" s="1212"/>
      <c r="K913" s="1213"/>
      <c r="L913" s="1176"/>
      <c r="M913" s="1176"/>
      <c r="N913" s="1176"/>
      <c r="O913" s="1176"/>
    </row>
    <row r="914" spans="1:15" ht="18" x14ac:dyDescent="0.2">
      <c r="A914" s="1199" t="s">
        <v>151</v>
      </c>
      <c r="B914" s="1159">
        <v>14</v>
      </c>
      <c r="C914" s="1160" t="s">
        <v>312</v>
      </c>
      <c r="D914" s="1160" t="s">
        <v>589</v>
      </c>
      <c r="E914" s="1168">
        <f t="shared" ref="E914:I916" si="25">+E116+E249+E382+E515+E648+E781</f>
        <v>860</v>
      </c>
      <c r="F914" s="1168">
        <f t="shared" si="25"/>
        <v>803</v>
      </c>
      <c r="G914" s="1168">
        <f t="shared" si="25"/>
        <v>120168</v>
      </c>
      <c r="H914" s="1162" t="s">
        <v>561</v>
      </c>
      <c r="I914" s="1167">
        <f t="shared" si="25"/>
        <v>161</v>
      </c>
      <c r="J914" s="1212"/>
      <c r="K914" s="1213"/>
      <c r="L914" s="1167" t="e">
        <f t="shared" ref="L914:M916" si="26">+L116+L249+L382+L515+L648+L781</f>
        <v>#REF!</v>
      </c>
      <c r="M914" s="1167" t="e">
        <f t="shared" si="26"/>
        <v>#REF!</v>
      </c>
      <c r="N914" s="1167" t="e">
        <f>L914+M914</f>
        <v>#REF!</v>
      </c>
      <c r="O914" s="1192" t="e">
        <f>ROUND(N914/I914*10,2)</f>
        <v>#REF!</v>
      </c>
    </row>
    <row r="915" spans="1:15" ht="18" x14ac:dyDescent="0.2">
      <c r="A915" s="1199" t="s">
        <v>151</v>
      </c>
      <c r="B915" s="1163"/>
      <c r="C915" s="1163"/>
      <c r="D915" s="1163"/>
      <c r="E915" s="1163"/>
      <c r="F915" s="1163"/>
      <c r="G915" s="1163"/>
      <c r="H915" s="1163"/>
      <c r="I915" s="1176"/>
      <c r="J915" s="1212"/>
      <c r="K915" s="1213"/>
      <c r="L915" s="1176"/>
      <c r="M915" s="1176"/>
      <c r="N915" s="1176"/>
      <c r="O915" s="1176"/>
    </row>
    <row r="916" spans="1:15" ht="18" x14ac:dyDescent="0.2">
      <c r="A916" s="1199" t="s">
        <v>151</v>
      </c>
      <c r="B916" s="1159">
        <v>15</v>
      </c>
      <c r="C916" s="1160" t="s">
        <v>313</v>
      </c>
      <c r="D916" s="1160" t="s">
        <v>589</v>
      </c>
      <c r="E916" s="1168">
        <f t="shared" si="25"/>
        <v>2979</v>
      </c>
      <c r="F916" s="1168">
        <f t="shared" si="25"/>
        <v>2773</v>
      </c>
      <c r="G916" s="1168">
        <f t="shared" si="25"/>
        <v>296213</v>
      </c>
      <c r="H916" s="1162" t="s">
        <v>561</v>
      </c>
      <c r="I916" s="1167">
        <f t="shared" si="25"/>
        <v>280.82</v>
      </c>
      <c r="J916" s="1212"/>
      <c r="K916" s="1213"/>
      <c r="L916" s="1167" t="e">
        <f t="shared" si="26"/>
        <v>#REF!</v>
      </c>
      <c r="M916" s="1167" t="e">
        <f t="shared" si="26"/>
        <v>#REF!</v>
      </c>
      <c r="N916" s="1167" t="e">
        <f>L916+M916</f>
        <v>#REF!</v>
      </c>
      <c r="O916" s="1192" t="e">
        <f>ROUND(N916/I916*10,2)</f>
        <v>#REF!</v>
      </c>
    </row>
    <row r="917" spans="1:15" ht="18" x14ac:dyDescent="0.2">
      <c r="A917" s="1199" t="s">
        <v>151</v>
      </c>
      <c r="B917" s="1163"/>
      <c r="C917" s="1163"/>
      <c r="D917" s="1163"/>
      <c r="E917" s="1163"/>
      <c r="F917" s="1163"/>
      <c r="G917" s="1163"/>
      <c r="H917" s="1163"/>
      <c r="I917" s="1176"/>
      <c r="J917" s="1212"/>
      <c r="K917" s="1213"/>
      <c r="L917" s="1176"/>
      <c r="M917" s="1176"/>
      <c r="N917" s="1176"/>
      <c r="O917" s="1176"/>
    </row>
    <row r="918" spans="1:15" ht="18" x14ac:dyDescent="0.2">
      <c r="A918" s="1199" t="s">
        <v>151</v>
      </c>
      <c r="B918" s="1194"/>
      <c r="C918" s="1195" t="s">
        <v>605</v>
      </c>
      <c r="D918" s="1195"/>
      <c r="E918" s="1196">
        <f>E879+E888+E897+E906+E912+E914+E916</f>
        <v>37112</v>
      </c>
      <c r="F918" s="1196">
        <f>F879+F888+F897+F906+F912+F914+F916</f>
        <v>35952</v>
      </c>
      <c r="G918" s="1196">
        <f>G879+G888+G897+G906+G912+G914+G916</f>
        <v>13273334</v>
      </c>
      <c r="H918" s="1195"/>
      <c r="I918" s="1205">
        <f>I879+I888+I897+I906+I912+I914+I916</f>
        <v>16194.8</v>
      </c>
      <c r="J918" s="1217"/>
      <c r="K918" s="1218"/>
      <c r="L918" s="1211" t="e">
        <f>L879+L888+L897+L906+L912+L914+L916</f>
        <v>#REF!</v>
      </c>
      <c r="M918" s="1193" t="e">
        <f>M879+M888+M897+M906+M912+M914+M916</f>
        <v>#REF!</v>
      </c>
      <c r="N918" s="1193" t="e">
        <f>L918+M918</f>
        <v>#REF!</v>
      </c>
      <c r="O918" s="1193" t="e">
        <f>ROUND(N918/I918*10,2)</f>
        <v>#REF!</v>
      </c>
    </row>
    <row r="919" spans="1:15" ht="18" x14ac:dyDescent="0.2">
      <c r="A919" s="1199" t="s">
        <v>151</v>
      </c>
      <c r="B919" s="1163"/>
      <c r="C919" s="1163"/>
      <c r="D919" s="1163"/>
      <c r="E919" s="1163"/>
      <c r="F919" s="1163"/>
      <c r="G919" s="1163"/>
      <c r="H919" s="1163"/>
      <c r="I919" s="1176"/>
      <c r="J919" s="1212"/>
      <c r="K919" s="1213"/>
      <c r="L919" s="1176"/>
      <c r="M919" s="1176"/>
      <c r="N919" s="1176"/>
      <c r="O919" s="1176"/>
    </row>
    <row r="920" spans="1:15" ht="18" x14ac:dyDescent="0.2">
      <c r="A920" s="1199" t="s">
        <v>151</v>
      </c>
      <c r="B920" s="1194"/>
      <c r="C920" s="1195" t="s">
        <v>606</v>
      </c>
      <c r="D920" s="1195"/>
      <c r="E920" s="1196">
        <f>E877+E918</f>
        <v>31105727</v>
      </c>
      <c r="F920" s="1196">
        <f>F877+F918</f>
        <v>30555377</v>
      </c>
      <c r="G920" s="1196">
        <f>G877+G918</f>
        <v>84681377</v>
      </c>
      <c r="H920" s="1195"/>
      <c r="I920" s="1205">
        <f>I877+I918</f>
        <v>64089.801000000007</v>
      </c>
      <c r="J920" s="1217"/>
      <c r="K920" s="1218"/>
      <c r="L920" s="1211" t="e">
        <f>L877+L918</f>
        <v>#REF!</v>
      </c>
      <c r="M920" s="1193" t="e">
        <f>M877+M918</f>
        <v>#REF!</v>
      </c>
      <c r="N920" s="1193" t="e">
        <f>L920+M920</f>
        <v>#REF!</v>
      </c>
      <c r="O920" s="1193" t="e">
        <f>ROUND(N920/I920*10,2)</f>
        <v>#REF!</v>
      </c>
    </row>
    <row r="921" spans="1:15" ht="18" x14ac:dyDescent="0.2">
      <c r="A921" s="1199" t="s">
        <v>151</v>
      </c>
      <c r="B921" s="1163"/>
      <c r="C921" s="1163"/>
      <c r="D921" s="1163"/>
      <c r="E921" s="1163"/>
      <c r="F921" s="1163"/>
      <c r="G921" s="1163"/>
      <c r="H921" s="1163"/>
      <c r="I921" s="1176"/>
      <c r="J921" s="1212"/>
      <c r="K921" s="1213"/>
      <c r="L921" s="1176"/>
      <c r="M921" s="1176"/>
      <c r="N921" s="1176"/>
      <c r="O921" s="1176"/>
    </row>
    <row r="922" spans="1:15" ht="18" x14ac:dyDescent="0.2">
      <c r="A922" s="1199" t="s">
        <v>151</v>
      </c>
      <c r="B922" s="1159">
        <v>16</v>
      </c>
      <c r="C922" s="1160"/>
      <c r="D922" s="1160"/>
      <c r="E922" s="1168"/>
      <c r="F922" s="1168"/>
      <c r="G922" s="1160"/>
      <c r="H922" s="1162"/>
      <c r="I922" s="1202"/>
      <c r="J922" s="1212"/>
      <c r="K922" s="1213"/>
      <c r="L922" s="1208"/>
      <c r="M922" s="1167"/>
      <c r="N922" s="1167"/>
      <c r="O922" s="1192"/>
    </row>
    <row r="923" spans="1:15" ht="18" x14ac:dyDescent="0.2">
      <c r="A923" s="1199" t="s">
        <v>151</v>
      </c>
      <c r="B923" s="1163"/>
      <c r="C923" s="1163"/>
      <c r="D923" s="1163"/>
      <c r="E923" s="1163"/>
      <c r="F923" s="1163"/>
      <c r="G923" s="1163"/>
      <c r="H923" s="1163"/>
      <c r="I923" s="1176"/>
      <c r="J923" s="1212"/>
      <c r="K923" s="1213"/>
      <c r="L923" s="1176"/>
      <c r="M923" s="1176"/>
      <c r="N923" s="1176"/>
      <c r="O923" s="1176"/>
    </row>
    <row r="924" spans="1:15" ht="18" x14ac:dyDescent="0.2">
      <c r="A924" s="1199" t="s">
        <v>151</v>
      </c>
      <c r="B924" s="1159">
        <v>17</v>
      </c>
      <c r="C924" s="1160"/>
      <c r="D924" s="1160"/>
      <c r="E924" s="1168"/>
      <c r="F924" s="1168"/>
      <c r="G924" s="1160"/>
      <c r="H924" s="1162"/>
      <c r="I924" s="1202"/>
      <c r="J924" s="1212"/>
      <c r="K924" s="1213"/>
      <c r="L924" s="1208"/>
      <c r="M924" s="1167"/>
      <c r="N924" s="1167"/>
      <c r="O924" s="1192"/>
    </row>
    <row r="925" spans="1:15" ht="18" x14ac:dyDescent="0.2">
      <c r="A925" s="1199" t="s">
        <v>151</v>
      </c>
      <c r="B925" s="1163"/>
      <c r="C925" s="1163"/>
      <c r="D925" s="1163"/>
      <c r="E925" s="1163"/>
      <c r="F925" s="1163"/>
      <c r="G925" s="1163"/>
      <c r="H925" s="1163"/>
      <c r="I925" s="1176"/>
      <c r="J925" s="1212"/>
      <c r="K925" s="1213"/>
      <c r="L925" s="1176"/>
      <c r="M925" s="1176"/>
      <c r="N925" s="1176"/>
      <c r="O925" s="1176"/>
    </row>
    <row r="926" spans="1:15" ht="18" x14ac:dyDescent="0.2">
      <c r="A926" s="1199" t="s">
        <v>151</v>
      </c>
      <c r="B926" s="1159">
        <v>18</v>
      </c>
      <c r="C926" s="1160"/>
      <c r="D926" s="1160" t="s">
        <v>305</v>
      </c>
      <c r="E926" s="1168"/>
      <c r="F926" s="1168"/>
      <c r="G926" s="1160"/>
      <c r="H926" s="1162"/>
      <c r="I926" s="1202"/>
      <c r="J926" s="1212"/>
      <c r="K926" s="1213"/>
      <c r="L926" s="1167">
        <f>+L128+L261+L394+L527+L660</f>
        <v>0</v>
      </c>
      <c r="M926" s="1167">
        <f>+M128+M261+M394+M527+M660</f>
        <v>1597.9799999999998</v>
      </c>
      <c r="N926" s="1167">
        <f>L926+M926</f>
        <v>1597.9799999999998</v>
      </c>
      <c r="O926" s="1192"/>
    </row>
    <row r="927" spans="1:15" ht="18" x14ac:dyDescent="0.2">
      <c r="A927" s="1199" t="s">
        <v>151</v>
      </c>
      <c r="B927" s="1163"/>
      <c r="C927" s="1163"/>
      <c r="D927" s="1163"/>
      <c r="E927" s="1163"/>
      <c r="F927" s="1163"/>
      <c r="G927" s="1163"/>
      <c r="H927" s="1163"/>
      <c r="I927" s="1176"/>
      <c r="J927" s="1212"/>
      <c r="K927" s="1213"/>
      <c r="L927" s="1176"/>
      <c r="M927" s="1176"/>
      <c r="N927" s="1176"/>
      <c r="O927" s="1176"/>
    </row>
    <row r="928" spans="1:15" ht="18" x14ac:dyDescent="0.2">
      <c r="A928" s="1199" t="s">
        <v>151</v>
      </c>
      <c r="B928" s="1194"/>
      <c r="C928" s="1195" t="s">
        <v>607</v>
      </c>
      <c r="D928" s="1195"/>
      <c r="E928" s="1196">
        <f>E920+E926+E922+E924</f>
        <v>31105727</v>
      </c>
      <c r="F928" s="1196">
        <f>F920+F926+F922+F924</f>
        <v>30555377</v>
      </c>
      <c r="G928" s="1196">
        <f>G920+G926+G922+G924</f>
        <v>84681377</v>
      </c>
      <c r="H928" s="1195"/>
      <c r="I928" s="1205">
        <f>I920+I926+I922+I924</f>
        <v>64089.801000000007</v>
      </c>
      <c r="J928" s="1219"/>
      <c r="K928" s="1220"/>
      <c r="L928" s="1211" t="e">
        <f>L920+L926+L922+L924</f>
        <v>#REF!</v>
      </c>
      <c r="M928" s="1193" t="e">
        <f>M920+M926+M922+M924</f>
        <v>#REF!</v>
      </c>
      <c r="N928" s="1193" t="e">
        <f>L928+M928</f>
        <v>#REF!</v>
      </c>
      <c r="O928" s="1193" t="e">
        <f>ROUND(N928/I928*10,2)</f>
        <v>#REF!</v>
      </c>
    </row>
    <row r="930" spans="5:15" x14ac:dyDescent="0.15">
      <c r="L930" s="1223"/>
      <c r="M930" s="1223"/>
      <c r="N930" s="1223"/>
    </row>
    <row r="931" spans="5:15" x14ac:dyDescent="0.15">
      <c r="E931" s="1221"/>
      <c r="F931" s="1221"/>
      <c r="G931" s="1221"/>
      <c r="I931" s="1224"/>
      <c r="L931" s="1224"/>
      <c r="M931" s="1224"/>
      <c r="N931" s="1224"/>
      <c r="O931" s="1224"/>
    </row>
    <row r="932" spans="5:15" x14ac:dyDescent="0.15">
      <c r="I932" s="1224">
        <f>+I920-I787</f>
        <v>63722.400000000009</v>
      </c>
      <c r="J932" s="1224" t="e">
        <f>+L920-L787</f>
        <v>#REF!</v>
      </c>
      <c r="K932" s="1224" t="e">
        <f>+M920-M787</f>
        <v>#REF!</v>
      </c>
      <c r="L932" s="1224" t="e">
        <f>+N920-N787</f>
        <v>#REF!</v>
      </c>
      <c r="O932" s="1224"/>
    </row>
    <row r="934" spans="5:15" x14ac:dyDescent="0.15">
      <c r="E934" s="1221"/>
      <c r="F934" s="1221"/>
      <c r="G934" s="1221"/>
      <c r="H934" s="1221"/>
      <c r="I934" s="1221"/>
      <c r="J934" s="1221"/>
      <c r="K934" s="1221"/>
      <c r="L934" s="1221"/>
      <c r="M934" s="1221"/>
      <c r="N934" s="1221"/>
      <c r="O934" s="1221"/>
    </row>
    <row r="935" spans="5:15" x14ac:dyDescent="0.15">
      <c r="E935" s="1221"/>
      <c r="F935" s="1221"/>
      <c r="G935" s="1221"/>
      <c r="H935" s="1221"/>
      <c r="I935" s="1224"/>
      <c r="J935" s="1221"/>
      <c r="K935" s="1221"/>
      <c r="L935" s="1221"/>
      <c r="M935" s="1221"/>
      <c r="N935" s="1221"/>
      <c r="O935" s="1221"/>
    </row>
    <row r="940" spans="5:15" x14ac:dyDescent="0.15">
      <c r="I940" s="1224"/>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U152"/>
  <sheetViews>
    <sheetView topLeftCell="A70" zoomScale="75" zoomScaleNormal="75" workbookViewId="0">
      <selection activeCell="A105" sqref="A105:IV105"/>
    </sheetView>
  </sheetViews>
  <sheetFormatPr defaultColWidth="9.16796875" defaultRowHeight="14.25" x14ac:dyDescent="0.15"/>
  <cols>
    <col min="1" max="1" width="12.5390625" style="1227" customWidth="1"/>
    <col min="2" max="2" width="7.68359375" style="1244" customWidth="1"/>
    <col min="3" max="7" width="13.75390625" style="1227" customWidth="1"/>
    <col min="8" max="8" width="9.16796875" style="1227"/>
    <col min="9" max="11" width="13.75390625" style="1227" customWidth="1"/>
    <col min="12" max="12" width="9.16796875" style="1227"/>
    <col min="13" max="16" width="13.75390625" style="1227" customWidth="1"/>
    <col min="17" max="16384" width="9.16796875" style="1227"/>
  </cols>
  <sheetData>
    <row r="2" spans="1:21" ht="22.5" x14ac:dyDescent="0.5">
      <c r="D2" s="1245" t="s">
        <v>632</v>
      </c>
    </row>
    <row r="5" spans="1:21" x14ac:dyDescent="0.15">
      <c r="B5" s="1228" t="s">
        <v>609</v>
      </c>
      <c r="E5" s="1229" t="s">
        <v>624</v>
      </c>
      <c r="F5" s="1230"/>
      <c r="G5" s="1231"/>
      <c r="I5" s="1229" t="s">
        <v>631</v>
      </c>
      <c r="J5" s="1230"/>
      <c r="K5" s="1231"/>
      <c r="M5" s="1229" t="s">
        <v>626</v>
      </c>
      <c r="N5" s="1230"/>
      <c r="O5" s="1230"/>
      <c r="P5" s="1253" t="s">
        <v>628</v>
      </c>
    </row>
    <row r="6" spans="1:21" x14ac:dyDescent="0.15">
      <c r="B6" s="1232" t="s">
        <v>472</v>
      </c>
      <c r="C6" s="1232" t="s">
        <v>474</v>
      </c>
      <c r="D6" s="1233" t="s">
        <v>475</v>
      </c>
      <c r="E6" s="1234" t="s">
        <v>610</v>
      </c>
      <c r="F6" s="1234" t="s">
        <v>611</v>
      </c>
      <c r="G6" s="1234" t="s">
        <v>488</v>
      </c>
      <c r="I6" s="1234" t="s">
        <v>610</v>
      </c>
      <c r="J6" s="1234" t="s">
        <v>611</v>
      </c>
      <c r="K6" s="1234" t="s">
        <v>488</v>
      </c>
      <c r="M6" s="1234" t="s">
        <v>610</v>
      </c>
      <c r="N6" s="1234" t="s">
        <v>611</v>
      </c>
      <c r="O6" s="1251" t="s">
        <v>488</v>
      </c>
      <c r="P6" s="1254" t="s">
        <v>629</v>
      </c>
    </row>
    <row r="7" spans="1:21" x14ac:dyDescent="0.15">
      <c r="B7" s="1235" t="s">
        <v>473</v>
      </c>
      <c r="C7" s="1235" t="s">
        <v>31</v>
      </c>
      <c r="D7" s="1236" t="s">
        <v>476</v>
      </c>
      <c r="E7" s="1235" t="s">
        <v>481</v>
      </c>
      <c r="F7" s="1235" t="s">
        <v>481</v>
      </c>
      <c r="G7" s="1235" t="s">
        <v>481</v>
      </c>
      <c r="I7" s="1235" t="s">
        <v>481</v>
      </c>
      <c r="J7" s="1235" t="s">
        <v>481</v>
      </c>
      <c r="K7" s="1235" t="s">
        <v>481</v>
      </c>
      <c r="M7" s="1235" t="s">
        <v>481</v>
      </c>
      <c r="N7" s="1235" t="s">
        <v>481</v>
      </c>
      <c r="O7" s="1236" t="s">
        <v>481</v>
      </c>
      <c r="P7" s="1255" t="s">
        <v>630</v>
      </c>
    </row>
    <row r="8" spans="1:21" ht="16.5" x14ac:dyDescent="0.2">
      <c r="A8" s="1250" t="s">
        <v>18</v>
      </c>
      <c r="B8" s="1228">
        <v>1</v>
      </c>
      <c r="C8" s="1229" t="s">
        <v>484</v>
      </c>
      <c r="D8" s="1229" t="e">
        <f>+#REF!</f>
        <v>#REF!</v>
      </c>
      <c r="E8" s="1229" t="e">
        <f>+#REF!</f>
        <v>#REF!</v>
      </c>
      <c r="F8" s="1229" t="e">
        <f>+#REF!</f>
        <v>#REF!</v>
      </c>
      <c r="G8" s="1229" t="e">
        <f>+#REF!</f>
        <v>#REF!</v>
      </c>
      <c r="I8" s="1229">
        <f>+'Equating with BBMP'!$L$8</f>
        <v>8.1999999999999993</v>
      </c>
      <c r="J8" s="1229" t="e">
        <f>+'Equating with BBMP'!$M$8</f>
        <v>#REF!</v>
      </c>
      <c r="K8" s="1229" t="e">
        <f>+'Equating with BBMP'!$N$8</f>
        <v>#REF!</v>
      </c>
      <c r="M8" s="1229" t="e">
        <f>+I8-E8</f>
        <v>#REF!</v>
      </c>
      <c r="N8" s="1229" t="e">
        <f t="shared" ref="N8:N15" si="0">+J8-F8</f>
        <v>#REF!</v>
      </c>
      <c r="O8" s="1229" t="e">
        <f>+M8+N8</f>
        <v>#REF!</v>
      </c>
      <c r="P8" s="1252" t="e">
        <f>ROUND(O8/D8*1000,0)</f>
        <v>#REF!</v>
      </c>
    </row>
    <row r="9" spans="1:21" ht="16.5" x14ac:dyDescent="0.2">
      <c r="A9" s="1250" t="s">
        <v>18</v>
      </c>
      <c r="B9" s="1228">
        <v>2</v>
      </c>
      <c r="C9" s="1229" t="s">
        <v>490</v>
      </c>
      <c r="D9" s="1229" t="e">
        <f>+#REF!</f>
        <v>#REF!</v>
      </c>
      <c r="E9" s="1229" t="e">
        <f>+#REF!</f>
        <v>#REF!</v>
      </c>
      <c r="F9" s="1229" t="e">
        <f>+#REF!</f>
        <v>#REF!</v>
      </c>
      <c r="G9" s="1229" t="e">
        <f>+#REF!</f>
        <v>#REF!</v>
      </c>
      <c r="I9" s="1229" t="e">
        <f>+'Equating with BBMP'!$L$21</f>
        <v>#REF!</v>
      </c>
      <c r="J9" s="1229" t="e">
        <f>+'Equating with BBMP'!$M$21</f>
        <v>#REF!</v>
      </c>
      <c r="K9" s="1229" t="e">
        <f>+'Equating with BBMP'!$N$21</f>
        <v>#REF!</v>
      </c>
      <c r="M9" s="1229" t="e">
        <f t="shared" ref="M9:M15" si="1">+I9-E9</f>
        <v>#REF!</v>
      </c>
      <c r="N9" s="1229" t="e">
        <f t="shared" si="0"/>
        <v>#REF!</v>
      </c>
      <c r="O9" s="1229" t="e">
        <f t="shared" ref="O9:O15" si="2">+M9+N9</f>
        <v>#REF!</v>
      </c>
      <c r="P9" s="1246" t="e">
        <f t="shared" ref="P9:P27" si="3">ROUND(O9/D9*1000,0)</f>
        <v>#REF!</v>
      </c>
    </row>
    <row r="10" spans="1:21" ht="16.5" x14ac:dyDescent="0.2">
      <c r="A10" s="1250" t="s">
        <v>18</v>
      </c>
      <c r="B10" s="1228">
        <v>3</v>
      </c>
      <c r="C10" s="1229" t="s">
        <v>553</v>
      </c>
      <c r="D10" s="1229" t="e">
        <f>+#REF!</f>
        <v>#REF!</v>
      </c>
      <c r="E10" s="1229" t="e">
        <f>+#REF!</f>
        <v>#REF!</v>
      </c>
      <c r="F10" s="1229" t="e">
        <f>+#REF!</f>
        <v>#REF!</v>
      </c>
      <c r="G10" s="1229" t="e">
        <f>+#REF!</f>
        <v>#REF!</v>
      </c>
      <c r="I10" s="1229" t="e">
        <f>+'Equating with BBMP'!$L$32</f>
        <v>#REF!</v>
      </c>
      <c r="J10" s="1229" t="e">
        <f>+'Equating with BBMP'!$M$32</f>
        <v>#REF!</v>
      </c>
      <c r="K10" s="1229" t="e">
        <f>+'Equating with BBMP'!$N$32</f>
        <v>#REF!</v>
      </c>
      <c r="M10" s="1229" t="e">
        <f t="shared" si="1"/>
        <v>#REF!</v>
      </c>
      <c r="N10" s="1229" t="e">
        <f t="shared" si="0"/>
        <v>#REF!</v>
      </c>
      <c r="O10" s="1229" t="e">
        <f t="shared" si="2"/>
        <v>#REF!</v>
      </c>
      <c r="P10" s="1246" t="e">
        <f t="shared" si="3"/>
        <v>#REF!</v>
      </c>
    </row>
    <row r="11" spans="1:21" ht="16.5" x14ac:dyDescent="0.2">
      <c r="A11" s="1250" t="s">
        <v>18</v>
      </c>
      <c r="B11" s="1228">
        <v>4</v>
      </c>
      <c r="C11" s="1229" t="s">
        <v>557</v>
      </c>
      <c r="D11" s="1229" t="e">
        <f>+#REF!</f>
        <v>#REF!</v>
      </c>
      <c r="E11" s="1229" t="e">
        <f>+#REF!</f>
        <v>#REF!</v>
      </c>
      <c r="F11" s="1229" t="e">
        <f>+#REF!</f>
        <v>#REF!</v>
      </c>
      <c r="G11" s="1229" t="e">
        <f>+#REF!</f>
        <v>#REF!</v>
      </c>
      <c r="I11" s="1229" t="e">
        <f>+'Equating with BBMP'!$L$41</f>
        <v>#REF!</v>
      </c>
      <c r="J11" s="1229" t="e">
        <f>+'Equating with BBMP'!$M$41</f>
        <v>#REF!</v>
      </c>
      <c r="K11" s="1229" t="e">
        <f>+'Equating with BBMP'!$N$41</f>
        <v>#REF!</v>
      </c>
      <c r="M11" s="1229" t="e">
        <f t="shared" si="1"/>
        <v>#REF!</v>
      </c>
      <c r="N11" s="1229" t="e">
        <f t="shared" si="0"/>
        <v>#REF!</v>
      </c>
      <c r="O11" s="1229" t="e">
        <f t="shared" si="2"/>
        <v>#REF!</v>
      </c>
      <c r="P11" s="1246" t="e">
        <f t="shared" si="3"/>
        <v>#REF!</v>
      </c>
    </row>
    <row r="12" spans="1:21" ht="16.5" x14ac:dyDescent="0.2">
      <c r="A12" s="1250" t="s">
        <v>18</v>
      </c>
      <c r="B12" s="1228">
        <v>5</v>
      </c>
      <c r="C12" s="1229" t="s">
        <v>566</v>
      </c>
      <c r="D12" s="1229" t="e">
        <f>+#REF!</f>
        <v>#REF!</v>
      </c>
      <c r="E12" s="1229" t="e">
        <f>+#REF!</f>
        <v>#REF!</v>
      </c>
      <c r="F12" s="1229" t="e">
        <f>+#REF!</f>
        <v>#REF!</v>
      </c>
      <c r="G12" s="1229" t="e">
        <f>+#REF!</f>
        <v>#REF!</v>
      </c>
      <c r="I12" s="1229" t="e">
        <f>+'Equating with BBMP'!$L$46</f>
        <v>#REF!</v>
      </c>
      <c r="J12" s="1229" t="e">
        <f>+'Equating with BBMP'!$M$46</f>
        <v>#REF!</v>
      </c>
      <c r="K12" s="1229" t="e">
        <f>+'Equating with BBMP'!$N$46</f>
        <v>#REF!</v>
      </c>
      <c r="M12" s="1229" t="e">
        <f t="shared" si="1"/>
        <v>#REF!</v>
      </c>
      <c r="N12" s="1229" t="e">
        <f t="shared" si="0"/>
        <v>#REF!</v>
      </c>
      <c r="O12" s="1229" t="e">
        <f t="shared" si="2"/>
        <v>#REF!</v>
      </c>
      <c r="P12" s="1246" t="e">
        <f t="shared" si="3"/>
        <v>#REF!</v>
      </c>
    </row>
    <row r="13" spans="1:21" ht="16.5" x14ac:dyDescent="0.2">
      <c r="A13" s="1250" t="s">
        <v>18</v>
      </c>
      <c r="B13" s="1228">
        <v>6</v>
      </c>
      <c r="C13" s="1229" t="s">
        <v>567</v>
      </c>
      <c r="D13" s="1229" t="e">
        <f>+#REF!</f>
        <v>#REF!</v>
      </c>
      <c r="E13" s="1229" t="e">
        <f>+#REF!</f>
        <v>#REF!</v>
      </c>
      <c r="F13" s="1229" t="e">
        <f>+#REF!</f>
        <v>#REF!</v>
      </c>
      <c r="G13" s="1229" t="e">
        <f>+#REF!</f>
        <v>#REF!</v>
      </c>
      <c r="I13" s="1229" t="e">
        <f>+'Equating with BBMP'!$L$61</f>
        <v>#REF!</v>
      </c>
      <c r="J13" s="1229" t="e">
        <f>+'Equating with BBMP'!$M$61</f>
        <v>#REF!</v>
      </c>
      <c r="K13" s="1229" t="e">
        <f>+'Equating with BBMP'!$N$61</f>
        <v>#REF!</v>
      </c>
      <c r="M13" s="1229" t="e">
        <f t="shared" si="1"/>
        <v>#REF!</v>
      </c>
      <c r="N13" s="1229" t="e">
        <f t="shared" si="0"/>
        <v>#REF!</v>
      </c>
      <c r="O13" s="1229" t="e">
        <f t="shared" si="2"/>
        <v>#REF!</v>
      </c>
      <c r="P13" s="1246" t="e">
        <f t="shared" si="3"/>
        <v>#REF!</v>
      </c>
      <c r="U13" s="1227">
        <f>+'Equating with BBMP'!J96</f>
        <v>300</v>
      </c>
    </row>
    <row r="14" spans="1:21" ht="16.5" x14ac:dyDescent="0.2">
      <c r="A14" s="1250" t="s">
        <v>18</v>
      </c>
      <c r="B14" s="1228">
        <v>7</v>
      </c>
      <c r="C14" s="1229" t="s">
        <v>577</v>
      </c>
      <c r="D14" s="1229" t="e">
        <f>+#REF!</f>
        <v>#REF!</v>
      </c>
      <c r="E14" s="1229" t="e">
        <f>+#REF!</f>
        <v>#REF!</v>
      </c>
      <c r="F14" s="1229" t="e">
        <f>+#REF!</f>
        <v>#REF!</v>
      </c>
      <c r="G14" s="1229" t="e">
        <f>+#REF!</f>
        <v>#REF!</v>
      </c>
      <c r="I14" s="1229" t="e">
        <f>+'Equating with BBMP'!$L$73</f>
        <v>#REF!</v>
      </c>
      <c r="J14" s="1229" t="e">
        <f>+'Equating with BBMP'!$M$73</f>
        <v>#REF!</v>
      </c>
      <c r="K14" s="1229" t="e">
        <f>+'Equating with BBMP'!$N$73</f>
        <v>#REF!</v>
      </c>
      <c r="M14" s="1229" t="e">
        <f t="shared" si="1"/>
        <v>#REF!</v>
      </c>
      <c r="N14" s="1229" t="e">
        <f t="shared" si="0"/>
        <v>#REF!</v>
      </c>
      <c r="O14" s="1229" t="e">
        <f t="shared" si="2"/>
        <v>#REF!</v>
      </c>
      <c r="P14" s="1246" t="e">
        <f t="shared" si="3"/>
        <v>#REF!</v>
      </c>
    </row>
    <row r="15" spans="1:21" ht="16.5" x14ac:dyDescent="0.2">
      <c r="A15" s="1250" t="s">
        <v>18</v>
      </c>
      <c r="B15" s="1228">
        <v>8</v>
      </c>
      <c r="C15" s="1229" t="s">
        <v>587</v>
      </c>
      <c r="D15" s="1229" t="e">
        <f>+#REF!</f>
        <v>#REF!</v>
      </c>
      <c r="E15" s="1229" t="e">
        <f>+#REF!</f>
        <v>#REF!</v>
      </c>
      <c r="F15" s="1229" t="e">
        <f>+#REF!</f>
        <v>#REF!</v>
      </c>
      <c r="G15" s="1229" t="e">
        <f>+#REF!</f>
        <v>#REF!</v>
      </c>
      <c r="I15" s="1229" t="e">
        <f>+'Equating with BBMP'!$L$77</f>
        <v>#REF!</v>
      </c>
      <c r="J15" s="1229" t="e">
        <f>+'Equating with BBMP'!$M$77</f>
        <v>#REF!</v>
      </c>
      <c r="K15" s="1229" t="e">
        <f>+'Equating with BBMP'!$N$77</f>
        <v>#REF!</v>
      </c>
      <c r="M15" s="1229" t="e">
        <f t="shared" si="1"/>
        <v>#REF!</v>
      </c>
      <c r="N15" s="1229" t="e">
        <f t="shared" si="0"/>
        <v>#REF!</v>
      </c>
      <c r="O15" s="1229" t="e">
        <f t="shared" si="2"/>
        <v>#REF!</v>
      </c>
      <c r="P15" s="1246" t="e">
        <f t="shared" si="3"/>
        <v>#REF!</v>
      </c>
    </row>
    <row r="16" spans="1:21" ht="16.5" x14ac:dyDescent="0.2">
      <c r="A16" s="1250" t="s">
        <v>18</v>
      </c>
      <c r="B16" s="1237"/>
      <c r="C16" s="1238" t="s">
        <v>588</v>
      </c>
      <c r="D16" s="1238" t="e">
        <f>D8+D9+D10+D11+D12+D13+D14+D15</f>
        <v>#REF!</v>
      </c>
      <c r="E16" s="1238" t="e">
        <f>E8+E9+E10+E11+E12+E13+E14+E15</f>
        <v>#REF!</v>
      </c>
      <c r="F16" s="1238" t="e">
        <f>F8+F9+F10+F11+F12+F13+F14+F15</f>
        <v>#REF!</v>
      </c>
      <c r="G16" s="1238" t="e">
        <f>G8+G9+G10+G11+G12+G13+G14+G15</f>
        <v>#REF!</v>
      </c>
      <c r="I16" s="1238" t="e">
        <f>I8+I9+I10+I11+I12+I13+I14+I15</f>
        <v>#REF!</v>
      </c>
      <c r="J16" s="1238" t="e">
        <f>J8+J9+J10+J11+J12+J13+J14+J15</f>
        <v>#REF!</v>
      </c>
      <c r="K16" s="1238" t="e">
        <f>K8+K9+K10+K11+K12+K13+K14+K15</f>
        <v>#REF!</v>
      </c>
      <c r="M16" s="1238" t="e">
        <f>M8+M9+M10+M11+M12+M13+M14+M15</f>
        <v>#REF!</v>
      </c>
      <c r="N16" s="1238" t="e">
        <f>N8+N9+N10+N11+N12+N13+N14+N15</f>
        <v>#REF!</v>
      </c>
      <c r="O16" s="1238" t="e">
        <f>O8+O9+O10+O11+O12+O13+O14+O15</f>
        <v>#REF!</v>
      </c>
      <c r="P16" s="1247" t="e">
        <f t="shared" si="3"/>
        <v>#REF!</v>
      </c>
    </row>
    <row r="17" spans="1:16" ht="16.5" x14ac:dyDescent="0.2">
      <c r="A17" s="1250" t="s">
        <v>18</v>
      </c>
      <c r="B17" s="1227"/>
    </row>
    <row r="18" spans="1:16" ht="16.5" x14ac:dyDescent="0.2">
      <c r="A18" s="1250" t="s">
        <v>18</v>
      </c>
      <c r="B18" s="1239">
        <v>9</v>
      </c>
      <c r="C18" s="1240" t="s">
        <v>16</v>
      </c>
      <c r="D18" s="1229" t="e">
        <f>+#REF!</f>
        <v>#REF!</v>
      </c>
      <c r="E18" s="1229" t="e">
        <f>+#REF!</f>
        <v>#REF!</v>
      </c>
      <c r="F18" s="1229" t="e">
        <f>+#REF!</f>
        <v>#REF!</v>
      </c>
      <c r="G18" s="1229" t="e">
        <f>+#REF!</f>
        <v>#REF!</v>
      </c>
      <c r="I18" s="1229" t="e">
        <f>+'Equating with BBMP'!$L$81</f>
        <v>#REF!</v>
      </c>
      <c r="J18" s="1229" t="e">
        <f>+'Equating with BBMP'!$M$81</f>
        <v>#REF!</v>
      </c>
      <c r="K18" s="1229" t="e">
        <f>+'Equating with BBMP'!$N$81</f>
        <v>#REF!</v>
      </c>
      <c r="M18" s="1229" t="e">
        <f t="shared" ref="M18:N24" si="4">+I18-E18</f>
        <v>#REF!</v>
      </c>
      <c r="N18" s="1229" t="e">
        <f t="shared" si="4"/>
        <v>#REF!</v>
      </c>
      <c r="O18" s="1229" t="e">
        <f t="shared" ref="O18:O24" si="5">+M18+N18</f>
        <v>#REF!</v>
      </c>
      <c r="P18" s="1246" t="e">
        <f t="shared" si="3"/>
        <v>#REF!</v>
      </c>
    </row>
    <row r="19" spans="1:16" ht="16.5" x14ac:dyDescent="0.2">
      <c r="A19" s="1250" t="s">
        <v>18</v>
      </c>
      <c r="B19" s="1228">
        <v>10</v>
      </c>
      <c r="C19" s="1229" t="s">
        <v>592</v>
      </c>
      <c r="D19" s="1229" t="e">
        <f>+#REF!</f>
        <v>#REF!</v>
      </c>
      <c r="E19" s="1229" t="e">
        <f>+#REF!</f>
        <v>#REF!</v>
      </c>
      <c r="F19" s="1229" t="e">
        <f>+#REF!</f>
        <v>#REF!</v>
      </c>
      <c r="G19" s="1229" t="e">
        <f>+#REF!</f>
        <v>#REF!</v>
      </c>
      <c r="I19" s="1229" t="e">
        <f>+'Equating with BBMP'!$L$90</f>
        <v>#REF!</v>
      </c>
      <c r="J19" s="1229" t="e">
        <f>+'Equating with BBMP'!$M$90</f>
        <v>#REF!</v>
      </c>
      <c r="K19" s="1229" t="e">
        <f>+'Equating with BBMP'!$N$90</f>
        <v>#REF!</v>
      </c>
      <c r="M19" s="1229" t="e">
        <f t="shared" si="4"/>
        <v>#REF!</v>
      </c>
      <c r="N19" s="1229" t="e">
        <f t="shared" si="4"/>
        <v>#REF!</v>
      </c>
      <c r="O19" s="1229" t="e">
        <f t="shared" si="5"/>
        <v>#REF!</v>
      </c>
      <c r="P19" s="1246" t="e">
        <f t="shared" si="3"/>
        <v>#REF!</v>
      </c>
    </row>
    <row r="20" spans="1:16" ht="16.5" x14ac:dyDescent="0.2">
      <c r="A20" s="1250" t="s">
        <v>18</v>
      </c>
      <c r="B20" s="1228">
        <v>11</v>
      </c>
      <c r="C20" s="1229" t="s">
        <v>595</v>
      </c>
      <c r="D20" s="1229" t="e">
        <f>+#REF!</f>
        <v>#REF!</v>
      </c>
      <c r="E20" s="1229" t="e">
        <f>+#REF!</f>
        <v>#REF!</v>
      </c>
      <c r="F20" s="1229" t="e">
        <f>+#REF!</f>
        <v>#REF!</v>
      </c>
      <c r="G20" s="1229" t="e">
        <f>+#REF!</f>
        <v>#REF!</v>
      </c>
      <c r="I20" s="1229" t="e">
        <f>+'Equating with BBMP'!$L$99</f>
        <v>#REF!</v>
      </c>
      <c r="J20" s="1229" t="e">
        <f>+'Equating with BBMP'!$M$99</f>
        <v>#REF!</v>
      </c>
      <c r="K20" s="1229" t="e">
        <f>+'Equating with BBMP'!$N$99</f>
        <v>#REF!</v>
      </c>
      <c r="M20" s="1229" t="e">
        <f t="shared" si="4"/>
        <v>#REF!</v>
      </c>
      <c r="N20" s="1229" t="e">
        <f t="shared" si="4"/>
        <v>#REF!</v>
      </c>
      <c r="O20" s="1229" t="e">
        <f t="shared" si="5"/>
        <v>#REF!</v>
      </c>
      <c r="P20" s="1246" t="e">
        <f t="shared" si="3"/>
        <v>#REF!</v>
      </c>
    </row>
    <row r="21" spans="1:16" ht="16.5" x14ac:dyDescent="0.2">
      <c r="A21" s="1250" t="s">
        <v>18</v>
      </c>
      <c r="B21" s="1228">
        <v>12</v>
      </c>
      <c r="C21" s="1229" t="s">
        <v>600</v>
      </c>
      <c r="D21" s="1229" t="e">
        <f>+#REF!</f>
        <v>#REF!</v>
      </c>
      <c r="E21" s="1229" t="e">
        <f>+#REF!</f>
        <v>#REF!</v>
      </c>
      <c r="F21" s="1229" t="e">
        <f>+#REF!</f>
        <v>#REF!</v>
      </c>
      <c r="G21" s="1229" t="e">
        <f>+#REF!</f>
        <v>#REF!</v>
      </c>
      <c r="I21" s="1229" t="e">
        <f>+'Equating with BBMP'!$L$108</f>
        <v>#REF!</v>
      </c>
      <c r="J21" s="1229" t="e">
        <f>+'Equating with BBMP'!$M$108</f>
        <v>#REF!</v>
      </c>
      <c r="K21" s="1229" t="e">
        <f>+'Equating with BBMP'!$N$108</f>
        <v>#REF!</v>
      </c>
      <c r="M21" s="1229" t="e">
        <f t="shared" si="4"/>
        <v>#REF!</v>
      </c>
      <c r="N21" s="1229" t="e">
        <f t="shared" si="4"/>
        <v>#REF!</v>
      </c>
      <c r="O21" s="1229" t="e">
        <f t="shared" si="5"/>
        <v>#REF!</v>
      </c>
      <c r="P21" s="1246" t="e">
        <f t="shared" si="3"/>
        <v>#REF!</v>
      </c>
    </row>
    <row r="22" spans="1:16" ht="16.5" x14ac:dyDescent="0.2">
      <c r="A22" s="1250" t="s">
        <v>18</v>
      </c>
      <c r="B22" s="1228">
        <v>13</v>
      </c>
      <c r="C22" s="1229" t="s">
        <v>603</v>
      </c>
      <c r="D22" s="1229" t="e">
        <f>+#REF!</f>
        <v>#REF!</v>
      </c>
      <c r="E22" s="1229" t="e">
        <f>+#REF!</f>
        <v>#REF!</v>
      </c>
      <c r="F22" s="1229" t="e">
        <f>+#REF!</f>
        <v>#REF!</v>
      </c>
      <c r="G22" s="1229" t="e">
        <f>+#REF!</f>
        <v>#REF!</v>
      </c>
      <c r="I22" s="1229" t="e">
        <f>+'Equating with BBMP'!$L$114</f>
        <v>#REF!</v>
      </c>
      <c r="J22" s="1229" t="e">
        <f>+'Equating with BBMP'!$M$114</f>
        <v>#REF!</v>
      </c>
      <c r="K22" s="1229" t="e">
        <f>+'Equating with BBMP'!$N$114</f>
        <v>#REF!</v>
      </c>
      <c r="M22" s="1229" t="e">
        <f t="shared" si="4"/>
        <v>#REF!</v>
      </c>
      <c r="N22" s="1229" t="e">
        <f t="shared" si="4"/>
        <v>#REF!</v>
      </c>
      <c r="O22" s="1229" t="e">
        <f t="shared" si="5"/>
        <v>#REF!</v>
      </c>
      <c r="P22" s="1246" t="e">
        <f t="shared" si="3"/>
        <v>#REF!</v>
      </c>
    </row>
    <row r="23" spans="1:16" ht="16.5" x14ac:dyDescent="0.2">
      <c r="A23" s="1250" t="s">
        <v>18</v>
      </c>
      <c r="B23" s="1239">
        <v>14</v>
      </c>
      <c r="C23" s="1240" t="s">
        <v>312</v>
      </c>
      <c r="D23" s="1229" t="e">
        <f>+#REF!</f>
        <v>#REF!</v>
      </c>
      <c r="E23" s="1229" t="e">
        <f>+#REF!</f>
        <v>#REF!</v>
      </c>
      <c r="F23" s="1229" t="e">
        <f>+#REF!</f>
        <v>#REF!</v>
      </c>
      <c r="G23" s="1229" t="e">
        <f>+#REF!</f>
        <v>#REF!</v>
      </c>
      <c r="I23" s="1229" t="e">
        <f>+'Equating with BBMP'!$L$116</f>
        <v>#REF!</v>
      </c>
      <c r="J23" s="1229" t="e">
        <f>+'Equating with BBMP'!$M$116</f>
        <v>#REF!</v>
      </c>
      <c r="K23" s="1229" t="e">
        <f>+'Equating with BBMP'!$N$116</f>
        <v>#REF!</v>
      </c>
      <c r="M23" s="1229" t="e">
        <f t="shared" si="4"/>
        <v>#REF!</v>
      </c>
      <c r="N23" s="1229" t="e">
        <f t="shared" si="4"/>
        <v>#REF!</v>
      </c>
      <c r="O23" s="1229" t="e">
        <f t="shared" si="5"/>
        <v>#REF!</v>
      </c>
      <c r="P23" s="1246" t="e">
        <f t="shared" si="3"/>
        <v>#REF!</v>
      </c>
    </row>
    <row r="24" spans="1:16" ht="16.5" x14ac:dyDescent="0.2">
      <c r="A24" s="1250" t="s">
        <v>18</v>
      </c>
      <c r="B24" s="1239">
        <v>15</v>
      </c>
      <c r="C24" s="1240" t="s">
        <v>313</v>
      </c>
      <c r="D24" s="1229" t="e">
        <f>+#REF!</f>
        <v>#REF!</v>
      </c>
      <c r="E24" s="1229" t="e">
        <f>+#REF!</f>
        <v>#REF!</v>
      </c>
      <c r="F24" s="1229" t="e">
        <f>+#REF!</f>
        <v>#REF!</v>
      </c>
      <c r="G24" s="1229" t="e">
        <f>+#REF!</f>
        <v>#REF!</v>
      </c>
      <c r="I24" s="1229" t="e">
        <f>+'Equating with BBMP'!$L$118</f>
        <v>#REF!</v>
      </c>
      <c r="J24" s="1229" t="e">
        <f>+'Equating with BBMP'!$M$118</f>
        <v>#REF!</v>
      </c>
      <c r="K24" s="1229" t="e">
        <f>+'Equating with BBMP'!$N$118</f>
        <v>#REF!</v>
      </c>
      <c r="M24" s="1229" t="e">
        <f t="shared" si="4"/>
        <v>#REF!</v>
      </c>
      <c r="N24" s="1229" t="e">
        <f t="shared" si="4"/>
        <v>#REF!</v>
      </c>
      <c r="O24" s="1229" t="e">
        <f t="shared" si="5"/>
        <v>#REF!</v>
      </c>
      <c r="P24" s="1246" t="e">
        <f t="shared" si="3"/>
        <v>#REF!</v>
      </c>
    </row>
    <row r="25" spans="1:16" ht="16.5" x14ac:dyDescent="0.2">
      <c r="A25" s="1250" t="s">
        <v>18</v>
      </c>
      <c r="B25" s="1241"/>
      <c r="C25" s="1242" t="s">
        <v>605</v>
      </c>
      <c r="D25" s="1242" t="e">
        <f>D18+D19+D20+D21+D22+D23+D24</f>
        <v>#REF!</v>
      </c>
      <c r="E25" s="1242" t="e">
        <f>E18+E19+E20+E21+E22+E23+E24</f>
        <v>#REF!</v>
      </c>
      <c r="F25" s="1242" t="e">
        <f>F18+F19+F20+F21+F22+F23+F24</f>
        <v>#REF!</v>
      </c>
      <c r="G25" s="1242" t="e">
        <f>G18+G19+G20+G21+G22+G23+G24</f>
        <v>#REF!</v>
      </c>
      <c r="I25" s="1242" t="e">
        <f>I18+I19+I20+I21+I22+I23+I24</f>
        <v>#REF!</v>
      </c>
      <c r="J25" s="1242" t="e">
        <f>J18+J19+J20+J21+J22+J23+J24</f>
        <v>#REF!</v>
      </c>
      <c r="K25" s="1242" t="e">
        <f>K18+K19+K20+K21+K22+K23+K24</f>
        <v>#REF!</v>
      </c>
      <c r="M25" s="1242" t="e">
        <f>M18+M19+M20+M21+M22+M23+M24</f>
        <v>#REF!</v>
      </c>
      <c r="N25" s="1242" t="e">
        <f>N18+N19+N20+N21+N22+N23+N24</f>
        <v>#REF!</v>
      </c>
      <c r="O25" s="1242" t="e">
        <f>O18+O19+O20+O21+O22+O23+O24</f>
        <v>#REF!</v>
      </c>
      <c r="P25" s="1248" t="e">
        <f t="shared" si="3"/>
        <v>#REF!</v>
      </c>
    </row>
    <row r="26" spans="1:16" ht="16.5" x14ac:dyDescent="0.2">
      <c r="A26" s="1250" t="s">
        <v>18</v>
      </c>
      <c r="B26" s="1243"/>
      <c r="C26" s="1243"/>
      <c r="D26" s="1243"/>
      <c r="E26" s="1243"/>
      <c r="F26" s="1243"/>
      <c r="G26" s="1243"/>
      <c r="I26" s="1243"/>
      <c r="J26" s="1243"/>
      <c r="K26" s="1243"/>
      <c r="M26" s="1243"/>
      <c r="N26" s="1243"/>
      <c r="O26" s="1243"/>
      <c r="P26" s="1243"/>
    </row>
    <row r="27" spans="1:16" ht="16.5" x14ac:dyDescent="0.2">
      <c r="A27" s="1250" t="s">
        <v>18</v>
      </c>
      <c r="B27" s="1241"/>
      <c r="C27" s="1242" t="s">
        <v>606</v>
      </c>
      <c r="D27" s="1242" t="e">
        <f>D16+D25</f>
        <v>#REF!</v>
      </c>
      <c r="E27" s="1242" t="e">
        <f>E16+E25</f>
        <v>#REF!</v>
      </c>
      <c r="F27" s="1242" t="e">
        <f>F16+F25</f>
        <v>#REF!</v>
      </c>
      <c r="G27" s="1242" t="e">
        <f>G16+G25</f>
        <v>#REF!</v>
      </c>
      <c r="I27" s="1242" t="e">
        <f>I16+I25</f>
        <v>#REF!</v>
      </c>
      <c r="J27" s="1242" t="e">
        <f>J16+J25</f>
        <v>#REF!</v>
      </c>
      <c r="K27" s="1242" t="e">
        <f>K16+K25</f>
        <v>#REF!</v>
      </c>
      <c r="M27" s="1242" t="e">
        <f>M16+M25</f>
        <v>#REF!</v>
      </c>
      <c r="N27" s="1242" t="e">
        <f>N16+N25</f>
        <v>#REF!</v>
      </c>
      <c r="O27" s="1242" t="e">
        <f>O16+O25</f>
        <v>#REF!</v>
      </c>
      <c r="P27" s="1248" t="e">
        <f t="shared" si="3"/>
        <v>#REF!</v>
      </c>
    </row>
    <row r="30" spans="1:16" x14ac:dyDescent="0.15">
      <c r="B30" s="1228" t="s">
        <v>609</v>
      </c>
      <c r="E30" s="1229" t="s">
        <v>624</v>
      </c>
      <c r="F30" s="1230"/>
      <c r="G30" s="1231"/>
      <c r="I30" s="1229" t="s">
        <v>625</v>
      </c>
      <c r="J30" s="1230"/>
      <c r="K30" s="1231"/>
      <c r="M30" s="1229" t="s">
        <v>626</v>
      </c>
      <c r="N30" s="1230"/>
      <c r="O30" s="1231"/>
      <c r="P30" s="1253" t="s">
        <v>628</v>
      </c>
    </row>
    <row r="31" spans="1:16" x14ac:dyDescent="0.15">
      <c r="B31" s="1232" t="s">
        <v>472</v>
      </c>
      <c r="C31" s="1232" t="s">
        <v>474</v>
      </c>
      <c r="D31" s="1233" t="s">
        <v>475</v>
      </c>
      <c r="E31" s="1234" t="s">
        <v>610</v>
      </c>
      <c r="F31" s="1234" t="s">
        <v>611</v>
      </c>
      <c r="G31" s="1234" t="s">
        <v>488</v>
      </c>
      <c r="I31" s="1234" t="s">
        <v>610</v>
      </c>
      <c r="J31" s="1234" t="s">
        <v>611</v>
      </c>
      <c r="K31" s="1234" t="s">
        <v>488</v>
      </c>
      <c r="M31" s="1234" t="s">
        <v>610</v>
      </c>
      <c r="N31" s="1234" t="s">
        <v>611</v>
      </c>
      <c r="O31" s="1234" t="s">
        <v>488</v>
      </c>
      <c r="P31" s="1254" t="s">
        <v>629</v>
      </c>
    </row>
    <row r="32" spans="1:16" x14ac:dyDescent="0.15">
      <c r="B32" s="1235" t="s">
        <v>473</v>
      </c>
      <c r="C32" s="1235" t="s">
        <v>31</v>
      </c>
      <c r="D32" s="1236" t="s">
        <v>476</v>
      </c>
      <c r="E32" s="1235" t="s">
        <v>481</v>
      </c>
      <c r="F32" s="1235" t="s">
        <v>481</v>
      </c>
      <c r="G32" s="1235" t="s">
        <v>481</v>
      </c>
      <c r="I32" s="1235" t="s">
        <v>481</v>
      </c>
      <c r="J32" s="1235" t="s">
        <v>481</v>
      </c>
      <c r="K32" s="1235" t="s">
        <v>481</v>
      </c>
      <c r="M32" s="1235" t="s">
        <v>481</v>
      </c>
      <c r="N32" s="1235" t="s">
        <v>481</v>
      </c>
      <c r="O32" s="1235" t="s">
        <v>481</v>
      </c>
      <c r="P32" s="1255" t="s">
        <v>630</v>
      </c>
    </row>
    <row r="33" spans="1:16" ht="16.5" x14ac:dyDescent="0.2">
      <c r="A33" s="1250" t="s">
        <v>525</v>
      </c>
      <c r="B33" s="1228">
        <v>1</v>
      </c>
      <c r="C33" s="1229" t="s">
        <v>484</v>
      </c>
      <c r="D33" s="1229" t="e">
        <f>+#REF!</f>
        <v>#REF!</v>
      </c>
      <c r="E33" s="1229" t="e">
        <f>+#REF!</f>
        <v>#REF!</v>
      </c>
      <c r="F33" s="1229" t="e">
        <f>+#REF!</f>
        <v>#REF!</v>
      </c>
      <c r="G33" s="1229" t="e">
        <f>+#REF!</f>
        <v>#REF!</v>
      </c>
      <c r="I33" s="1229">
        <f>+'Equating with BBMP'!$L$141</f>
        <v>2.63</v>
      </c>
      <c r="J33" s="1229" t="e">
        <f>+'Equating with BBMP'!$M$141</f>
        <v>#REF!</v>
      </c>
      <c r="K33" s="1229" t="e">
        <f>+'Equating with BBMP'!$N$141</f>
        <v>#REF!</v>
      </c>
      <c r="M33" s="1229" t="e">
        <f>+I33-E33</f>
        <v>#REF!</v>
      </c>
      <c r="N33" s="1229" t="e">
        <f t="shared" ref="N33:N40" si="6">+J33-F33</f>
        <v>#REF!</v>
      </c>
      <c r="O33" s="1229" t="e">
        <f>+M33+N33</f>
        <v>#REF!</v>
      </c>
      <c r="P33" s="1249" t="e">
        <f>ROUND(O33/D33*1000,0)</f>
        <v>#REF!</v>
      </c>
    </row>
    <row r="34" spans="1:16" ht="16.5" x14ac:dyDescent="0.2">
      <c r="A34" s="1250" t="s">
        <v>525</v>
      </c>
      <c r="B34" s="1228">
        <v>2</v>
      </c>
      <c r="C34" s="1229" t="s">
        <v>490</v>
      </c>
      <c r="D34" s="1229" t="e">
        <f>+#REF!</f>
        <v>#REF!</v>
      </c>
      <c r="E34" s="1229" t="e">
        <f>+#REF!</f>
        <v>#REF!</v>
      </c>
      <c r="F34" s="1229" t="e">
        <f>+#REF!</f>
        <v>#REF!</v>
      </c>
      <c r="G34" s="1229" t="e">
        <f>+#REF!</f>
        <v>#REF!</v>
      </c>
      <c r="I34" s="1229" t="e">
        <f>+'Equating with BBMP'!$L$154</f>
        <v>#REF!</v>
      </c>
      <c r="J34" s="1229" t="e">
        <f>+'Equating with BBMP'!$M$154</f>
        <v>#REF!</v>
      </c>
      <c r="K34" s="1229" t="e">
        <f>+'Equating with BBMP'!$N$154</f>
        <v>#REF!</v>
      </c>
      <c r="M34" s="1229" t="e">
        <f t="shared" ref="M34:M40" si="7">+I34-E34</f>
        <v>#REF!</v>
      </c>
      <c r="N34" s="1229" t="e">
        <f t="shared" si="6"/>
        <v>#REF!</v>
      </c>
      <c r="O34" s="1229" t="e">
        <f t="shared" ref="O34:O40" si="8">+M34+N34</f>
        <v>#REF!</v>
      </c>
      <c r="P34" s="1246" t="e">
        <f t="shared" ref="P34:P52" si="9">ROUND(O34/D34*1000,0)</f>
        <v>#REF!</v>
      </c>
    </row>
    <row r="35" spans="1:16" ht="16.5" x14ac:dyDescent="0.2">
      <c r="A35" s="1250" t="s">
        <v>525</v>
      </c>
      <c r="B35" s="1228">
        <v>3</v>
      </c>
      <c r="C35" s="1229" t="s">
        <v>553</v>
      </c>
      <c r="D35" s="1229" t="e">
        <f>+#REF!</f>
        <v>#REF!</v>
      </c>
      <c r="E35" s="1229" t="e">
        <f>+#REF!</f>
        <v>#REF!</v>
      </c>
      <c r="F35" s="1229" t="e">
        <f>+#REF!</f>
        <v>#REF!</v>
      </c>
      <c r="G35" s="1229" t="e">
        <f>+#REF!</f>
        <v>#REF!</v>
      </c>
      <c r="I35" s="1229" t="e">
        <f>+'Equating with BBMP'!$L$165</f>
        <v>#REF!</v>
      </c>
      <c r="J35" s="1229" t="e">
        <f>+'Equating with BBMP'!$M$165</f>
        <v>#REF!</v>
      </c>
      <c r="K35" s="1229" t="e">
        <f>+'Equating with BBMP'!$N$165</f>
        <v>#REF!</v>
      </c>
      <c r="M35" s="1229" t="e">
        <f t="shared" si="7"/>
        <v>#REF!</v>
      </c>
      <c r="N35" s="1229" t="e">
        <f t="shared" si="6"/>
        <v>#REF!</v>
      </c>
      <c r="O35" s="1229" t="e">
        <f t="shared" si="8"/>
        <v>#REF!</v>
      </c>
      <c r="P35" s="1246" t="e">
        <f t="shared" si="9"/>
        <v>#REF!</v>
      </c>
    </row>
    <row r="36" spans="1:16" ht="16.5" x14ac:dyDescent="0.2">
      <c r="A36" s="1250" t="s">
        <v>525</v>
      </c>
      <c r="B36" s="1228">
        <v>4</v>
      </c>
      <c r="C36" s="1229" t="s">
        <v>557</v>
      </c>
      <c r="D36" s="1229" t="e">
        <f>+#REF!</f>
        <v>#REF!</v>
      </c>
      <c r="E36" s="1229" t="e">
        <f>+#REF!</f>
        <v>#REF!</v>
      </c>
      <c r="F36" s="1229" t="e">
        <f>+#REF!</f>
        <v>#REF!</v>
      </c>
      <c r="G36" s="1229" t="e">
        <f>+#REF!</f>
        <v>#REF!</v>
      </c>
      <c r="I36" s="1229" t="e">
        <f>+'Equating with BBMP'!$L$174</f>
        <v>#REF!</v>
      </c>
      <c r="J36" s="1229" t="e">
        <f>+'Equating with BBMP'!$M$174</f>
        <v>#REF!</v>
      </c>
      <c r="K36" s="1229" t="e">
        <f>+'Equating with BBMP'!$N$174</f>
        <v>#REF!</v>
      </c>
      <c r="M36" s="1229" t="e">
        <f t="shared" si="7"/>
        <v>#REF!</v>
      </c>
      <c r="N36" s="1229" t="e">
        <f t="shared" si="6"/>
        <v>#REF!</v>
      </c>
      <c r="O36" s="1229" t="e">
        <f t="shared" si="8"/>
        <v>#REF!</v>
      </c>
      <c r="P36" s="1246" t="e">
        <f t="shared" si="9"/>
        <v>#REF!</v>
      </c>
    </row>
    <row r="37" spans="1:16" ht="16.5" x14ac:dyDescent="0.2">
      <c r="A37" s="1250" t="s">
        <v>525</v>
      </c>
      <c r="B37" s="1228">
        <v>5</v>
      </c>
      <c r="C37" s="1229" t="s">
        <v>566</v>
      </c>
      <c r="D37" s="1229" t="e">
        <f>+#REF!</f>
        <v>#REF!</v>
      </c>
      <c r="E37" s="1229" t="e">
        <f>+#REF!</f>
        <v>#REF!</v>
      </c>
      <c r="F37" s="1229" t="e">
        <f>+#REF!</f>
        <v>#REF!</v>
      </c>
      <c r="G37" s="1229" t="e">
        <f>+#REF!</f>
        <v>#REF!</v>
      </c>
      <c r="I37" s="1229" t="e">
        <f>+'Equating with BBMP'!$L$179</f>
        <v>#REF!</v>
      </c>
      <c r="J37" s="1229" t="e">
        <f>+'Equating with BBMP'!$M$179</f>
        <v>#REF!</v>
      </c>
      <c r="K37" s="1229" t="e">
        <f>+'Equating with BBMP'!$N$179</f>
        <v>#REF!</v>
      </c>
      <c r="M37" s="1229" t="e">
        <f t="shared" si="7"/>
        <v>#REF!</v>
      </c>
      <c r="N37" s="1229" t="e">
        <f t="shared" si="6"/>
        <v>#REF!</v>
      </c>
      <c r="O37" s="1229" t="e">
        <f t="shared" si="8"/>
        <v>#REF!</v>
      </c>
      <c r="P37" s="1246" t="e">
        <f t="shared" si="9"/>
        <v>#REF!</v>
      </c>
    </row>
    <row r="38" spans="1:16" ht="16.5" x14ac:dyDescent="0.2">
      <c r="A38" s="1250" t="s">
        <v>525</v>
      </c>
      <c r="B38" s="1228">
        <v>6</v>
      </c>
      <c r="C38" s="1229" t="s">
        <v>567</v>
      </c>
      <c r="D38" s="1229" t="e">
        <f>+#REF!</f>
        <v>#REF!</v>
      </c>
      <c r="E38" s="1229" t="e">
        <f>+#REF!</f>
        <v>#REF!</v>
      </c>
      <c r="F38" s="1229" t="e">
        <f>+#REF!</f>
        <v>#REF!</v>
      </c>
      <c r="G38" s="1229" t="e">
        <f>+#REF!</f>
        <v>#REF!</v>
      </c>
      <c r="I38" s="1229" t="e">
        <f>+'Equating with BBMP'!$L$194</f>
        <v>#REF!</v>
      </c>
      <c r="J38" s="1229" t="e">
        <f>+'Equating with BBMP'!$M$194</f>
        <v>#REF!</v>
      </c>
      <c r="K38" s="1229" t="e">
        <f>+'Equating with BBMP'!$N$194</f>
        <v>#REF!</v>
      </c>
      <c r="M38" s="1229" t="e">
        <f t="shared" si="7"/>
        <v>#REF!</v>
      </c>
      <c r="N38" s="1229" t="e">
        <f t="shared" si="6"/>
        <v>#REF!</v>
      </c>
      <c r="O38" s="1229" t="e">
        <f t="shared" si="8"/>
        <v>#REF!</v>
      </c>
      <c r="P38" s="1246" t="e">
        <f t="shared" si="9"/>
        <v>#REF!</v>
      </c>
    </row>
    <row r="39" spans="1:16" ht="16.5" x14ac:dyDescent="0.2">
      <c r="A39" s="1250" t="s">
        <v>525</v>
      </c>
      <c r="B39" s="1228">
        <v>7</v>
      </c>
      <c r="C39" s="1229" t="s">
        <v>577</v>
      </c>
      <c r="D39" s="1229" t="e">
        <f>+#REF!</f>
        <v>#REF!</v>
      </c>
      <c r="E39" s="1229" t="e">
        <f>+#REF!</f>
        <v>#REF!</v>
      </c>
      <c r="F39" s="1229" t="e">
        <f>+#REF!</f>
        <v>#REF!</v>
      </c>
      <c r="G39" s="1229" t="e">
        <f>+#REF!</f>
        <v>#REF!</v>
      </c>
      <c r="I39" s="1229" t="e">
        <f>+'Equating with BBMP'!$L$206</f>
        <v>#REF!</v>
      </c>
      <c r="J39" s="1229" t="e">
        <f>+'Equating with BBMP'!$M$206</f>
        <v>#REF!</v>
      </c>
      <c r="K39" s="1229" t="e">
        <f>+'Equating with BBMP'!$N$206</f>
        <v>#REF!</v>
      </c>
      <c r="M39" s="1229" t="e">
        <f t="shared" si="7"/>
        <v>#REF!</v>
      </c>
      <c r="N39" s="1229" t="e">
        <f t="shared" si="6"/>
        <v>#REF!</v>
      </c>
      <c r="O39" s="1229" t="e">
        <f t="shared" si="8"/>
        <v>#REF!</v>
      </c>
      <c r="P39" s="1246" t="e">
        <f t="shared" si="9"/>
        <v>#REF!</v>
      </c>
    </row>
    <row r="40" spans="1:16" ht="16.5" x14ac:dyDescent="0.2">
      <c r="A40" s="1250" t="s">
        <v>525</v>
      </c>
      <c r="B40" s="1228">
        <v>8</v>
      </c>
      <c r="C40" s="1229" t="s">
        <v>587</v>
      </c>
      <c r="D40" s="1229" t="e">
        <f>+#REF!</f>
        <v>#REF!</v>
      </c>
      <c r="E40" s="1229" t="e">
        <f>+#REF!</f>
        <v>#REF!</v>
      </c>
      <c r="F40" s="1229" t="e">
        <f>+#REF!</f>
        <v>#REF!</v>
      </c>
      <c r="G40" s="1229" t="e">
        <f>+#REF!</f>
        <v>#REF!</v>
      </c>
      <c r="I40" s="1229" t="e">
        <f>+'Equating with BBMP'!$L$210</f>
        <v>#REF!</v>
      </c>
      <c r="J40" s="1229" t="e">
        <f>+'Equating with BBMP'!$M$210</f>
        <v>#REF!</v>
      </c>
      <c r="K40" s="1229" t="e">
        <f>+'Equating with BBMP'!$N$210</f>
        <v>#REF!</v>
      </c>
      <c r="M40" s="1229" t="e">
        <f t="shared" si="7"/>
        <v>#REF!</v>
      </c>
      <c r="N40" s="1229" t="e">
        <f t="shared" si="6"/>
        <v>#REF!</v>
      </c>
      <c r="O40" s="1229" t="e">
        <f t="shared" si="8"/>
        <v>#REF!</v>
      </c>
      <c r="P40" s="1246" t="e">
        <f t="shared" si="9"/>
        <v>#REF!</v>
      </c>
    </row>
    <row r="41" spans="1:16" ht="16.5" x14ac:dyDescent="0.2">
      <c r="A41" s="1250" t="s">
        <v>525</v>
      </c>
      <c r="B41" s="1237"/>
      <c r="C41" s="1238" t="s">
        <v>588</v>
      </c>
      <c r="D41" s="1238" t="e">
        <f>D33+D34+D35+D36+D37+D38+D39+D40</f>
        <v>#REF!</v>
      </c>
      <c r="E41" s="1238" t="e">
        <f>E33+E34+E35+E36+E37+E38+E39+E40</f>
        <v>#REF!</v>
      </c>
      <c r="F41" s="1238" t="e">
        <f>F33+F34+F35+F36+F37+F38+F39+F40</f>
        <v>#REF!</v>
      </c>
      <c r="G41" s="1238" t="e">
        <f>G33+G34+G35+G36+G37+G38+G39+G40</f>
        <v>#REF!</v>
      </c>
      <c r="I41" s="1238" t="e">
        <f>I33+I34+I35+I36+I37+I38+I39+I40</f>
        <v>#REF!</v>
      </c>
      <c r="J41" s="1238" t="e">
        <f>J33+J34+J35+J36+J37+J38+J39+J40</f>
        <v>#REF!</v>
      </c>
      <c r="K41" s="1238" t="e">
        <f>K33+K34+K35+K36+K37+K38+K39+K40</f>
        <v>#REF!</v>
      </c>
      <c r="M41" s="1238" t="e">
        <f>M33+M34+M35+M36+M37+M38+M39+M40</f>
        <v>#REF!</v>
      </c>
      <c r="N41" s="1238" t="e">
        <f>N33+N34+N35+N36+N37+N38+N39+N40</f>
        <v>#REF!</v>
      </c>
      <c r="O41" s="1238" t="e">
        <f>O33+O34+O35+O36+O37+O38+O39+O40</f>
        <v>#REF!</v>
      </c>
      <c r="P41" s="1247" t="e">
        <f t="shared" si="9"/>
        <v>#REF!</v>
      </c>
    </row>
    <row r="42" spans="1:16" ht="16.5" x14ac:dyDescent="0.2">
      <c r="A42" s="1250" t="s">
        <v>525</v>
      </c>
      <c r="B42" s="1227"/>
    </row>
    <row r="43" spans="1:16" ht="16.5" x14ac:dyDescent="0.2">
      <c r="A43" s="1250" t="s">
        <v>525</v>
      </c>
      <c r="B43" s="1239">
        <v>9</v>
      </c>
      <c r="C43" s="1240" t="s">
        <v>16</v>
      </c>
      <c r="D43" s="1229" t="e">
        <f>+#REF!</f>
        <v>#REF!</v>
      </c>
      <c r="E43" s="1229" t="e">
        <f>+#REF!</f>
        <v>#REF!</v>
      </c>
      <c r="F43" s="1229" t="e">
        <f>+#REF!</f>
        <v>#REF!</v>
      </c>
      <c r="G43" s="1229" t="e">
        <f>+#REF!</f>
        <v>#REF!</v>
      </c>
      <c r="I43" s="1229" t="e">
        <f>+'Equating with BBMP'!$L$214</f>
        <v>#REF!</v>
      </c>
      <c r="J43" s="1229" t="e">
        <f>+'Equating with BBMP'!$M$214</f>
        <v>#REF!</v>
      </c>
      <c r="K43" s="1229" t="e">
        <f>+'Equating with BBMP'!$N$214</f>
        <v>#REF!</v>
      </c>
      <c r="M43" s="1229" t="e">
        <f t="shared" ref="M43:N49" si="10">+I43-E43</f>
        <v>#REF!</v>
      </c>
      <c r="N43" s="1229" t="e">
        <f t="shared" si="10"/>
        <v>#REF!</v>
      </c>
      <c r="O43" s="1229" t="e">
        <f t="shared" ref="O43:O49" si="11">+M43+N43</f>
        <v>#REF!</v>
      </c>
      <c r="P43" s="1246" t="e">
        <f t="shared" si="9"/>
        <v>#REF!</v>
      </c>
    </row>
    <row r="44" spans="1:16" ht="16.5" x14ac:dyDescent="0.2">
      <c r="A44" s="1250" t="s">
        <v>525</v>
      </c>
      <c r="B44" s="1228">
        <v>10</v>
      </c>
      <c r="C44" s="1229" t="s">
        <v>592</v>
      </c>
      <c r="D44" s="1229" t="e">
        <f>+#REF!</f>
        <v>#REF!</v>
      </c>
      <c r="E44" s="1229" t="e">
        <f>+#REF!</f>
        <v>#REF!</v>
      </c>
      <c r="F44" s="1229" t="e">
        <f>+#REF!</f>
        <v>#REF!</v>
      </c>
      <c r="G44" s="1229" t="e">
        <f>+#REF!</f>
        <v>#REF!</v>
      </c>
      <c r="I44" s="1229" t="e">
        <f>+'Equating with BBMP'!$L$223</f>
        <v>#REF!</v>
      </c>
      <c r="J44" s="1229" t="e">
        <f>+'Equating with BBMP'!$M$223</f>
        <v>#REF!</v>
      </c>
      <c r="K44" s="1229" t="e">
        <f>+'Equating with BBMP'!$N$223</f>
        <v>#REF!</v>
      </c>
      <c r="M44" s="1229" t="e">
        <f t="shared" si="10"/>
        <v>#REF!</v>
      </c>
      <c r="N44" s="1229" t="e">
        <f t="shared" si="10"/>
        <v>#REF!</v>
      </c>
      <c r="O44" s="1229" t="e">
        <f t="shared" si="11"/>
        <v>#REF!</v>
      </c>
      <c r="P44" s="1246" t="e">
        <f t="shared" si="9"/>
        <v>#REF!</v>
      </c>
    </row>
    <row r="45" spans="1:16" ht="16.5" x14ac:dyDescent="0.2">
      <c r="A45" s="1250" t="s">
        <v>525</v>
      </c>
      <c r="B45" s="1228">
        <v>11</v>
      </c>
      <c r="C45" s="1229" t="s">
        <v>595</v>
      </c>
      <c r="D45" s="1229" t="e">
        <f>+#REF!</f>
        <v>#REF!</v>
      </c>
      <c r="E45" s="1229" t="e">
        <f>+#REF!</f>
        <v>#REF!</v>
      </c>
      <c r="F45" s="1229" t="e">
        <f>+#REF!</f>
        <v>#REF!</v>
      </c>
      <c r="G45" s="1229" t="e">
        <f>+#REF!</f>
        <v>#REF!</v>
      </c>
      <c r="I45" s="1229" t="e">
        <f>+'Equating with BBMP'!$L$232</f>
        <v>#REF!</v>
      </c>
      <c r="J45" s="1229" t="e">
        <f>+'Equating with BBMP'!$M$232</f>
        <v>#REF!</v>
      </c>
      <c r="K45" s="1229" t="e">
        <f>+'Equating with BBMP'!$N$232</f>
        <v>#REF!</v>
      </c>
      <c r="M45" s="1229" t="e">
        <f t="shared" si="10"/>
        <v>#REF!</v>
      </c>
      <c r="N45" s="1229" t="e">
        <f t="shared" si="10"/>
        <v>#REF!</v>
      </c>
      <c r="O45" s="1229" t="e">
        <f t="shared" si="11"/>
        <v>#REF!</v>
      </c>
      <c r="P45" s="1246" t="e">
        <f t="shared" si="9"/>
        <v>#REF!</v>
      </c>
    </row>
    <row r="46" spans="1:16" ht="16.5" x14ac:dyDescent="0.2">
      <c r="A46" s="1250" t="s">
        <v>525</v>
      </c>
      <c r="B46" s="1228">
        <v>12</v>
      </c>
      <c r="C46" s="1229" t="s">
        <v>600</v>
      </c>
      <c r="D46" s="1229" t="e">
        <f>+#REF!</f>
        <v>#REF!</v>
      </c>
      <c r="E46" s="1229" t="e">
        <f>+#REF!</f>
        <v>#REF!</v>
      </c>
      <c r="F46" s="1229" t="e">
        <f>+#REF!</f>
        <v>#REF!</v>
      </c>
      <c r="G46" s="1229" t="e">
        <f>+#REF!</f>
        <v>#REF!</v>
      </c>
      <c r="I46" s="1229" t="e">
        <f>+'Equating with BBMP'!$L$241</f>
        <v>#REF!</v>
      </c>
      <c r="J46" s="1229" t="e">
        <f>+'Equating with BBMP'!$M$241</f>
        <v>#REF!</v>
      </c>
      <c r="K46" s="1229" t="e">
        <f>+'Equating with BBMP'!$N$241</f>
        <v>#REF!</v>
      </c>
      <c r="M46" s="1229" t="e">
        <f t="shared" si="10"/>
        <v>#REF!</v>
      </c>
      <c r="N46" s="1229" t="e">
        <f t="shared" si="10"/>
        <v>#REF!</v>
      </c>
      <c r="O46" s="1229" t="e">
        <f t="shared" si="11"/>
        <v>#REF!</v>
      </c>
      <c r="P46" s="1246" t="e">
        <f t="shared" si="9"/>
        <v>#REF!</v>
      </c>
    </row>
    <row r="47" spans="1:16" ht="16.5" x14ac:dyDescent="0.2">
      <c r="A47" s="1250" t="s">
        <v>525</v>
      </c>
      <c r="B47" s="1228">
        <v>13</v>
      </c>
      <c r="C47" s="1229" t="s">
        <v>603</v>
      </c>
      <c r="D47" s="1229" t="e">
        <f>+#REF!</f>
        <v>#REF!</v>
      </c>
      <c r="E47" s="1229" t="e">
        <f>+#REF!</f>
        <v>#REF!</v>
      </c>
      <c r="F47" s="1229" t="e">
        <f>+#REF!</f>
        <v>#REF!</v>
      </c>
      <c r="G47" s="1229" t="e">
        <f>+#REF!</f>
        <v>#REF!</v>
      </c>
      <c r="I47" s="1229" t="e">
        <f>+'Equating with BBMP'!$L$247</f>
        <v>#REF!</v>
      </c>
      <c r="J47" s="1229" t="e">
        <f>+'Equating with BBMP'!$M$247</f>
        <v>#REF!</v>
      </c>
      <c r="K47" s="1229" t="e">
        <f>+'Equating with BBMP'!$N$247</f>
        <v>#REF!</v>
      </c>
      <c r="M47" s="1229" t="e">
        <f t="shared" si="10"/>
        <v>#REF!</v>
      </c>
      <c r="N47" s="1229" t="e">
        <f t="shared" si="10"/>
        <v>#REF!</v>
      </c>
      <c r="O47" s="1229" t="e">
        <f t="shared" si="11"/>
        <v>#REF!</v>
      </c>
      <c r="P47" s="1246" t="e">
        <f t="shared" si="9"/>
        <v>#REF!</v>
      </c>
    </row>
    <row r="48" spans="1:16" ht="16.5" x14ac:dyDescent="0.2">
      <c r="A48" s="1250" t="s">
        <v>525</v>
      </c>
      <c r="B48" s="1239">
        <v>14</v>
      </c>
      <c r="C48" s="1240" t="s">
        <v>312</v>
      </c>
      <c r="D48" s="1229" t="e">
        <f>+#REF!</f>
        <v>#REF!</v>
      </c>
      <c r="E48" s="1229" t="e">
        <f>+#REF!</f>
        <v>#REF!</v>
      </c>
      <c r="F48" s="1229" t="e">
        <f>+#REF!</f>
        <v>#REF!</v>
      </c>
      <c r="G48" s="1229" t="e">
        <f>+#REF!</f>
        <v>#REF!</v>
      </c>
      <c r="I48" s="1229" t="e">
        <f>+'Equating with BBMP'!$L$249</f>
        <v>#REF!</v>
      </c>
      <c r="J48" s="1229" t="e">
        <f>+'Equating with BBMP'!$M$249</f>
        <v>#REF!</v>
      </c>
      <c r="K48" s="1229" t="e">
        <f>+'Equating with BBMP'!$N$249</f>
        <v>#REF!</v>
      </c>
      <c r="M48" s="1229" t="e">
        <f t="shared" si="10"/>
        <v>#REF!</v>
      </c>
      <c r="N48" s="1229" t="e">
        <f t="shared" si="10"/>
        <v>#REF!</v>
      </c>
      <c r="O48" s="1229" t="e">
        <f t="shared" si="11"/>
        <v>#REF!</v>
      </c>
      <c r="P48" s="1246" t="e">
        <f t="shared" si="9"/>
        <v>#REF!</v>
      </c>
    </row>
    <row r="49" spans="1:16" ht="16.5" x14ac:dyDescent="0.2">
      <c r="A49" s="1250" t="s">
        <v>525</v>
      </c>
      <c r="B49" s="1239">
        <v>15</v>
      </c>
      <c r="C49" s="1240" t="s">
        <v>313</v>
      </c>
      <c r="D49" s="1229" t="e">
        <f>+#REF!</f>
        <v>#REF!</v>
      </c>
      <c r="E49" s="1229" t="e">
        <f>+#REF!</f>
        <v>#REF!</v>
      </c>
      <c r="F49" s="1229" t="e">
        <f>+#REF!</f>
        <v>#REF!</v>
      </c>
      <c r="G49" s="1229" t="e">
        <f>+#REF!</f>
        <v>#REF!</v>
      </c>
      <c r="I49" s="1229" t="e">
        <f>+'Equating with BBMP'!$L$251</f>
        <v>#REF!</v>
      </c>
      <c r="J49" s="1229" t="e">
        <f>+'Equating with BBMP'!$M$251</f>
        <v>#REF!</v>
      </c>
      <c r="K49" s="1229" t="e">
        <f>+'Equating with BBMP'!$N$251</f>
        <v>#REF!</v>
      </c>
      <c r="M49" s="1229" t="e">
        <f t="shared" si="10"/>
        <v>#REF!</v>
      </c>
      <c r="N49" s="1229" t="e">
        <f t="shared" si="10"/>
        <v>#REF!</v>
      </c>
      <c r="O49" s="1229" t="e">
        <f t="shared" si="11"/>
        <v>#REF!</v>
      </c>
      <c r="P49" s="1246" t="e">
        <f t="shared" si="9"/>
        <v>#REF!</v>
      </c>
    </row>
    <row r="50" spans="1:16" ht="16.5" x14ac:dyDescent="0.2">
      <c r="A50" s="1250" t="s">
        <v>525</v>
      </c>
      <c r="B50" s="1241"/>
      <c r="C50" s="1242" t="s">
        <v>605</v>
      </c>
      <c r="D50" s="1242" t="e">
        <f>D43+D44+D45+D46+D47+D48+D49</f>
        <v>#REF!</v>
      </c>
      <c r="E50" s="1242" t="e">
        <f>E43+E44+E45+E46+E47+E48+E49</f>
        <v>#REF!</v>
      </c>
      <c r="F50" s="1242" t="e">
        <f>F43+F44+F45+F46+F47+F48+F49</f>
        <v>#REF!</v>
      </c>
      <c r="G50" s="1242" t="e">
        <f>G43+G44+G45+G46+G47+G48+G49</f>
        <v>#REF!</v>
      </c>
      <c r="I50" s="1242" t="e">
        <f>I43+I44+I45+I46+I47+I48+I49</f>
        <v>#REF!</v>
      </c>
      <c r="J50" s="1242" t="e">
        <f>J43+J44+J45+J46+J47+J48+J49</f>
        <v>#REF!</v>
      </c>
      <c r="K50" s="1242" t="e">
        <f>K43+K44+K45+K46+K47+K48+K49</f>
        <v>#REF!</v>
      </c>
      <c r="M50" s="1242" t="e">
        <f>M43+M44+M45+M46+M47+M48+M49</f>
        <v>#REF!</v>
      </c>
      <c r="N50" s="1242" t="e">
        <f>N43+N44+N45+N46+N47+N48+N49</f>
        <v>#REF!</v>
      </c>
      <c r="O50" s="1242" t="e">
        <f>O43+O44+O45+O46+O47+O48+O49</f>
        <v>#REF!</v>
      </c>
      <c r="P50" s="1248" t="e">
        <f t="shared" si="9"/>
        <v>#REF!</v>
      </c>
    </row>
    <row r="51" spans="1:16" ht="16.5" x14ac:dyDescent="0.2">
      <c r="A51" s="1250" t="s">
        <v>525</v>
      </c>
      <c r="B51" s="1243"/>
      <c r="C51" s="1243"/>
      <c r="D51" s="1243"/>
      <c r="E51" s="1243"/>
      <c r="F51" s="1243"/>
      <c r="G51" s="1243"/>
      <c r="I51" s="1243"/>
      <c r="J51" s="1243"/>
      <c r="K51" s="1243"/>
      <c r="M51" s="1243"/>
      <c r="N51" s="1243"/>
      <c r="O51" s="1243"/>
      <c r="P51" s="1243"/>
    </row>
    <row r="52" spans="1:16" ht="16.5" x14ac:dyDescent="0.2">
      <c r="A52" s="1250" t="s">
        <v>525</v>
      </c>
      <c r="B52" s="1241"/>
      <c r="C52" s="1242" t="s">
        <v>606</v>
      </c>
      <c r="D52" s="1242" t="e">
        <f>D41+D50</f>
        <v>#REF!</v>
      </c>
      <c r="E52" s="1242" t="e">
        <f>E41+E50</f>
        <v>#REF!</v>
      </c>
      <c r="F52" s="1242" t="e">
        <f>F41+F50</f>
        <v>#REF!</v>
      </c>
      <c r="G52" s="1242" t="e">
        <f>G41+G50</f>
        <v>#REF!</v>
      </c>
      <c r="I52" s="1242" t="e">
        <f>I41+I50</f>
        <v>#REF!</v>
      </c>
      <c r="J52" s="1242" t="e">
        <f>J41+J50</f>
        <v>#REF!</v>
      </c>
      <c r="K52" s="1242" t="e">
        <f>K41+K50</f>
        <v>#REF!</v>
      </c>
      <c r="M52" s="1242" t="e">
        <f>M41+M50</f>
        <v>#REF!</v>
      </c>
      <c r="N52" s="1242" t="e">
        <f>N41+N50</f>
        <v>#REF!</v>
      </c>
      <c r="O52" s="1242" t="e">
        <f>O41+O50</f>
        <v>#REF!</v>
      </c>
      <c r="P52" s="1248" t="e">
        <f t="shared" si="9"/>
        <v>#REF!</v>
      </c>
    </row>
    <row r="55" spans="1:16" x14ac:dyDescent="0.15">
      <c r="B55" s="1228" t="s">
        <v>609</v>
      </c>
      <c r="E55" s="1229" t="s">
        <v>624</v>
      </c>
      <c r="F55" s="1230"/>
      <c r="G55" s="1231"/>
      <c r="I55" s="1229" t="s">
        <v>625</v>
      </c>
      <c r="J55" s="1230"/>
      <c r="K55" s="1231"/>
      <c r="M55" s="1229" t="s">
        <v>626</v>
      </c>
      <c r="N55" s="1230"/>
      <c r="O55" s="1231"/>
      <c r="P55" s="1253" t="s">
        <v>628</v>
      </c>
    </row>
    <row r="56" spans="1:16" x14ac:dyDescent="0.15">
      <c r="B56" s="1232" t="s">
        <v>472</v>
      </c>
      <c r="C56" s="1232" t="s">
        <v>474</v>
      </c>
      <c r="D56" s="1233" t="s">
        <v>475</v>
      </c>
      <c r="E56" s="1234" t="s">
        <v>610</v>
      </c>
      <c r="F56" s="1234" t="s">
        <v>611</v>
      </c>
      <c r="G56" s="1234" t="s">
        <v>488</v>
      </c>
      <c r="I56" s="1234" t="s">
        <v>610</v>
      </c>
      <c r="J56" s="1234" t="s">
        <v>611</v>
      </c>
      <c r="K56" s="1234" t="s">
        <v>488</v>
      </c>
      <c r="M56" s="1234" t="s">
        <v>610</v>
      </c>
      <c r="N56" s="1234" t="s">
        <v>611</v>
      </c>
      <c r="O56" s="1234" t="s">
        <v>488</v>
      </c>
      <c r="P56" s="1254" t="s">
        <v>629</v>
      </c>
    </row>
    <row r="57" spans="1:16" x14ac:dyDescent="0.15">
      <c r="B57" s="1235" t="s">
        <v>473</v>
      </c>
      <c r="C57" s="1235" t="s">
        <v>31</v>
      </c>
      <c r="D57" s="1236" t="s">
        <v>476</v>
      </c>
      <c r="E57" s="1235" t="s">
        <v>481</v>
      </c>
      <c r="F57" s="1235" t="s">
        <v>481</v>
      </c>
      <c r="G57" s="1235" t="s">
        <v>481</v>
      </c>
      <c r="I57" s="1235" t="s">
        <v>481</v>
      </c>
      <c r="J57" s="1235" t="s">
        <v>481</v>
      </c>
      <c r="K57" s="1235" t="s">
        <v>481</v>
      </c>
      <c r="M57" s="1235" t="s">
        <v>481</v>
      </c>
      <c r="N57" s="1235" t="s">
        <v>481</v>
      </c>
      <c r="O57" s="1235" t="s">
        <v>481</v>
      </c>
      <c r="P57" s="1255" t="s">
        <v>630</v>
      </c>
    </row>
    <row r="58" spans="1:16" ht="16.5" x14ac:dyDescent="0.2">
      <c r="A58" s="1250" t="s">
        <v>535</v>
      </c>
      <c r="B58" s="1228">
        <v>1</v>
      </c>
      <c r="C58" s="1229" t="s">
        <v>484</v>
      </c>
      <c r="D58" s="1229" t="e">
        <f>+#REF!</f>
        <v>#REF!</v>
      </c>
      <c r="E58" s="1229" t="e">
        <f>+#REF!</f>
        <v>#REF!</v>
      </c>
      <c r="F58" s="1229" t="e">
        <f>+#REF!</f>
        <v>#REF!</v>
      </c>
      <c r="G58" s="1229" t="e">
        <f>+#REF!</f>
        <v>#REF!</v>
      </c>
      <c r="I58" s="1229">
        <f>+'Equating with BBMP'!$L$274</f>
        <v>5.01</v>
      </c>
      <c r="J58" s="1229" t="e">
        <f>+'Equating with BBMP'!$M$274</f>
        <v>#REF!</v>
      </c>
      <c r="K58" s="1229" t="e">
        <f>+'Equating with BBMP'!$N$274</f>
        <v>#REF!</v>
      </c>
      <c r="M58" s="1229" t="e">
        <f>+I58-E58</f>
        <v>#REF!</v>
      </c>
      <c r="N58" s="1229" t="e">
        <f t="shared" ref="N58:N65" si="12">+J58-F58</f>
        <v>#REF!</v>
      </c>
      <c r="O58" s="1229" t="e">
        <f>+M58+N58</f>
        <v>#REF!</v>
      </c>
      <c r="P58" s="1249" t="e">
        <f>ROUND(O58/D58*1000,0)</f>
        <v>#REF!</v>
      </c>
    </row>
    <row r="59" spans="1:16" ht="16.5" x14ac:dyDescent="0.2">
      <c r="A59" s="1250" t="s">
        <v>535</v>
      </c>
      <c r="B59" s="1228">
        <v>2</v>
      </c>
      <c r="C59" s="1229" t="s">
        <v>490</v>
      </c>
      <c r="D59" s="1229" t="e">
        <f>+#REF!</f>
        <v>#REF!</v>
      </c>
      <c r="E59" s="1229" t="e">
        <f>+#REF!</f>
        <v>#REF!</v>
      </c>
      <c r="F59" s="1229" t="e">
        <f>+#REF!</f>
        <v>#REF!</v>
      </c>
      <c r="G59" s="1229" t="e">
        <f>+#REF!</f>
        <v>#REF!</v>
      </c>
      <c r="I59" s="1229" t="e">
        <f>+'Equating with BBMP'!$L$287</f>
        <v>#REF!</v>
      </c>
      <c r="J59" s="1229" t="e">
        <f>+'Equating with BBMP'!$M$287</f>
        <v>#REF!</v>
      </c>
      <c r="K59" s="1229" t="e">
        <f>+'Equating with BBMP'!$N$287</f>
        <v>#REF!</v>
      </c>
      <c r="M59" s="1229" t="e">
        <f t="shared" ref="M59:M65" si="13">+I59-E59</f>
        <v>#REF!</v>
      </c>
      <c r="N59" s="1229" t="e">
        <f t="shared" si="12"/>
        <v>#REF!</v>
      </c>
      <c r="O59" s="1229" t="e">
        <f t="shared" ref="O59:O65" si="14">+M59+N59</f>
        <v>#REF!</v>
      </c>
      <c r="P59" s="1246" t="e">
        <f t="shared" ref="P59:P77" si="15">ROUND(O59/D59*1000,0)</f>
        <v>#REF!</v>
      </c>
    </row>
    <row r="60" spans="1:16" ht="16.5" x14ac:dyDescent="0.2">
      <c r="A60" s="1250" t="s">
        <v>535</v>
      </c>
      <c r="B60" s="1228">
        <v>3</v>
      </c>
      <c r="C60" s="1229" t="s">
        <v>553</v>
      </c>
      <c r="D60" s="1229" t="e">
        <f>+#REF!</f>
        <v>#REF!</v>
      </c>
      <c r="E60" s="1229" t="e">
        <f>+#REF!</f>
        <v>#REF!</v>
      </c>
      <c r="F60" s="1229" t="e">
        <f>+#REF!</f>
        <v>#REF!</v>
      </c>
      <c r="G60" s="1229" t="e">
        <f>+#REF!</f>
        <v>#REF!</v>
      </c>
      <c r="I60" s="1229" t="e">
        <f>+'Equating with BBMP'!$L$298</f>
        <v>#REF!</v>
      </c>
      <c r="J60" s="1229" t="e">
        <f>+'Equating with BBMP'!$M$298</f>
        <v>#REF!</v>
      </c>
      <c r="K60" s="1229" t="e">
        <f>+'Equating with BBMP'!$N$298</f>
        <v>#REF!</v>
      </c>
      <c r="M60" s="1229" t="e">
        <f t="shared" si="13"/>
        <v>#REF!</v>
      </c>
      <c r="N60" s="1229" t="e">
        <f t="shared" si="12"/>
        <v>#REF!</v>
      </c>
      <c r="O60" s="1229" t="e">
        <f t="shared" si="14"/>
        <v>#REF!</v>
      </c>
      <c r="P60" s="1246" t="e">
        <f t="shared" si="15"/>
        <v>#REF!</v>
      </c>
    </row>
    <row r="61" spans="1:16" ht="16.5" x14ac:dyDescent="0.2">
      <c r="A61" s="1250" t="s">
        <v>535</v>
      </c>
      <c r="B61" s="1228">
        <v>4</v>
      </c>
      <c r="C61" s="1229" t="s">
        <v>557</v>
      </c>
      <c r="D61" s="1229" t="e">
        <f>+#REF!</f>
        <v>#REF!</v>
      </c>
      <c r="E61" s="1229" t="e">
        <f>+#REF!</f>
        <v>#REF!</v>
      </c>
      <c r="F61" s="1229" t="e">
        <f>+#REF!</f>
        <v>#REF!</v>
      </c>
      <c r="G61" s="1229" t="e">
        <f>+#REF!</f>
        <v>#REF!</v>
      </c>
      <c r="I61" s="1229" t="e">
        <f>+'Equating with BBMP'!$L$307</f>
        <v>#REF!</v>
      </c>
      <c r="J61" s="1229" t="e">
        <f>+'Equating with BBMP'!$M$307</f>
        <v>#REF!</v>
      </c>
      <c r="K61" s="1229" t="e">
        <f>+'Equating with BBMP'!$N$307</f>
        <v>#REF!</v>
      </c>
      <c r="M61" s="1229" t="e">
        <f t="shared" si="13"/>
        <v>#REF!</v>
      </c>
      <c r="N61" s="1229" t="e">
        <f t="shared" si="12"/>
        <v>#REF!</v>
      </c>
      <c r="O61" s="1229" t="e">
        <f t="shared" si="14"/>
        <v>#REF!</v>
      </c>
      <c r="P61" s="1246" t="e">
        <f t="shared" si="15"/>
        <v>#REF!</v>
      </c>
    </row>
    <row r="62" spans="1:16" ht="16.5" x14ac:dyDescent="0.2">
      <c r="A62" s="1250" t="s">
        <v>535</v>
      </c>
      <c r="B62" s="1228">
        <v>5</v>
      </c>
      <c r="C62" s="1229" t="s">
        <v>566</v>
      </c>
      <c r="D62" s="1229" t="e">
        <f>+#REF!</f>
        <v>#REF!</v>
      </c>
      <c r="E62" s="1229" t="e">
        <f>+#REF!</f>
        <v>#REF!</v>
      </c>
      <c r="F62" s="1229" t="e">
        <f>+#REF!</f>
        <v>#REF!</v>
      </c>
      <c r="G62" s="1229" t="e">
        <f>+#REF!</f>
        <v>#REF!</v>
      </c>
      <c r="I62" s="1229" t="e">
        <f>+'Equating with BBMP'!$L$312</f>
        <v>#REF!</v>
      </c>
      <c r="J62" s="1229" t="e">
        <f>+'Equating with BBMP'!$M$312</f>
        <v>#REF!</v>
      </c>
      <c r="K62" s="1229" t="e">
        <f>+'Equating with BBMP'!$N$312</f>
        <v>#REF!</v>
      </c>
      <c r="M62" s="1229" t="e">
        <f t="shared" si="13"/>
        <v>#REF!</v>
      </c>
      <c r="N62" s="1229" t="e">
        <f t="shared" si="12"/>
        <v>#REF!</v>
      </c>
      <c r="O62" s="1229" t="e">
        <f t="shared" si="14"/>
        <v>#REF!</v>
      </c>
      <c r="P62" s="1246" t="e">
        <f t="shared" si="15"/>
        <v>#REF!</v>
      </c>
    </row>
    <row r="63" spans="1:16" ht="16.5" x14ac:dyDescent="0.2">
      <c r="A63" s="1250" t="s">
        <v>535</v>
      </c>
      <c r="B63" s="1228">
        <v>6</v>
      </c>
      <c r="C63" s="1229" t="s">
        <v>567</v>
      </c>
      <c r="D63" s="1229" t="e">
        <f>+#REF!</f>
        <v>#REF!</v>
      </c>
      <c r="E63" s="1229" t="e">
        <f>+#REF!</f>
        <v>#REF!</v>
      </c>
      <c r="F63" s="1229" t="e">
        <f>+#REF!</f>
        <v>#REF!</v>
      </c>
      <c r="G63" s="1229" t="e">
        <f>+#REF!</f>
        <v>#REF!</v>
      </c>
      <c r="I63" s="1229" t="e">
        <f>+'Equating with BBMP'!$L$327</f>
        <v>#REF!</v>
      </c>
      <c r="J63" s="1229" t="e">
        <f>+'Equating with BBMP'!$M$327</f>
        <v>#REF!</v>
      </c>
      <c r="K63" s="1229" t="e">
        <f>+'Equating with BBMP'!$N$327</f>
        <v>#REF!</v>
      </c>
      <c r="M63" s="1229" t="e">
        <f t="shared" si="13"/>
        <v>#REF!</v>
      </c>
      <c r="N63" s="1229" t="e">
        <f t="shared" si="12"/>
        <v>#REF!</v>
      </c>
      <c r="O63" s="1229" t="e">
        <f t="shared" si="14"/>
        <v>#REF!</v>
      </c>
      <c r="P63" s="1246" t="e">
        <f t="shared" si="15"/>
        <v>#REF!</v>
      </c>
    </row>
    <row r="64" spans="1:16" ht="16.5" x14ac:dyDescent="0.2">
      <c r="A64" s="1250" t="s">
        <v>535</v>
      </c>
      <c r="B64" s="1228">
        <v>7</v>
      </c>
      <c r="C64" s="1229" t="s">
        <v>577</v>
      </c>
      <c r="D64" s="1229" t="e">
        <f>+#REF!</f>
        <v>#REF!</v>
      </c>
      <c r="E64" s="1229" t="e">
        <f>+#REF!</f>
        <v>#REF!</v>
      </c>
      <c r="F64" s="1229" t="e">
        <f>+#REF!</f>
        <v>#REF!</v>
      </c>
      <c r="G64" s="1229" t="e">
        <f>+#REF!</f>
        <v>#REF!</v>
      </c>
      <c r="I64" s="1229" t="e">
        <f>+'Equating with BBMP'!$L$339</f>
        <v>#REF!</v>
      </c>
      <c r="J64" s="1229" t="e">
        <f>+'Equating with BBMP'!$M$339</f>
        <v>#REF!</v>
      </c>
      <c r="K64" s="1229" t="e">
        <f>+'Equating with BBMP'!$N$339</f>
        <v>#REF!</v>
      </c>
      <c r="M64" s="1229" t="e">
        <f t="shared" si="13"/>
        <v>#REF!</v>
      </c>
      <c r="N64" s="1229" t="e">
        <f t="shared" si="12"/>
        <v>#REF!</v>
      </c>
      <c r="O64" s="1229" t="e">
        <f t="shared" si="14"/>
        <v>#REF!</v>
      </c>
      <c r="P64" s="1246" t="e">
        <f t="shared" si="15"/>
        <v>#REF!</v>
      </c>
    </row>
    <row r="65" spans="1:16" ht="16.5" x14ac:dyDescent="0.2">
      <c r="A65" s="1250" t="s">
        <v>535</v>
      </c>
      <c r="B65" s="1228">
        <v>8</v>
      </c>
      <c r="C65" s="1229" t="s">
        <v>587</v>
      </c>
      <c r="D65" s="1229" t="e">
        <f>+#REF!</f>
        <v>#REF!</v>
      </c>
      <c r="E65" s="1229" t="e">
        <f>+#REF!</f>
        <v>#REF!</v>
      </c>
      <c r="F65" s="1229" t="e">
        <f>+#REF!</f>
        <v>#REF!</v>
      </c>
      <c r="G65" s="1229" t="e">
        <f>+#REF!</f>
        <v>#REF!</v>
      </c>
      <c r="I65" s="1229" t="e">
        <f>+'Equating with BBMP'!$L$343</f>
        <v>#REF!</v>
      </c>
      <c r="J65" s="1229" t="e">
        <f>+'Equating with BBMP'!$M$343</f>
        <v>#REF!</v>
      </c>
      <c r="K65" s="1229" t="e">
        <f>+'Equating with BBMP'!$N$343</f>
        <v>#REF!</v>
      </c>
      <c r="M65" s="1229" t="e">
        <f t="shared" si="13"/>
        <v>#REF!</v>
      </c>
      <c r="N65" s="1229" t="e">
        <f t="shared" si="12"/>
        <v>#REF!</v>
      </c>
      <c r="O65" s="1229" t="e">
        <f t="shared" si="14"/>
        <v>#REF!</v>
      </c>
      <c r="P65" s="1246" t="e">
        <f t="shared" si="15"/>
        <v>#REF!</v>
      </c>
    </row>
    <row r="66" spans="1:16" ht="16.5" x14ac:dyDescent="0.2">
      <c r="A66" s="1250" t="s">
        <v>535</v>
      </c>
      <c r="B66" s="1237"/>
      <c r="C66" s="1238" t="s">
        <v>588</v>
      </c>
      <c r="D66" s="1238" t="e">
        <f>D58+D59+D60+D61+D62+D63+D64+D65</f>
        <v>#REF!</v>
      </c>
      <c r="E66" s="1238" t="e">
        <f>E58+E59+E60+E61+E62+E63+E64+E65</f>
        <v>#REF!</v>
      </c>
      <c r="F66" s="1238" t="e">
        <f>F58+F59+F60+F61+F62+F63+F64+F65</f>
        <v>#REF!</v>
      </c>
      <c r="G66" s="1238" t="e">
        <f>G58+G59+G60+G61+G62+G63+G64+G65</f>
        <v>#REF!</v>
      </c>
      <c r="I66" s="1238" t="e">
        <f>I58+I59+I60+I61+I62+I63+I64+I65</f>
        <v>#REF!</v>
      </c>
      <c r="J66" s="1238" t="e">
        <f>J58+J59+J60+J61+J62+J63+J64+J65</f>
        <v>#REF!</v>
      </c>
      <c r="K66" s="1238" t="e">
        <f>K58+K59+K60+K61+K62+K63+K64+K65</f>
        <v>#REF!</v>
      </c>
      <c r="M66" s="1238" t="e">
        <f>M58+M59+M60+M61+M62+M63+M64+M65</f>
        <v>#REF!</v>
      </c>
      <c r="N66" s="1238" t="e">
        <f>N58+N59+N60+N61+N62+N63+N64+N65</f>
        <v>#REF!</v>
      </c>
      <c r="O66" s="1238" t="e">
        <f>O58+O59+O60+O61+O62+O63+O64+O65</f>
        <v>#REF!</v>
      </c>
      <c r="P66" s="1247" t="e">
        <f t="shared" si="15"/>
        <v>#REF!</v>
      </c>
    </row>
    <row r="67" spans="1:16" ht="16.5" x14ac:dyDescent="0.2">
      <c r="A67" s="1250" t="s">
        <v>535</v>
      </c>
      <c r="B67" s="1227"/>
    </row>
    <row r="68" spans="1:16" ht="16.5" x14ac:dyDescent="0.2">
      <c r="A68" s="1250" t="s">
        <v>535</v>
      </c>
      <c r="B68" s="1239">
        <v>9</v>
      </c>
      <c r="C68" s="1240" t="s">
        <v>16</v>
      </c>
      <c r="D68" s="1229" t="e">
        <f>+#REF!</f>
        <v>#REF!</v>
      </c>
      <c r="E68" s="1229" t="e">
        <f>+#REF!</f>
        <v>#REF!</v>
      </c>
      <c r="F68" s="1229" t="e">
        <f>+#REF!</f>
        <v>#REF!</v>
      </c>
      <c r="G68" s="1229" t="e">
        <f>+#REF!</f>
        <v>#REF!</v>
      </c>
      <c r="I68" s="1229" t="e">
        <f>+'Equating with BBMP'!$L$347</f>
        <v>#REF!</v>
      </c>
      <c r="J68" s="1229" t="e">
        <f>+'Equating with BBMP'!$M$347</f>
        <v>#REF!</v>
      </c>
      <c r="K68" s="1229" t="e">
        <f>+'Equating with BBMP'!$N$347</f>
        <v>#REF!</v>
      </c>
      <c r="M68" s="1229" t="e">
        <f t="shared" ref="M68:N74" si="16">+I68-E68</f>
        <v>#REF!</v>
      </c>
      <c r="N68" s="1229" t="e">
        <f t="shared" si="16"/>
        <v>#REF!</v>
      </c>
      <c r="O68" s="1229" t="e">
        <f t="shared" ref="O68:O74" si="17">+M68+N68</f>
        <v>#REF!</v>
      </c>
      <c r="P68" s="1246" t="e">
        <f t="shared" si="15"/>
        <v>#REF!</v>
      </c>
    </row>
    <row r="69" spans="1:16" ht="16.5" x14ac:dyDescent="0.2">
      <c r="A69" s="1250" t="s">
        <v>535</v>
      </c>
      <c r="B69" s="1228">
        <v>10</v>
      </c>
      <c r="C69" s="1229" t="s">
        <v>592</v>
      </c>
      <c r="D69" s="1229" t="e">
        <f>+#REF!</f>
        <v>#REF!</v>
      </c>
      <c r="E69" s="1229" t="e">
        <f>+#REF!</f>
        <v>#REF!</v>
      </c>
      <c r="F69" s="1229" t="e">
        <f>+#REF!</f>
        <v>#REF!</v>
      </c>
      <c r="G69" s="1229" t="e">
        <f>+#REF!</f>
        <v>#REF!</v>
      </c>
      <c r="I69" s="1229" t="e">
        <f>+'Equating with BBMP'!$L$356</f>
        <v>#REF!</v>
      </c>
      <c r="J69" s="1229" t="e">
        <f>+'Equating with BBMP'!$M$356</f>
        <v>#REF!</v>
      </c>
      <c r="K69" s="1229" t="e">
        <f>+'Equating with BBMP'!$N$356</f>
        <v>#REF!</v>
      </c>
      <c r="M69" s="1229" t="e">
        <f t="shared" si="16"/>
        <v>#REF!</v>
      </c>
      <c r="N69" s="1229" t="e">
        <f t="shared" si="16"/>
        <v>#REF!</v>
      </c>
      <c r="O69" s="1229" t="e">
        <f t="shared" si="17"/>
        <v>#REF!</v>
      </c>
      <c r="P69" s="1246" t="e">
        <f t="shared" si="15"/>
        <v>#REF!</v>
      </c>
    </row>
    <row r="70" spans="1:16" ht="16.5" x14ac:dyDescent="0.2">
      <c r="A70" s="1250" t="s">
        <v>535</v>
      </c>
      <c r="B70" s="1228">
        <v>11</v>
      </c>
      <c r="C70" s="1229" t="s">
        <v>595</v>
      </c>
      <c r="D70" s="1229" t="e">
        <f>+#REF!</f>
        <v>#REF!</v>
      </c>
      <c r="E70" s="1229" t="e">
        <f>+#REF!</f>
        <v>#REF!</v>
      </c>
      <c r="F70" s="1229" t="e">
        <f>+#REF!</f>
        <v>#REF!</v>
      </c>
      <c r="G70" s="1229" t="e">
        <f>+#REF!</f>
        <v>#REF!</v>
      </c>
      <c r="I70" s="1229" t="e">
        <f>+'Equating with BBMP'!$L$365</f>
        <v>#REF!</v>
      </c>
      <c r="J70" s="1229" t="e">
        <f>+'Equating with BBMP'!$M$365</f>
        <v>#REF!</v>
      </c>
      <c r="K70" s="1229" t="e">
        <f>+'Equating with BBMP'!$N$365</f>
        <v>#REF!</v>
      </c>
      <c r="M70" s="1229" t="e">
        <f t="shared" si="16"/>
        <v>#REF!</v>
      </c>
      <c r="N70" s="1229" t="e">
        <f t="shared" si="16"/>
        <v>#REF!</v>
      </c>
      <c r="O70" s="1229" t="e">
        <f t="shared" si="17"/>
        <v>#REF!</v>
      </c>
      <c r="P70" s="1246" t="e">
        <f t="shared" si="15"/>
        <v>#REF!</v>
      </c>
    </row>
    <row r="71" spans="1:16" ht="16.5" x14ac:dyDescent="0.2">
      <c r="A71" s="1250" t="s">
        <v>535</v>
      </c>
      <c r="B71" s="1228">
        <v>12</v>
      </c>
      <c r="C71" s="1229" t="s">
        <v>600</v>
      </c>
      <c r="D71" s="1229" t="e">
        <f>+#REF!</f>
        <v>#REF!</v>
      </c>
      <c r="E71" s="1229" t="e">
        <f>+#REF!</f>
        <v>#REF!</v>
      </c>
      <c r="F71" s="1229" t="e">
        <f>+#REF!</f>
        <v>#REF!</v>
      </c>
      <c r="G71" s="1229" t="e">
        <f>+#REF!</f>
        <v>#REF!</v>
      </c>
      <c r="I71" s="1229" t="e">
        <f>+'Equating with BBMP'!$L$374</f>
        <v>#REF!</v>
      </c>
      <c r="J71" s="1229" t="e">
        <f>+'Equating with BBMP'!$M$374</f>
        <v>#REF!</v>
      </c>
      <c r="K71" s="1229" t="e">
        <f>+'Equating with BBMP'!$N$374</f>
        <v>#REF!</v>
      </c>
      <c r="M71" s="1229" t="e">
        <f t="shared" si="16"/>
        <v>#REF!</v>
      </c>
      <c r="N71" s="1229" t="e">
        <f t="shared" si="16"/>
        <v>#REF!</v>
      </c>
      <c r="O71" s="1229" t="e">
        <f t="shared" si="17"/>
        <v>#REF!</v>
      </c>
      <c r="P71" s="1246" t="e">
        <f t="shared" si="15"/>
        <v>#REF!</v>
      </c>
    </row>
    <row r="72" spans="1:16" ht="16.5" x14ac:dyDescent="0.2">
      <c r="A72" s="1250" t="s">
        <v>535</v>
      </c>
      <c r="B72" s="1228">
        <v>13</v>
      </c>
      <c r="C72" s="1229" t="s">
        <v>603</v>
      </c>
      <c r="D72" s="1229" t="e">
        <f>+#REF!</f>
        <v>#REF!</v>
      </c>
      <c r="E72" s="1229" t="e">
        <f>+#REF!</f>
        <v>#REF!</v>
      </c>
      <c r="F72" s="1229" t="e">
        <f>+#REF!</f>
        <v>#REF!</v>
      </c>
      <c r="G72" s="1229" t="e">
        <f>+#REF!</f>
        <v>#REF!</v>
      </c>
      <c r="I72" s="1229" t="e">
        <f>+'Equating with BBMP'!$L$380</f>
        <v>#REF!</v>
      </c>
      <c r="J72" s="1229" t="e">
        <f>+'Equating with BBMP'!$M$380</f>
        <v>#REF!</v>
      </c>
      <c r="K72" s="1229" t="e">
        <f>+'Equating with BBMP'!$N$380</f>
        <v>#REF!</v>
      </c>
      <c r="M72" s="1229" t="e">
        <f t="shared" si="16"/>
        <v>#REF!</v>
      </c>
      <c r="N72" s="1229" t="e">
        <f t="shared" si="16"/>
        <v>#REF!</v>
      </c>
      <c r="O72" s="1229" t="e">
        <f t="shared" si="17"/>
        <v>#REF!</v>
      </c>
      <c r="P72" s="1246" t="e">
        <f t="shared" si="15"/>
        <v>#REF!</v>
      </c>
    </row>
    <row r="73" spans="1:16" ht="16.5" x14ac:dyDescent="0.2">
      <c r="A73" s="1250" t="s">
        <v>535</v>
      </c>
      <c r="B73" s="1239">
        <v>14</v>
      </c>
      <c r="C73" s="1240" t="s">
        <v>312</v>
      </c>
      <c r="D73" s="1229" t="e">
        <f>+#REF!</f>
        <v>#REF!</v>
      </c>
      <c r="E73" s="1229" t="e">
        <f>+#REF!</f>
        <v>#REF!</v>
      </c>
      <c r="F73" s="1229" t="e">
        <f>+#REF!</f>
        <v>#REF!</v>
      </c>
      <c r="G73" s="1229" t="e">
        <f>+#REF!</f>
        <v>#REF!</v>
      </c>
      <c r="I73" s="1229" t="e">
        <f>+'Equating with BBMP'!$L$382</f>
        <v>#REF!</v>
      </c>
      <c r="J73" s="1229" t="e">
        <f>+'Equating with BBMP'!$M$382</f>
        <v>#REF!</v>
      </c>
      <c r="K73" s="1229" t="e">
        <f>+'Equating with BBMP'!$N$382</f>
        <v>#REF!</v>
      </c>
      <c r="M73" s="1229" t="e">
        <f t="shared" si="16"/>
        <v>#REF!</v>
      </c>
      <c r="N73" s="1229" t="e">
        <f t="shared" si="16"/>
        <v>#REF!</v>
      </c>
      <c r="O73" s="1229" t="e">
        <f t="shared" si="17"/>
        <v>#REF!</v>
      </c>
      <c r="P73" s="1246" t="e">
        <f t="shared" si="15"/>
        <v>#REF!</v>
      </c>
    </row>
    <row r="74" spans="1:16" ht="16.5" x14ac:dyDescent="0.2">
      <c r="A74" s="1250" t="s">
        <v>535</v>
      </c>
      <c r="B74" s="1239">
        <v>15</v>
      </c>
      <c r="C74" s="1240" t="s">
        <v>313</v>
      </c>
      <c r="D74" s="1229" t="e">
        <f>+#REF!</f>
        <v>#REF!</v>
      </c>
      <c r="E74" s="1229" t="e">
        <f>+#REF!</f>
        <v>#REF!</v>
      </c>
      <c r="F74" s="1229" t="e">
        <f>+#REF!</f>
        <v>#REF!</v>
      </c>
      <c r="G74" s="1229" t="e">
        <f>+#REF!</f>
        <v>#REF!</v>
      </c>
      <c r="I74" s="1229" t="e">
        <f>+'Equating with BBMP'!$L$384</f>
        <v>#REF!</v>
      </c>
      <c r="J74" s="1229" t="e">
        <f>+'Equating with BBMP'!$M$384</f>
        <v>#REF!</v>
      </c>
      <c r="K74" s="1229" t="e">
        <f>+'Equating with BBMP'!$N$384</f>
        <v>#REF!</v>
      </c>
      <c r="M74" s="1229" t="e">
        <f t="shared" si="16"/>
        <v>#REF!</v>
      </c>
      <c r="N74" s="1229" t="e">
        <f t="shared" si="16"/>
        <v>#REF!</v>
      </c>
      <c r="O74" s="1229" t="e">
        <f t="shared" si="17"/>
        <v>#REF!</v>
      </c>
      <c r="P74" s="1246" t="e">
        <f t="shared" si="15"/>
        <v>#REF!</v>
      </c>
    </row>
    <row r="75" spans="1:16" ht="16.5" x14ac:dyDescent="0.2">
      <c r="A75" s="1250" t="s">
        <v>535</v>
      </c>
      <c r="B75" s="1241"/>
      <c r="C75" s="1242" t="s">
        <v>605</v>
      </c>
      <c r="D75" s="1242" t="e">
        <f>D68+D69+D70+D71+D72+D73+D74</f>
        <v>#REF!</v>
      </c>
      <c r="E75" s="1242" t="e">
        <f>E68+E69+E70+E71+E72+E73+E74</f>
        <v>#REF!</v>
      </c>
      <c r="F75" s="1242" t="e">
        <f>F68+F69+F70+F71+F72+F73+F74</f>
        <v>#REF!</v>
      </c>
      <c r="G75" s="1242" t="e">
        <f>G68+G69+G70+G71+G72+G73+G74</f>
        <v>#REF!</v>
      </c>
      <c r="I75" s="1242" t="e">
        <f>I68+I69+I70+I71+I72+I73+I74</f>
        <v>#REF!</v>
      </c>
      <c r="J75" s="1242" t="e">
        <f>J68+J69+J70+J71+J72+J73+J74</f>
        <v>#REF!</v>
      </c>
      <c r="K75" s="1242" t="e">
        <f>K68+K69+K70+K71+K72+K73+K74</f>
        <v>#REF!</v>
      </c>
      <c r="M75" s="1242" t="e">
        <f>M68+M69+M70+M71+M72+M73+M74</f>
        <v>#REF!</v>
      </c>
      <c r="N75" s="1242" t="e">
        <f>N68+N69+N70+N71+N72+N73+N74</f>
        <v>#REF!</v>
      </c>
      <c r="O75" s="1242" t="e">
        <f>O68+O69+O70+O71+O72+O73+O74</f>
        <v>#REF!</v>
      </c>
      <c r="P75" s="1248" t="e">
        <f t="shared" si="15"/>
        <v>#REF!</v>
      </c>
    </row>
    <row r="76" spans="1:16" ht="16.5" x14ac:dyDescent="0.2">
      <c r="A76" s="1250" t="s">
        <v>535</v>
      </c>
      <c r="B76" s="1243"/>
      <c r="C76" s="1243"/>
      <c r="D76" s="1243"/>
      <c r="E76" s="1243"/>
      <c r="F76" s="1243"/>
      <c r="G76" s="1243"/>
      <c r="I76" s="1243"/>
      <c r="J76" s="1243"/>
      <c r="K76" s="1243"/>
      <c r="M76" s="1243"/>
      <c r="N76" s="1243"/>
      <c r="O76" s="1243"/>
      <c r="P76" s="1243"/>
    </row>
    <row r="77" spans="1:16" ht="16.5" x14ac:dyDescent="0.2">
      <c r="A77" s="1250" t="s">
        <v>535</v>
      </c>
      <c r="B77" s="1241"/>
      <c r="C77" s="1242" t="s">
        <v>606</v>
      </c>
      <c r="D77" s="1242" t="e">
        <f>D66+D75</f>
        <v>#REF!</v>
      </c>
      <c r="E77" s="1242" t="e">
        <f>E66+E75</f>
        <v>#REF!</v>
      </c>
      <c r="F77" s="1242" t="e">
        <f>F66+F75</f>
        <v>#REF!</v>
      </c>
      <c r="G77" s="1242" t="e">
        <f>G66+G75</f>
        <v>#REF!</v>
      </c>
      <c r="I77" s="1242" t="e">
        <f>I66+I75</f>
        <v>#REF!</v>
      </c>
      <c r="J77" s="1242" t="e">
        <f>J66+J75</f>
        <v>#REF!</v>
      </c>
      <c r="K77" s="1242" t="e">
        <f>K66+K75</f>
        <v>#REF!</v>
      </c>
      <c r="M77" s="1242" t="e">
        <f>M66+M75</f>
        <v>#REF!</v>
      </c>
      <c r="N77" s="1242" t="e">
        <f>N66+N75</f>
        <v>#REF!</v>
      </c>
      <c r="O77" s="1242" t="e">
        <f>O66+O75</f>
        <v>#REF!</v>
      </c>
      <c r="P77" s="1248" t="e">
        <f t="shared" si="15"/>
        <v>#REF!</v>
      </c>
    </row>
    <row r="80" spans="1:16" x14ac:dyDescent="0.15">
      <c r="B80" s="1228" t="s">
        <v>609</v>
      </c>
      <c r="E80" s="1229" t="s">
        <v>624</v>
      </c>
      <c r="F80" s="1230"/>
      <c r="G80" s="1231"/>
      <c r="I80" s="1229" t="s">
        <v>625</v>
      </c>
      <c r="J80" s="1230"/>
      <c r="K80" s="1231"/>
      <c r="M80" s="1229" t="s">
        <v>626</v>
      </c>
      <c r="N80" s="1230"/>
      <c r="O80" s="1231"/>
      <c r="P80" s="1253" t="s">
        <v>628</v>
      </c>
    </row>
    <row r="81" spans="1:16" x14ac:dyDescent="0.15">
      <c r="B81" s="1232" t="s">
        <v>472</v>
      </c>
      <c r="C81" s="1232" t="s">
        <v>474</v>
      </c>
      <c r="D81" s="1233" t="s">
        <v>475</v>
      </c>
      <c r="E81" s="1234" t="s">
        <v>610</v>
      </c>
      <c r="F81" s="1234" t="s">
        <v>611</v>
      </c>
      <c r="G81" s="1234" t="s">
        <v>488</v>
      </c>
      <c r="I81" s="1234" t="s">
        <v>610</v>
      </c>
      <c r="J81" s="1234" t="s">
        <v>611</v>
      </c>
      <c r="K81" s="1234" t="s">
        <v>488</v>
      </c>
      <c r="M81" s="1234" t="s">
        <v>610</v>
      </c>
      <c r="N81" s="1234" t="s">
        <v>611</v>
      </c>
      <c r="O81" s="1234" t="s">
        <v>488</v>
      </c>
      <c r="P81" s="1254" t="s">
        <v>629</v>
      </c>
    </row>
    <row r="82" spans="1:16" x14ac:dyDescent="0.15">
      <c r="B82" s="1235" t="s">
        <v>473</v>
      </c>
      <c r="C82" s="1235" t="s">
        <v>31</v>
      </c>
      <c r="D82" s="1236" t="s">
        <v>476</v>
      </c>
      <c r="E82" s="1235" t="s">
        <v>481</v>
      </c>
      <c r="F82" s="1235" t="s">
        <v>481</v>
      </c>
      <c r="G82" s="1235" t="s">
        <v>481</v>
      </c>
      <c r="I82" s="1235" t="s">
        <v>481</v>
      </c>
      <c r="J82" s="1235" t="s">
        <v>481</v>
      </c>
      <c r="K82" s="1235" t="s">
        <v>481</v>
      </c>
      <c r="M82" s="1235" t="s">
        <v>481</v>
      </c>
      <c r="N82" s="1235" t="s">
        <v>481</v>
      </c>
      <c r="O82" s="1235" t="s">
        <v>481</v>
      </c>
      <c r="P82" s="1255" t="s">
        <v>630</v>
      </c>
    </row>
    <row r="83" spans="1:16" ht="16.5" x14ac:dyDescent="0.2">
      <c r="A83" s="1250" t="s">
        <v>537</v>
      </c>
      <c r="B83" s="1228">
        <v>1</v>
      </c>
      <c r="C83" s="1229" t="s">
        <v>484</v>
      </c>
      <c r="D83" s="1229" t="e">
        <f>+#REF!</f>
        <v>#REF!</v>
      </c>
      <c r="E83" s="1229" t="e">
        <f>+#REF!</f>
        <v>#REF!</v>
      </c>
      <c r="F83" s="1229" t="e">
        <f>+#REF!</f>
        <v>#REF!</v>
      </c>
      <c r="G83" s="1229" t="e">
        <f>+#REF!</f>
        <v>#REF!</v>
      </c>
      <c r="I83" s="1229">
        <f>+'Equating with BBMP'!$L$407</f>
        <v>8.33</v>
      </c>
      <c r="J83" s="1229" t="e">
        <f>+'Equating with BBMP'!$M$407</f>
        <v>#REF!</v>
      </c>
      <c r="K83" s="1229" t="e">
        <f>+'Equating with BBMP'!$N$407</f>
        <v>#REF!</v>
      </c>
      <c r="M83" s="1229" t="e">
        <f>+I83-E83</f>
        <v>#REF!</v>
      </c>
      <c r="N83" s="1229" t="e">
        <f t="shared" ref="N83:N90" si="18">+J83-F83</f>
        <v>#REF!</v>
      </c>
      <c r="O83" s="1229" t="e">
        <f>+M83+N83</f>
        <v>#REF!</v>
      </c>
      <c r="P83" s="1249" t="e">
        <f>ROUND(O83/D83*1000,0)</f>
        <v>#REF!</v>
      </c>
    </row>
    <row r="84" spans="1:16" ht="16.5" x14ac:dyDescent="0.2">
      <c r="A84" s="1250" t="s">
        <v>537</v>
      </c>
      <c r="B84" s="1228">
        <v>2</v>
      </c>
      <c r="C84" s="1229" t="s">
        <v>490</v>
      </c>
      <c r="D84" s="1229" t="e">
        <f>+#REF!</f>
        <v>#REF!</v>
      </c>
      <c r="E84" s="1229" t="e">
        <f>+#REF!</f>
        <v>#REF!</v>
      </c>
      <c r="F84" s="1229" t="e">
        <f>+#REF!</f>
        <v>#REF!</v>
      </c>
      <c r="G84" s="1229" t="e">
        <f>+#REF!</f>
        <v>#REF!</v>
      </c>
      <c r="I84" s="1229" t="e">
        <f>+'Equating with BBMP'!$L$420</f>
        <v>#REF!</v>
      </c>
      <c r="J84" s="1229" t="e">
        <f>+'Equating with BBMP'!$M$420</f>
        <v>#REF!</v>
      </c>
      <c r="K84" s="1229" t="e">
        <f>+'Equating with BBMP'!$N$420</f>
        <v>#REF!</v>
      </c>
      <c r="M84" s="1229" t="e">
        <f t="shared" ref="M84:M90" si="19">+I84-E84</f>
        <v>#REF!</v>
      </c>
      <c r="N84" s="1229" t="e">
        <f t="shared" si="18"/>
        <v>#REF!</v>
      </c>
      <c r="O84" s="1229" t="e">
        <f t="shared" ref="O84:O90" si="20">+M84+N84</f>
        <v>#REF!</v>
      </c>
      <c r="P84" s="1246" t="e">
        <f t="shared" ref="P84:P102" si="21">ROUND(O84/D84*1000,0)</f>
        <v>#REF!</v>
      </c>
    </row>
    <row r="85" spans="1:16" ht="16.5" x14ac:dyDescent="0.2">
      <c r="A85" s="1250" t="s">
        <v>537</v>
      </c>
      <c r="B85" s="1228">
        <v>3</v>
      </c>
      <c r="C85" s="1229" t="s">
        <v>553</v>
      </c>
      <c r="D85" s="1229" t="e">
        <f>+#REF!</f>
        <v>#REF!</v>
      </c>
      <c r="E85" s="1229" t="e">
        <f>+#REF!</f>
        <v>#REF!</v>
      </c>
      <c r="F85" s="1229" t="e">
        <f>+#REF!</f>
        <v>#REF!</v>
      </c>
      <c r="G85" s="1229" t="e">
        <f>+#REF!</f>
        <v>#REF!</v>
      </c>
      <c r="I85" s="1229" t="e">
        <f>+'Equating with BBMP'!$L$431</f>
        <v>#REF!</v>
      </c>
      <c r="J85" s="1229" t="e">
        <f>+'Equating with BBMP'!$M$431</f>
        <v>#REF!</v>
      </c>
      <c r="K85" s="1229" t="e">
        <f>+'Equating with BBMP'!$N$431</f>
        <v>#REF!</v>
      </c>
      <c r="M85" s="1229" t="e">
        <f t="shared" si="19"/>
        <v>#REF!</v>
      </c>
      <c r="N85" s="1229" t="e">
        <f t="shared" si="18"/>
        <v>#REF!</v>
      </c>
      <c r="O85" s="1229" t="e">
        <f t="shared" si="20"/>
        <v>#REF!</v>
      </c>
      <c r="P85" s="1246" t="e">
        <f t="shared" si="21"/>
        <v>#REF!</v>
      </c>
    </row>
    <row r="86" spans="1:16" ht="16.5" x14ac:dyDescent="0.2">
      <c r="A86" s="1250" t="s">
        <v>537</v>
      </c>
      <c r="B86" s="1228">
        <v>4</v>
      </c>
      <c r="C86" s="1229" t="s">
        <v>557</v>
      </c>
      <c r="D86" s="1229" t="e">
        <f>+#REF!</f>
        <v>#REF!</v>
      </c>
      <c r="E86" s="1229" t="e">
        <f>+#REF!</f>
        <v>#REF!</v>
      </c>
      <c r="F86" s="1229" t="e">
        <f>+#REF!</f>
        <v>#REF!</v>
      </c>
      <c r="G86" s="1229" t="e">
        <f>+#REF!</f>
        <v>#REF!</v>
      </c>
      <c r="I86" s="1229" t="e">
        <f>+'Equating with BBMP'!$L$440</f>
        <v>#REF!</v>
      </c>
      <c r="J86" s="1229" t="e">
        <f>+'Equating with BBMP'!$M$440</f>
        <v>#REF!</v>
      </c>
      <c r="K86" s="1229" t="e">
        <f>+'Equating with BBMP'!$N$440</f>
        <v>#REF!</v>
      </c>
      <c r="M86" s="1229" t="e">
        <f t="shared" si="19"/>
        <v>#REF!</v>
      </c>
      <c r="N86" s="1229" t="e">
        <f t="shared" si="18"/>
        <v>#REF!</v>
      </c>
      <c r="O86" s="1229" t="e">
        <f t="shared" si="20"/>
        <v>#REF!</v>
      </c>
      <c r="P86" s="1246" t="e">
        <f t="shared" si="21"/>
        <v>#REF!</v>
      </c>
    </row>
    <row r="87" spans="1:16" ht="16.5" x14ac:dyDescent="0.2">
      <c r="A87" s="1250" t="s">
        <v>537</v>
      </c>
      <c r="B87" s="1228">
        <v>5</v>
      </c>
      <c r="C87" s="1229" t="s">
        <v>566</v>
      </c>
      <c r="D87" s="1229" t="e">
        <f>+#REF!</f>
        <v>#REF!</v>
      </c>
      <c r="E87" s="1229" t="e">
        <f>+#REF!</f>
        <v>#REF!</v>
      </c>
      <c r="F87" s="1229" t="e">
        <f>+#REF!</f>
        <v>#REF!</v>
      </c>
      <c r="G87" s="1229" t="e">
        <f>+#REF!</f>
        <v>#REF!</v>
      </c>
      <c r="I87" s="1229" t="e">
        <f>+'Equating with BBMP'!$L$445</f>
        <v>#REF!</v>
      </c>
      <c r="J87" s="1229" t="e">
        <f>+'Equating with BBMP'!$M$445</f>
        <v>#REF!</v>
      </c>
      <c r="K87" s="1229" t="e">
        <f>+'Equating with BBMP'!$N$445</f>
        <v>#REF!</v>
      </c>
      <c r="M87" s="1229" t="e">
        <f t="shared" si="19"/>
        <v>#REF!</v>
      </c>
      <c r="N87" s="1229" t="e">
        <f t="shared" si="18"/>
        <v>#REF!</v>
      </c>
      <c r="O87" s="1229" t="e">
        <f t="shared" si="20"/>
        <v>#REF!</v>
      </c>
      <c r="P87" s="1246" t="e">
        <f t="shared" si="21"/>
        <v>#REF!</v>
      </c>
    </row>
    <row r="88" spans="1:16" ht="16.5" x14ac:dyDescent="0.2">
      <c r="A88" s="1250" t="s">
        <v>537</v>
      </c>
      <c r="B88" s="1228">
        <v>6</v>
      </c>
      <c r="C88" s="1229" t="s">
        <v>567</v>
      </c>
      <c r="D88" s="1229" t="e">
        <f>+#REF!</f>
        <v>#REF!</v>
      </c>
      <c r="E88" s="1229" t="e">
        <f>+#REF!</f>
        <v>#REF!</v>
      </c>
      <c r="F88" s="1229" t="e">
        <f>+#REF!</f>
        <v>#REF!</v>
      </c>
      <c r="G88" s="1229" t="e">
        <f>+#REF!</f>
        <v>#REF!</v>
      </c>
      <c r="I88" s="1229" t="e">
        <f>+'Equating with BBMP'!$L$460</f>
        <v>#REF!</v>
      </c>
      <c r="J88" s="1229" t="e">
        <f>+'Equating with BBMP'!$M$460</f>
        <v>#REF!</v>
      </c>
      <c r="K88" s="1229" t="e">
        <f>+'Equating with BBMP'!$N$460</f>
        <v>#REF!</v>
      </c>
      <c r="M88" s="1229" t="e">
        <f t="shared" si="19"/>
        <v>#REF!</v>
      </c>
      <c r="N88" s="1229" t="e">
        <f t="shared" si="18"/>
        <v>#REF!</v>
      </c>
      <c r="O88" s="1229" t="e">
        <f t="shared" si="20"/>
        <v>#REF!</v>
      </c>
      <c r="P88" s="1246" t="e">
        <f t="shared" si="21"/>
        <v>#REF!</v>
      </c>
    </row>
    <row r="89" spans="1:16" ht="16.5" x14ac:dyDescent="0.2">
      <c r="A89" s="1250" t="s">
        <v>537</v>
      </c>
      <c r="B89" s="1228">
        <v>7</v>
      </c>
      <c r="C89" s="1229" t="s">
        <v>577</v>
      </c>
      <c r="D89" s="1229" t="e">
        <f>+#REF!</f>
        <v>#REF!</v>
      </c>
      <c r="E89" s="1229" t="e">
        <f>+#REF!</f>
        <v>#REF!</v>
      </c>
      <c r="F89" s="1229" t="e">
        <f>+#REF!</f>
        <v>#REF!</v>
      </c>
      <c r="G89" s="1229" t="e">
        <f>+#REF!</f>
        <v>#REF!</v>
      </c>
      <c r="I89" s="1229" t="e">
        <f>+'Equating with BBMP'!$L$472</f>
        <v>#REF!</v>
      </c>
      <c r="J89" s="1229" t="e">
        <f>+'Equating with BBMP'!$M$472</f>
        <v>#REF!</v>
      </c>
      <c r="K89" s="1229" t="e">
        <f>+'Equating with BBMP'!$N$472</f>
        <v>#REF!</v>
      </c>
      <c r="M89" s="1229" t="e">
        <f t="shared" si="19"/>
        <v>#REF!</v>
      </c>
      <c r="N89" s="1229" t="e">
        <f t="shared" si="18"/>
        <v>#REF!</v>
      </c>
      <c r="O89" s="1229" t="e">
        <f t="shared" si="20"/>
        <v>#REF!</v>
      </c>
      <c r="P89" s="1246" t="e">
        <f t="shared" si="21"/>
        <v>#REF!</v>
      </c>
    </row>
    <row r="90" spans="1:16" ht="16.5" x14ac:dyDescent="0.2">
      <c r="A90" s="1250" t="s">
        <v>537</v>
      </c>
      <c r="B90" s="1228">
        <v>8</v>
      </c>
      <c r="C90" s="1229" t="s">
        <v>587</v>
      </c>
      <c r="D90" s="1229" t="e">
        <f>+#REF!</f>
        <v>#REF!</v>
      </c>
      <c r="E90" s="1229" t="e">
        <f>+#REF!</f>
        <v>#REF!</v>
      </c>
      <c r="F90" s="1229" t="e">
        <f>+#REF!</f>
        <v>#REF!</v>
      </c>
      <c r="G90" s="1229" t="e">
        <f>+#REF!</f>
        <v>#REF!</v>
      </c>
      <c r="I90" s="1229" t="e">
        <f>+'Equating with BBMP'!$L$476</f>
        <v>#REF!</v>
      </c>
      <c r="J90" s="1229" t="e">
        <f>+'Equating with BBMP'!$M$476</f>
        <v>#REF!</v>
      </c>
      <c r="K90" s="1229" t="e">
        <f>+'Equating with BBMP'!$N$476</f>
        <v>#REF!</v>
      </c>
      <c r="M90" s="1229" t="e">
        <f t="shared" si="19"/>
        <v>#REF!</v>
      </c>
      <c r="N90" s="1229" t="e">
        <f t="shared" si="18"/>
        <v>#REF!</v>
      </c>
      <c r="O90" s="1229" t="e">
        <f t="shared" si="20"/>
        <v>#REF!</v>
      </c>
      <c r="P90" s="1246" t="e">
        <f t="shared" si="21"/>
        <v>#REF!</v>
      </c>
    </row>
    <row r="91" spans="1:16" ht="16.5" x14ac:dyDescent="0.2">
      <c r="A91" s="1250" t="s">
        <v>537</v>
      </c>
      <c r="B91" s="1237"/>
      <c r="C91" s="1238" t="s">
        <v>588</v>
      </c>
      <c r="D91" s="1238" t="e">
        <f>D83+D84+D85+D86+D87+D88+D89+D90</f>
        <v>#REF!</v>
      </c>
      <c r="E91" s="1238" t="e">
        <f>E83+E84+E85+E86+E87+E88+E89+E90</f>
        <v>#REF!</v>
      </c>
      <c r="F91" s="1238" t="e">
        <f>F83+F84+F85+F86+F87+F88+F89+F90</f>
        <v>#REF!</v>
      </c>
      <c r="G91" s="1238" t="e">
        <f>G83+G84+G85+G86+G87+G88+G89+G90</f>
        <v>#REF!</v>
      </c>
      <c r="I91" s="1238" t="e">
        <f>I83+I84+I85+I86+I87+I88+I89+I90</f>
        <v>#REF!</v>
      </c>
      <c r="J91" s="1238" t="e">
        <f>J83+J84+J85+J86+J87+J88+J89+J90</f>
        <v>#REF!</v>
      </c>
      <c r="K91" s="1238" t="e">
        <f>K83+K84+K85+K86+K87+K88+K89+K90</f>
        <v>#REF!</v>
      </c>
      <c r="M91" s="1238" t="e">
        <f>M83+M84+M85+M86+M87+M88+M89+M90</f>
        <v>#REF!</v>
      </c>
      <c r="N91" s="1238" t="e">
        <f>N83+N84+N85+N86+N87+N88+N89+N90</f>
        <v>#REF!</v>
      </c>
      <c r="O91" s="1238" t="e">
        <f>O83+O84+O85+O86+O87+O88+O89+O90</f>
        <v>#REF!</v>
      </c>
      <c r="P91" s="1247" t="e">
        <f t="shared" si="21"/>
        <v>#REF!</v>
      </c>
    </row>
    <row r="92" spans="1:16" ht="16.5" x14ac:dyDescent="0.2">
      <c r="A92" s="1250" t="s">
        <v>537</v>
      </c>
      <c r="B92" s="1227"/>
    </row>
    <row r="93" spans="1:16" ht="16.5" x14ac:dyDescent="0.2">
      <c r="A93" s="1250" t="s">
        <v>537</v>
      </c>
      <c r="B93" s="1239">
        <v>9</v>
      </c>
      <c r="C93" s="1240" t="s">
        <v>16</v>
      </c>
      <c r="D93" s="1229" t="e">
        <f>+#REF!</f>
        <v>#REF!</v>
      </c>
      <c r="E93" s="1229" t="e">
        <f>+#REF!</f>
        <v>#REF!</v>
      </c>
      <c r="F93" s="1229" t="e">
        <f>+#REF!</f>
        <v>#REF!</v>
      </c>
      <c r="G93" s="1229" t="e">
        <f>+#REF!</f>
        <v>#REF!</v>
      </c>
      <c r="I93" s="1229" t="e">
        <f>+'Equating with BBMP'!$L$480</f>
        <v>#REF!</v>
      </c>
      <c r="J93" s="1229" t="e">
        <f>+'Equating with BBMP'!$M$480</f>
        <v>#REF!</v>
      </c>
      <c r="K93" s="1229" t="e">
        <f>+'Equating with BBMP'!$N$480</f>
        <v>#REF!</v>
      </c>
      <c r="M93" s="1229" t="e">
        <f t="shared" ref="M93:N99" si="22">+I93-E93</f>
        <v>#REF!</v>
      </c>
      <c r="N93" s="1229" t="e">
        <f t="shared" si="22"/>
        <v>#REF!</v>
      </c>
      <c r="O93" s="1229" t="e">
        <f t="shared" ref="O93:O99" si="23">+M93+N93</f>
        <v>#REF!</v>
      </c>
      <c r="P93" s="1246" t="e">
        <f t="shared" si="21"/>
        <v>#REF!</v>
      </c>
    </row>
    <row r="94" spans="1:16" ht="16.5" x14ac:dyDescent="0.2">
      <c r="A94" s="1250" t="s">
        <v>537</v>
      </c>
      <c r="B94" s="1228">
        <v>10</v>
      </c>
      <c r="C94" s="1229" t="s">
        <v>592</v>
      </c>
      <c r="D94" s="1229" t="e">
        <f>+#REF!</f>
        <v>#REF!</v>
      </c>
      <c r="E94" s="1229" t="e">
        <f>+#REF!</f>
        <v>#REF!</v>
      </c>
      <c r="F94" s="1229" t="e">
        <f>+#REF!</f>
        <v>#REF!</v>
      </c>
      <c r="G94" s="1229" t="e">
        <f>+#REF!</f>
        <v>#REF!</v>
      </c>
      <c r="I94" s="1229" t="e">
        <f>+'Equating with BBMP'!$L$489</f>
        <v>#REF!</v>
      </c>
      <c r="J94" s="1229" t="e">
        <f>+'Equating with BBMP'!$M$489</f>
        <v>#REF!</v>
      </c>
      <c r="K94" s="1229" t="e">
        <f>+'Equating with BBMP'!$N$489</f>
        <v>#REF!</v>
      </c>
      <c r="M94" s="1229" t="e">
        <f t="shared" si="22"/>
        <v>#REF!</v>
      </c>
      <c r="N94" s="1229" t="e">
        <f t="shared" si="22"/>
        <v>#REF!</v>
      </c>
      <c r="O94" s="1229" t="e">
        <f t="shared" si="23"/>
        <v>#REF!</v>
      </c>
      <c r="P94" s="1246" t="e">
        <f t="shared" si="21"/>
        <v>#REF!</v>
      </c>
    </row>
    <row r="95" spans="1:16" ht="16.5" x14ac:dyDescent="0.2">
      <c r="A95" s="1250" t="s">
        <v>537</v>
      </c>
      <c r="B95" s="1228">
        <v>11</v>
      </c>
      <c r="C95" s="1229" t="s">
        <v>595</v>
      </c>
      <c r="D95" s="1229" t="e">
        <f>+#REF!</f>
        <v>#REF!</v>
      </c>
      <c r="E95" s="1229" t="e">
        <f>+#REF!</f>
        <v>#REF!</v>
      </c>
      <c r="F95" s="1229" t="e">
        <f>+#REF!</f>
        <v>#REF!</v>
      </c>
      <c r="G95" s="1229" t="e">
        <f>+#REF!</f>
        <v>#REF!</v>
      </c>
      <c r="I95" s="1229" t="e">
        <f>+'Equating with BBMP'!$L$498</f>
        <v>#REF!</v>
      </c>
      <c r="J95" s="1229" t="e">
        <f>+'Equating with BBMP'!$M$498</f>
        <v>#REF!</v>
      </c>
      <c r="K95" s="1229" t="e">
        <f>+'Equating with BBMP'!$N$498</f>
        <v>#REF!</v>
      </c>
      <c r="M95" s="1229" t="e">
        <f t="shared" si="22"/>
        <v>#REF!</v>
      </c>
      <c r="N95" s="1229" t="e">
        <f t="shared" si="22"/>
        <v>#REF!</v>
      </c>
      <c r="O95" s="1229" t="e">
        <f t="shared" si="23"/>
        <v>#REF!</v>
      </c>
      <c r="P95" s="1246" t="e">
        <f t="shared" si="21"/>
        <v>#REF!</v>
      </c>
    </row>
    <row r="96" spans="1:16" ht="16.5" x14ac:dyDescent="0.2">
      <c r="A96" s="1250" t="s">
        <v>537</v>
      </c>
      <c r="B96" s="1228">
        <v>12</v>
      </c>
      <c r="C96" s="1229" t="s">
        <v>600</v>
      </c>
      <c r="D96" s="1229" t="e">
        <f>+#REF!</f>
        <v>#REF!</v>
      </c>
      <c r="E96" s="1229" t="e">
        <f>+#REF!</f>
        <v>#REF!</v>
      </c>
      <c r="F96" s="1229" t="e">
        <f>+#REF!</f>
        <v>#REF!</v>
      </c>
      <c r="G96" s="1229" t="e">
        <f>+#REF!</f>
        <v>#REF!</v>
      </c>
      <c r="I96" s="1229" t="e">
        <f>+'Equating with BBMP'!$L$507</f>
        <v>#REF!</v>
      </c>
      <c r="J96" s="1229" t="e">
        <f>+'Equating with BBMP'!$M$507</f>
        <v>#REF!</v>
      </c>
      <c r="K96" s="1229" t="e">
        <f>+'Equating with BBMP'!$N$507</f>
        <v>#REF!</v>
      </c>
      <c r="M96" s="1229" t="e">
        <f t="shared" si="22"/>
        <v>#REF!</v>
      </c>
      <c r="N96" s="1229" t="e">
        <f t="shared" si="22"/>
        <v>#REF!</v>
      </c>
      <c r="O96" s="1229" t="e">
        <f t="shared" si="23"/>
        <v>#REF!</v>
      </c>
      <c r="P96" s="1246" t="e">
        <f t="shared" si="21"/>
        <v>#REF!</v>
      </c>
    </row>
    <row r="97" spans="1:16" ht="16.5" x14ac:dyDescent="0.2">
      <c r="A97" s="1250" t="s">
        <v>537</v>
      </c>
      <c r="B97" s="1228">
        <v>13</v>
      </c>
      <c r="C97" s="1229" t="s">
        <v>603</v>
      </c>
      <c r="D97" s="1229" t="e">
        <f>+#REF!</f>
        <v>#REF!</v>
      </c>
      <c r="E97" s="1229" t="e">
        <f>+#REF!</f>
        <v>#REF!</v>
      </c>
      <c r="F97" s="1229" t="e">
        <f>+#REF!</f>
        <v>#REF!</v>
      </c>
      <c r="G97" s="1229" t="e">
        <f>+#REF!</f>
        <v>#REF!</v>
      </c>
      <c r="I97" s="1229" t="e">
        <f>+'Equating with BBMP'!$L$513</f>
        <v>#REF!</v>
      </c>
      <c r="J97" s="1229" t="e">
        <f>+'Equating with BBMP'!$M$513</f>
        <v>#REF!</v>
      </c>
      <c r="K97" s="1229" t="e">
        <f>+'Equating with BBMP'!$N$513</f>
        <v>#REF!</v>
      </c>
      <c r="M97" s="1229" t="e">
        <f t="shared" si="22"/>
        <v>#REF!</v>
      </c>
      <c r="N97" s="1229" t="e">
        <f t="shared" si="22"/>
        <v>#REF!</v>
      </c>
      <c r="O97" s="1229" t="e">
        <f t="shared" si="23"/>
        <v>#REF!</v>
      </c>
      <c r="P97" s="1246" t="e">
        <f t="shared" si="21"/>
        <v>#REF!</v>
      </c>
    </row>
    <row r="98" spans="1:16" ht="16.5" x14ac:dyDescent="0.2">
      <c r="A98" s="1250" t="s">
        <v>537</v>
      </c>
      <c r="B98" s="1239">
        <v>14</v>
      </c>
      <c r="C98" s="1240" t="s">
        <v>312</v>
      </c>
      <c r="D98" s="1229" t="e">
        <f>+#REF!</f>
        <v>#REF!</v>
      </c>
      <c r="E98" s="1229" t="e">
        <f>+#REF!</f>
        <v>#REF!</v>
      </c>
      <c r="F98" s="1229" t="e">
        <f>+#REF!</f>
        <v>#REF!</v>
      </c>
      <c r="G98" s="1229" t="e">
        <f>+#REF!</f>
        <v>#REF!</v>
      </c>
      <c r="I98" s="1229" t="e">
        <f>+'Equating with BBMP'!$L$515</f>
        <v>#REF!</v>
      </c>
      <c r="J98" s="1229" t="e">
        <f>+'Equating with BBMP'!$M$515</f>
        <v>#REF!</v>
      </c>
      <c r="K98" s="1229" t="e">
        <f>+'Equating with BBMP'!$N$515</f>
        <v>#REF!</v>
      </c>
      <c r="M98" s="1229" t="e">
        <f t="shared" si="22"/>
        <v>#REF!</v>
      </c>
      <c r="N98" s="1229" t="e">
        <f t="shared" si="22"/>
        <v>#REF!</v>
      </c>
      <c r="O98" s="1229" t="e">
        <f t="shared" si="23"/>
        <v>#REF!</v>
      </c>
      <c r="P98" s="1246" t="e">
        <f t="shared" si="21"/>
        <v>#REF!</v>
      </c>
    </row>
    <row r="99" spans="1:16" ht="16.5" x14ac:dyDescent="0.2">
      <c r="A99" s="1250" t="s">
        <v>537</v>
      </c>
      <c r="B99" s="1239">
        <v>15</v>
      </c>
      <c r="C99" s="1240" t="s">
        <v>313</v>
      </c>
      <c r="D99" s="1229" t="e">
        <f>+#REF!</f>
        <v>#REF!</v>
      </c>
      <c r="E99" s="1229" t="e">
        <f>+#REF!</f>
        <v>#REF!</v>
      </c>
      <c r="F99" s="1229" t="e">
        <f>+#REF!</f>
        <v>#REF!</v>
      </c>
      <c r="G99" s="1229" t="e">
        <f>+#REF!</f>
        <v>#REF!</v>
      </c>
      <c r="I99" s="1229" t="e">
        <f>+'Equating with BBMP'!$L$517</f>
        <v>#REF!</v>
      </c>
      <c r="J99" s="1229" t="e">
        <f>+'Equating with BBMP'!$M$517</f>
        <v>#REF!</v>
      </c>
      <c r="K99" s="1229" t="e">
        <f>+'Equating with BBMP'!$N$517</f>
        <v>#REF!</v>
      </c>
      <c r="M99" s="1229" t="e">
        <f t="shared" si="22"/>
        <v>#REF!</v>
      </c>
      <c r="N99" s="1229" t="e">
        <f t="shared" si="22"/>
        <v>#REF!</v>
      </c>
      <c r="O99" s="1229" t="e">
        <f t="shared" si="23"/>
        <v>#REF!</v>
      </c>
      <c r="P99" s="1246" t="e">
        <f t="shared" si="21"/>
        <v>#REF!</v>
      </c>
    </row>
    <row r="100" spans="1:16" ht="16.5" x14ac:dyDescent="0.2">
      <c r="A100" s="1250" t="s">
        <v>537</v>
      </c>
      <c r="B100" s="1241"/>
      <c r="C100" s="1242" t="s">
        <v>605</v>
      </c>
      <c r="D100" s="1242" t="e">
        <f>D93+D94+D95+D96+D97+D98+D99</f>
        <v>#REF!</v>
      </c>
      <c r="E100" s="1242" t="e">
        <f>E93+E94+E95+E96+E97+E98+E99</f>
        <v>#REF!</v>
      </c>
      <c r="F100" s="1242" t="e">
        <f>F93+F94+F95+F96+F97+F98+F99</f>
        <v>#REF!</v>
      </c>
      <c r="G100" s="1242" t="e">
        <f>G93+G94+G95+G96+G97+G98+G99</f>
        <v>#REF!</v>
      </c>
      <c r="I100" s="1242" t="e">
        <f>I93+I94+I95+I96+I97+I98+I99</f>
        <v>#REF!</v>
      </c>
      <c r="J100" s="1242" t="e">
        <f>J93+J94+J95+J96+J97+J98+J99</f>
        <v>#REF!</v>
      </c>
      <c r="K100" s="1242" t="e">
        <f>K93+K94+K95+K96+K97+K98+K99</f>
        <v>#REF!</v>
      </c>
      <c r="M100" s="1242" t="e">
        <f>M93+M94+M95+M96+M97+M98+M99</f>
        <v>#REF!</v>
      </c>
      <c r="N100" s="1242" t="e">
        <f>N93+N94+N95+N96+N97+N98+N99</f>
        <v>#REF!</v>
      </c>
      <c r="O100" s="1242" t="e">
        <f>O93+O94+O95+O96+O97+O98+O99</f>
        <v>#REF!</v>
      </c>
      <c r="P100" s="1248" t="e">
        <f t="shared" si="21"/>
        <v>#REF!</v>
      </c>
    </row>
    <row r="101" spans="1:16" ht="16.5" x14ac:dyDescent="0.2">
      <c r="A101" s="1250" t="s">
        <v>537</v>
      </c>
      <c r="B101" s="1243"/>
      <c r="C101" s="1243"/>
      <c r="D101" s="1243"/>
      <c r="E101" s="1243"/>
      <c r="F101" s="1243"/>
      <c r="G101" s="1243"/>
      <c r="I101" s="1243"/>
      <c r="J101" s="1243"/>
      <c r="K101" s="1243"/>
      <c r="M101" s="1243"/>
      <c r="N101" s="1243"/>
      <c r="O101" s="1243"/>
      <c r="P101" s="1243"/>
    </row>
    <row r="102" spans="1:16" ht="16.5" x14ac:dyDescent="0.2">
      <c r="A102" s="1250" t="s">
        <v>537</v>
      </c>
      <c r="B102" s="1241"/>
      <c r="C102" s="1242" t="s">
        <v>606</v>
      </c>
      <c r="D102" s="1242" t="e">
        <f>D91+D100</f>
        <v>#REF!</v>
      </c>
      <c r="E102" s="1242" t="e">
        <f>E91+E100</f>
        <v>#REF!</v>
      </c>
      <c r="F102" s="1242" t="e">
        <f>F91+F100</f>
        <v>#REF!</v>
      </c>
      <c r="G102" s="1242" t="e">
        <f>G91+G100</f>
        <v>#REF!</v>
      </c>
      <c r="I102" s="1242" t="e">
        <f>I91+I100</f>
        <v>#REF!</v>
      </c>
      <c r="J102" s="1242" t="e">
        <f>J91+J100</f>
        <v>#REF!</v>
      </c>
      <c r="K102" s="1242" t="e">
        <f>K91+K100</f>
        <v>#REF!</v>
      </c>
      <c r="M102" s="1242" t="e">
        <f>M91+M100</f>
        <v>#REF!</v>
      </c>
      <c r="N102" s="1242" t="e">
        <f>N91+N100</f>
        <v>#REF!</v>
      </c>
      <c r="O102" s="1242" t="e">
        <f>O91+O100</f>
        <v>#REF!</v>
      </c>
      <c r="P102" s="1248" t="e">
        <f t="shared" si="21"/>
        <v>#REF!</v>
      </c>
    </row>
    <row r="105" spans="1:16" x14ac:dyDescent="0.15">
      <c r="B105" s="1228" t="s">
        <v>609</v>
      </c>
      <c r="E105" s="1229" t="s">
        <v>624</v>
      </c>
      <c r="F105" s="1230"/>
      <c r="G105" s="1231"/>
      <c r="I105" s="1229" t="s">
        <v>625</v>
      </c>
      <c r="J105" s="1230"/>
      <c r="K105" s="1231"/>
      <c r="M105" s="1229" t="s">
        <v>626</v>
      </c>
      <c r="N105" s="1230"/>
      <c r="O105" s="1231"/>
      <c r="P105" s="1253" t="s">
        <v>628</v>
      </c>
    </row>
    <row r="106" spans="1:16" x14ac:dyDescent="0.15">
      <c r="B106" s="1232" t="s">
        <v>472</v>
      </c>
      <c r="C106" s="1232" t="s">
        <v>474</v>
      </c>
      <c r="D106" s="1233" t="s">
        <v>475</v>
      </c>
      <c r="E106" s="1234" t="s">
        <v>610</v>
      </c>
      <c r="F106" s="1234" t="s">
        <v>611</v>
      </c>
      <c r="G106" s="1234" t="s">
        <v>488</v>
      </c>
      <c r="I106" s="1234" t="s">
        <v>610</v>
      </c>
      <c r="J106" s="1234" t="s">
        <v>611</v>
      </c>
      <c r="K106" s="1234" t="s">
        <v>488</v>
      </c>
      <c r="M106" s="1234" t="s">
        <v>610</v>
      </c>
      <c r="N106" s="1234" t="s">
        <v>611</v>
      </c>
      <c r="O106" s="1234" t="s">
        <v>488</v>
      </c>
      <c r="P106" s="1254" t="s">
        <v>629</v>
      </c>
    </row>
    <row r="107" spans="1:16" x14ac:dyDescent="0.15">
      <c r="B107" s="1235" t="s">
        <v>473</v>
      </c>
      <c r="C107" s="1235" t="s">
        <v>31</v>
      </c>
      <c r="D107" s="1236" t="s">
        <v>476</v>
      </c>
      <c r="E107" s="1235" t="s">
        <v>481</v>
      </c>
      <c r="F107" s="1235" t="s">
        <v>481</v>
      </c>
      <c r="G107" s="1235" t="s">
        <v>481</v>
      </c>
      <c r="I107" s="1235" t="s">
        <v>481</v>
      </c>
      <c r="J107" s="1235" t="s">
        <v>481</v>
      </c>
      <c r="K107" s="1235" t="s">
        <v>481</v>
      </c>
      <c r="M107" s="1235" t="s">
        <v>481</v>
      </c>
      <c r="N107" s="1235" t="s">
        <v>481</v>
      </c>
      <c r="O107" s="1235" t="s">
        <v>481</v>
      </c>
      <c r="P107" s="1255" t="s">
        <v>630</v>
      </c>
    </row>
    <row r="108" spans="1:16" ht="16.5" x14ac:dyDescent="0.2">
      <c r="A108" s="1250" t="s">
        <v>541</v>
      </c>
      <c r="B108" s="1228">
        <v>1</v>
      </c>
      <c r="C108" s="1229" t="s">
        <v>484</v>
      </c>
      <c r="D108" s="1229" t="e">
        <f>+#REF!</f>
        <v>#REF!</v>
      </c>
      <c r="E108" s="1229" t="e">
        <f>+#REF!</f>
        <v>#REF!</v>
      </c>
      <c r="F108" s="1229" t="e">
        <f>+#REF!</f>
        <v>#REF!</v>
      </c>
      <c r="G108" s="1229" t="e">
        <f>+#REF!</f>
        <v>#REF!</v>
      </c>
      <c r="I108" s="1229">
        <f>+'Equating with BBMP'!$L$540</f>
        <v>0.86</v>
      </c>
      <c r="J108" s="1229" t="e">
        <f>+'Equating with BBMP'!$M$540</f>
        <v>#REF!</v>
      </c>
      <c r="K108" s="1229" t="e">
        <f>+'Equating with BBMP'!$N$540</f>
        <v>#REF!</v>
      </c>
      <c r="M108" s="1229" t="e">
        <f>+I108-E108</f>
        <v>#REF!</v>
      </c>
      <c r="N108" s="1229" t="e">
        <f t="shared" ref="N108:N115" si="24">+J108-F108</f>
        <v>#REF!</v>
      </c>
      <c r="O108" s="1229" t="e">
        <f>+M108+N108</f>
        <v>#REF!</v>
      </c>
      <c r="P108" s="1249" t="e">
        <f>ROUND(O108/D108*1000,0)</f>
        <v>#REF!</v>
      </c>
    </row>
    <row r="109" spans="1:16" ht="16.5" x14ac:dyDescent="0.2">
      <c r="A109" s="1250" t="s">
        <v>541</v>
      </c>
      <c r="B109" s="1228">
        <v>2</v>
      </c>
      <c r="C109" s="1229" t="s">
        <v>490</v>
      </c>
      <c r="D109" s="1229" t="e">
        <f>+#REF!</f>
        <v>#REF!</v>
      </c>
      <c r="E109" s="1229" t="e">
        <f>+#REF!</f>
        <v>#REF!</v>
      </c>
      <c r="F109" s="1229" t="e">
        <f>+#REF!</f>
        <v>#REF!</v>
      </c>
      <c r="G109" s="1229" t="e">
        <f>+#REF!</f>
        <v>#REF!</v>
      </c>
      <c r="I109" s="1229" t="e">
        <f>+'Equating with BBMP'!$L$553</f>
        <v>#REF!</v>
      </c>
      <c r="J109" s="1229" t="e">
        <f>+'Equating with BBMP'!$M$553</f>
        <v>#REF!</v>
      </c>
      <c r="K109" s="1229" t="e">
        <f>+'Equating with BBMP'!$N$553</f>
        <v>#REF!</v>
      </c>
      <c r="M109" s="1229" t="e">
        <f t="shared" ref="M109:M115" si="25">+I109-E109</f>
        <v>#REF!</v>
      </c>
      <c r="N109" s="1229" t="e">
        <f t="shared" si="24"/>
        <v>#REF!</v>
      </c>
      <c r="O109" s="1229" t="e">
        <f t="shared" ref="O109:O115" si="26">+M109+N109</f>
        <v>#REF!</v>
      </c>
      <c r="P109" s="1246" t="e">
        <f t="shared" ref="P109:P127" si="27">ROUND(O109/D109*1000,0)</f>
        <v>#REF!</v>
      </c>
    </row>
    <row r="110" spans="1:16" ht="16.5" x14ac:dyDescent="0.2">
      <c r="A110" s="1250" t="s">
        <v>541</v>
      </c>
      <c r="B110" s="1228">
        <v>3</v>
      </c>
      <c r="C110" s="1229" t="s">
        <v>553</v>
      </c>
      <c r="D110" s="1229" t="e">
        <f>+#REF!</f>
        <v>#REF!</v>
      </c>
      <c r="E110" s="1229" t="e">
        <f>+#REF!</f>
        <v>#REF!</v>
      </c>
      <c r="F110" s="1229" t="e">
        <f>+#REF!</f>
        <v>#REF!</v>
      </c>
      <c r="G110" s="1229" t="e">
        <f>+#REF!</f>
        <v>#REF!</v>
      </c>
      <c r="I110" s="1229" t="e">
        <f>+'Equating with BBMP'!$L$564</f>
        <v>#REF!</v>
      </c>
      <c r="J110" s="1229" t="e">
        <f>+'Equating with BBMP'!$M$564</f>
        <v>#REF!</v>
      </c>
      <c r="K110" s="1229" t="e">
        <f>+'Equating with BBMP'!$N$564</f>
        <v>#REF!</v>
      </c>
      <c r="M110" s="1229" t="e">
        <f t="shared" si="25"/>
        <v>#REF!</v>
      </c>
      <c r="N110" s="1229" t="e">
        <f t="shared" si="24"/>
        <v>#REF!</v>
      </c>
      <c r="O110" s="1229" t="e">
        <f t="shared" si="26"/>
        <v>#REF!</v>
      </c>
      <c r="P110" s="1246" t="e">
        <f t="shared" si="27"/>
        <v>#REF!</v>
      </c>
    </row>
    <row r="111" spans="1:16" ht="16.5" x14ac:dyDescent="0.2">
      <c r="A111" s="1250" t="s">
        <v>541</v>
      </c>
      <c r="B111" s="1228">
        <v>4</v>
      </c>
      <c r="C111" s="1229" t="s">
        <v>557</v>
      </c>
      <c r="D111" s="1229" t="e">
        <f>+#REF!</f>
        <v>#REF!</v>
      </c>
      <c r="E111" s="1229" t="e">
        <f>+#REF!</f>
        <v>#REF!</v>
      </c>
      <c r="F111" s="1229" t="e">
        <f>+#REF!</f>
        <v>#REF!</v>
      </c>
      <c r="G111" s="1229" t="e">
        <f>+#REF!</f>
        <v>#REF!</v>
      </c>
      <c r="I111" s="1229" t="e">
        <f>+'Equating with BBMP'!$L$573</f>
        <v>#REF!</v>
      </c>
      <c r="J111" s="1229" t="e">
        <f>+'Equating with BBMP'!$M$573</f>
        <v>#REF!</v>
      </c>
      <c r="K111" s="1229" t="e">
        <f>+'Equating with BBMP'!$N$573</f>
        <v>#REF!</v>
      </c>
      <c r="M111" s="1229" t="e">
        <f t="shared" si="25"/>
        <v>#REF!</v>
      </c>
      <c r="N111" s="1229" t="e">
        <f t="shared" si="24"/>
        <v>#REF!</v>
      </c>
      <c r="O111" s="1229" t="e">
        <f t="shared" si="26"/>
        <v>#REF!</v>
      </c>
      <c r="P111" s="1246" t="e">
        <f t="shared" si="27"/>
        <v>#REF!</v>
      </c>
    </row>
    <row r="112" spans="1:16" ht="16.5" x14ac:dyDescent="0.2">
      <c r="A112" s="1250" t="s">
        <v>541</v>
      </c>
      <c r="B112" s="1228">
        <v>5</v>
      </c>
      <c r="C112" s="1229" t="s">
        <v>566</v>
      </c>
      <c r="D112" s="1229" t="e">
        <f>+#REF!</f>
        <v>#REF!</v>
      </c>
      <c r="E112" s="1229" t="e">
        <f>+#REF!</f>
        <v>#REF!</v>
      </c>
      <c r="F112" s="1229" t="e">
        <f>+#REF!</f>
        <v>#REF!</v>
      </c>
      <c r="G112" s="1229" t="e">
        <f>+#REF!</f>
        <v>#REF!</v>
      </c>
      <c r="I112" s="1229" t="e">
        <f>+'Equating with BBMP'!$L$578</f>
        <v>#REF!</v>
      </c>
      <c r="J112" s="1229" t="e">
        <f>+'Equating with BBMP'!$M$578</f>
        <v>#REF!</v>
      </c>
      <c r="K112" s="1229" t="e">
        <f>+'Equating with BBMP'!$N$578</f>
        <v>#REF!</v>
      </c>
      <c r="M112" s="1229" t="e">
        <f t="shared" si="25"/>
        <v>#REF!</v>
      </c>
      <c r="N112" s="1229" t="e">
        <f t="shared" si="24"/>
        <v>#REF!</v>
      </c>
      <c r="O112" s="1229" t="e">
        <f t="shared" si="26"/>
        <v>#REF!</v>
      </c>
      <c r="P112" s="1246" t="e">
        <f t="shared" si="27"/>
        <v>#REF!</v>
      </c>
    </row>
    <row r="113" spans="1:16" ht="16.5" x14ac:dyDescent="0.2">
      <c r="A113" s="1250" t="s">
        <v>541</v>
      </c>
      <c r="B113" s="1228">
        <v>6</v>
      </c>
      <c r="C113" s="1229" t="s">
        <v>567</v>
      </c>
      <c r="D113" s="1229" t="e">
        <f>+#REF!</f>
        <v>#REF!</v>
      </c>
      <c r="E113" s="1229" t="e">
        <f>+#REF!</f>
        <v>#REF!</v>
      </c>
      <c r="F113" s="1229" t="e">
        <f>+#REF!</f>
        <v>#REF!</v>
      </c>
      <c r="G113" s="1229" t="e">
        <f>+#REF!</f>
        <v>#REF!</v>
      </c>
      <c r="I113" s="1229" t="e">
        <f>+'Equating with BBMP'!$L$593</f>
        <v>#REF!</v>
      </c>
      <c r="J113" s="1229" t="e">
        <f>+'Equating with BBMP'!$M$593</f>
        <v>#REF!</v>
      </c>
      <c r="K113" s="1229" t="e">
        <f>+'Equating with BBMP'!$N$593</f>
        <v>#REF!</v>
      </c>
      <c r="M113" s="1229" t="e">
        <f t="shared" si="25"/>
        <v>#REF!</v>
      </c>
      <c r="N113" s="1229" t="e">
        <f t="shared" si="24"/>
        <v>#REF!</v>
      </c>
      <c r="O113" s="1229" t="e">
        <f t="shared" si="26"/>
        <v>#REF!</v>
      </c>
      <c r="P113" s="1246" t="e">
        <f t="shared" si="27"/>
        <v>#REF!</v>
      </c>
    </row>
    <row r="114" spans="1:16" ht="16.5" x14ac:dyDescent="0.2">
      <c r="A114" s="1250" t="s">
        <v>541</v>
      </c>
      <c r="B114" s="1228">
        <v>7</v>
      </c>
      <c r="C114" s="1229" t="s">
        <v>577</v>
      </c>
      <c r="D114" s="1229" t="e">
        <f>+#REF!</f>
        <v>#REF!</v>
      </c>
      <c r="E114" s="1229" t="e">
        <f>+#REF!</f>
        <v>#REF!</v>
      </c>
      <c r="F114" s="1229" t="e">
        <f>+#REF!</f>
        <v>#REF!</v>
      </c>
      <c r="G114" s="1229" t="e">
        <f>+#REF!</f>
        <v>#REF!</v>
      </c>
      <c r="I114" s="1229" t="e">
        <f>+'Equating with BBMP'!$L$605</f>
        <v>#REF!</v>
      </c>
      <c r="J114" s="1229" t="e">
        <f>+'Equating with BBMP'!$M$605</f>
        <v>#REF!</v>
      </c>
      <c r="K114" s="1229" t="e">
        <f>+'Equating with BBMP'!$N$605</f>
        <v>#REF!</v>
      </c>
      <c r="M114" s="1229" t="e">
        <f t="shared" si="25"/>
        <v>#REF!</v>
      </c>
      <c r="N114" s="1229" t="e">
        <f t="shared" si="24"/>
        <v>#REF!</v>
      </c>
      <c r="O114" s="1229" t="e">
        <f t="shared" si="26"/>
        <v>#REF!</v>
      </c>
      <c r="P114" s="1246" t="e">
        <f t="shared" si="27"/>
        <v>#REF!</v>
      </c>
    </row>
    <row r="115" spans="1:16" ht="16.5" x14ac:dyDescent="0.2">
      <c r="A115" s="1250" t="s">
        <v>541</v>
      </c>
      <c r="B115" s="1228">
        <v>8</v>
      </c>
      <c r="C115" s="1229" t="s">
        <v>587</v>
      </c>
      <c r="D115" s="1229" t="e">
        <f>+#REF!</f>
        <v>#REF!</v>
      </c>
      <c r="E115" s="1229" t="e">
        <f>+#REF!</f>
        <v>#REF!</v>
      </c>
      <c r="F115" s="1229" t="e">
        <f>+#REF!</f>
        <v>#REF!</v>
      </c>
      <c r="G115" s="1229" t="e">
        <f>+#REF!</f>
        <v>#REF!</v>
      </c>
      <c r="I115" s="1229" t="e">
        <f>+'Equating with BBMP'!$L$609</f>
        <v>#REF!</v>
      </c>
      <c r="J115" s="1229" t="e">
        <f>+'Equating with BBMP'!$M$609</f>
        <v>#REF!</v>
      </c>
      <c r="K115" s="1229" t="e">
        <f>+'Equating with BBMP'!$N$609</f>
        <v>#REF!</v>
      </c>
      <c r="M115" s="1229" t="e">
        <f t="shared" si="25"/>
        <v>#REF!</v>
      </c>
      <c r="N115" s="1229" t="e">
        <f t="shared" si="24"/>
        <v>#REF!</v>
      </c>
      <c r="O115" s="1229" t="e">
        <f t="shared" si="26"/>
        <v>#REF!</v>
      </c>
      <c r="P115" s="1246" t="e">
        <f t="shared" si="27"/>
        <v>#REF!</v>
      </c>
    </row>
    <row r="116" spans="1:16" ht="16.5" x14ac:dyDescent="0.2">
      <c r="A116" s="1250" t="s">
        <v>541</v>
      </c>
      <c r="B116" s="1237"/>
      <c r="C116" s="1238" t="s">
        <v>588</v>
      </c>
      <c r="D116" s="1238" t="e">
        <f>D108+D109+D110+D111+D112+D113+D114+D115</f>
        <v>#REF!</v>
      </c>
      <c r="E116" s="1238" t="e">
        <f>E108+E109+E110+E111+E112+E113+E114+E115</f>
        <v>#REF!</v>
      </c>
      <c r="F116" s="1238" t="e">
        <f>F108+F109+F110+F111+F112+F113+F114+F115</f>
        <v>#REF!</v>
      </c>
      <c r="G116" s="1238" t="e">
        <f>G108+G109+G110+G111+G112+G113+G114+G115</f>
        <v>#REF!</v>
      </c>
      <c r="I116" s="1238" t="e">
        <f>I108+I109+I110+I111+I112+I113+I114+I115</f>
        <v>#REF!</v>
      </c>
      <c r="J116" s="1238" t="e">
        <f>J108+J109+J110+J111+J112+J113+J114+J115</f>
        <v>#REF!</v>
      </c>
      <c r="K116" s="1238" t="e">
        <f>K108+K109+K110+K111+K112+K113+K114+K115</f>
        <v>#REF!</v>
      </c>
      <c r="M116" s="1238" t="e">
        <f>M108+M109+M110+M111+M112+M113+M114+M115</f>
        <v>#REF!</v>
      </c>
      <c r="N116" s="1238" t="e">
        <f>N108+N109+N110+N111+N112+N113+N114+N115</f>
        <v>#REF!</v>
      </c>
      <c r="O116" s="1238" t="e">
        <f>O108+O109+O110+O111+O112+O113+O114+O115</f>
        <v>#REF!</v>
      </c>
      <c r="P116" s="1247" t="e">
        <f t="shared" si="27"/>
        <v>#REF!</v>
      </c>
    </row>
    <row r="117" spans="1:16" ht="16.5" x14ac:dyDescent="0.2">
      <c r="A117" s="1250" t="s">
        <v>541</v>
      </c>
      <c r="B117" s="1227"/>
    </row>
    <row r="118" spans="1:16" ht="16.5" x14ac:dyDescent="0.2">
      <c r="A118" s="1250" t="s">
        <v>541</v>
      </c>
      <c r="B118" s="1239">
        <v>9</v>
      </c>
      <c r="C118" s="1240" t="s">
        <v>16</v>
      </c>
      <c r="D118" s="1229" t="e">
        <f>+#REF!</f>
        <v>#REF!</v>
      </c>
      <c r="E118" s="1229" t="e">
        <f>+#REF!</f>
        <v>#REF!</v>
      </c>
      <c r="F118" s="1229" t="e">
        <f>+#REF!</f>
        <v>#REF!</v>
      </c>
      <c r="G118" s="1229" t="e">
        <f>+#REF!</f>
        <v>#REF!</v>
      </c>
      <c r="I118" s="1229" t="e">
        <f>+'Equating with BBMP'!$L$613</f>
        <v>#REF!</v>
      </c>
      <c r="J118" s="1229" t="e">
        <f>+'Equating with BBMP'!$M$613</f>
        <v>#REF!</v>
      </c>
      <c r="K118" s="1229" t="e">
        <f>+'Equating with BBMP'!$N$613</f>
        <v>#REF!</v>
      </c>
      <c r="M118" s="1229" t="e">
        <f t="shared" ref="M118:N124" si="28">+I118-E118</f>
        <v>#REF!</v>
      </c>
      <c r="N118" s="1229" t="e">
        <f t="shared" si="28"/>
        <v>#REF!</v>
      </c>
      <c r="O118" s="1229" t="e">
        <f t="shared" ref="O118:O124" si="29">+M118+N118</f>
        <v>#REF!</v>
      </c>
      <c r="P118" s="1246" t="e">
        <f t="shared" si="27"/>
        <v>#REF!</v>
      </c>
    </row>
    <row r="119" spans="1:16" ht="16.5" x14ac:dyDescent="0.2">
      <c r="A119" s="1250" t="s">
        <v>541</v>
      </c>
      <c r="B119" s="1228">
        <v>10</v>
      </c>
      <c r="C119" s="1229" t="s">
        <v>592</v>
      </c>
      <c r="D119" s="1229" t="e">
        <f>+#REF!</f>
        <v>#REF!</v>
      </c>
      <c r="E119" s="1229" t="e">
        <f>+#REF!</f>
        <v>#REF!</v>
      </c>
      <c r="F119" s="1229" t="e">
        <f>+#REF!</f>
        <v>#REF!</v>
      </c>
      <c r="G119" s="1229" t="e">
        <f>+#REF!</f>
        <v>#REF!</v>
      </c>
      <c r="I119" s="1229" t="e">
        <f>+'Equating with BBMP'!$L$622</f>
        <v>#REF!</v>
      </c>
      <c r="J119" s="1229" t="e">
        <f>+'Equating with BBMP'!$M$622</f>
        <v>#REF!</v>
      </c>
      <c r="K119" s="1229" t="e">
        <f>+'Equating with BBMP'!$N$622</f>
        <v>#REF!</v>
      </c>
      <c r="M119" s="1229" t="e">
        <f t="shared" si="28"/>
        <v>#REF!</v>
      </c>
      <c r="N119" s="1229" t="e">
        <f t="shared" si="28"/>
        <v>#REF!</v>
      </c>
      <c r="O119" s="1229" t="e">
        <f t="shared" si="29"/>
        <v>#REF!</v>
      </c>
      <c r="P119" s="1246" t="e">
        <f t="shared" si="27"/>
        <v>#REF!</v>
      </c>
    </row>
    <row r="120" spans="1:16" ht="16.5" x14ac:dyDescent="0.2">
      <c r="A120" s="1250" t="s">
        <v>541</v>
      </c>
      <c r="B120" s="1228">
        <v>11</v>
      </c>
      <c r="C120" s="1229" t="s">
        <v>595</v>
      </c>
      <c r="D120" s="1229" t="e">
        <f>+#REF!</f>
        <v>#REF!</v>
      </c>
      <c r="E120" s="1229" t="e">
        <f>+#REF!</f>
        <v>#REF!</v>
      </c>
      <c r="F120" s="1229" t="e">
        <f>+#REF!</f>
        <v>#REF!</v>
      </c>
      <c r="G120" s="1229" t="e">
        <f>+#REF!</f>
        <v>#REF!</v>
      </c>
      <c r="I120" s="1229" t="e">
        <f>+'Equating with BBMP'!$L$631</f>
        <v>#REF!</v>
      </c>
      <c r="J120" s="1229" t="e">
        <f>+'Equating with BBMP'!$M$631</f>
        <v>#REF!</v>
      </c>
      <c r="K120" s="1229" t="e">
        <f>+'Equating with BBMP'!$N$631</f>
        <v>#REF!</v>
      </c>
      <c r="M120" s="1229" t="e">
        <f t="shared" si="28"/>
        <v>#REF!</v>
      </c>
      <c r="N120" s="1229" t="e">
        <f t="shared" si="28"/>
        <v>#REF!</v>
      </c>
      <c r="O120" s="1229" t="e">
        <f t="shared" si="29"/>
        <v>#REF!</v>
      </c>
      <c r="P120" s="1246" t="e">
        <f t="shared" si="27"/>
        <v>#REF!</v>
      </c>
    </row>
    <row r="121" spans="1:16" ht="16.5" x14ac:dyDescent="0.2">
      <c r="A121" s="1250" t="s">
        <v>541</v>
      </c>
      <c r="B121" s="1228">
        <v>12</v>
      </c>
      <c r="C121" s="1229" t="s">
        <v>600</v>
      </c>
      <c r="D121" s="1229" t="e">
        <f>+#REF!</f>
        <v>#REF!</v>
      </c>
      <c r="E121" s="1229" t="e">
        <f>+#REF!</f>
        <v>#REF!</v>
      </c>
      <c r="F121" s="1229" t="e">
        <f>+#REF!</f>
        <v>#REF!</v>
      </c>
      <c r="G121" s="1229" t="e">
        <f>+#REF!</f>
        <v>#REF!</v>
      </c>
      <c r="I121" s="1229" t="e">
        <f>+'Equating with BBMP'!$L$640</f>
        <v>#REF!</v>
      </c>
      <c r="J121" s="1229" t="e">
        <f>+'Equating with BBMP'!$M$640</f>
        <v>#REF!</v>
      </c>
      <c r="K121" s="1229" t="e">
        <f>+'Equating with BBMP'!$N$640</f>
        <v>#REF!</v>
      </c>
      <c r="M121" s="1229" t="e">
        <f t="shared" si="28"/>
        <v>#REF!</v>
      </c>
      <c r="N121" s="1229" t="e">
        <f t="shared" si="28"/>
        <v>#REF!</v>
      </c>
      <c r="O121" s="1229" t="e">
        <f t="shared" si="29"/>
        <v>#REF!</v>
      </c>
      <c r="P121" s="1246" t="e">
        <f t="shared" si="27"/>
        <v>#REF!</v>
      </c>
    </row>
    <row r="122" spans="1:16" ht="16.5" x14ac:dyDescent="0.2">
      <c r="A122" s="1250" t="s">
        <v>541</v>
      </c>
      <c r="B122" s="1228">
        <v>13</v>
      </c>
      <c r="C122" s="1229" t="s">
        <v>603</v>
      </c>
      <c r="D122" s="1229" t="e">
        <f>+#REF!</f>
        <v>#REF!</v>
      </c>
      <c r="E122" s="1229" t="e">
        <f>+#REF!</f>
        <v>#REF!</v>
      </c>
      <c r="F122" s="1229" t="e">
        <f>+#REF!</f>
        <v>#REF!</v>
      </c>
      <c r="G122" s="1229" t="e">
        <f>+#REF!</f>
        <v>#REF!</v>
      </c>
      <c r="I122" s="1229" t="e">
        <f>+'Equating with BBMP'!$L$646</f>
        <v>#REF!</v>
      </c>
      <c r="J122" s="1229" t="e">
        <f>+'Equating with BBMP'!$M$646</f>
        <v>#REF!</v>
      </c>
      <c r="K122" s="1229" t="e">
        <f>+'Equating with BBMP'!$N$646</f>
        <v>#REF!</v>
      </c>
      <c r="M122" s="1229" t="e">
        <f t="shared" si="28"/>
        <v>#REF!</v>
      </c>
      <c r="N122" s="1229" t="e">
        <f t="shared" si="28"/>
        <v>#REF!</v>
      </c>
      <c r="O122" s="1229" t="e">
        <f t="shared" si="29"/>
        <v>#REF!</v>
      </c>
      <c r="P122" s="1246" t="e">
        <f t="shared" si="27"/>
        <v>#REF!</v>
      </c>
    </row>
    <row r="123" spans="1:16" ht="16.5" x14ac:dyDescent="0.2">
      <c r="A123" s="1250" t="s">
        <v>541</v>
      </c>
      <c r="B123" s="1239">
        <v>14</v>
      </c>
      <c r="C123" s="1240" t="s">
        <v>312</v>
      </c>
      <c r="D123" s="1229" t="e">
        <f>+#REF!</f>
        <v>#REF!</v>
      </c>
      <c r="E123" s="1229" t="e">
        <f>+#REF!</f>
        <v>#REF!</v>
      </c>
      <c r="F123" s="1229" t="e">
        <f>+#REF!</f>
        <v>#REF!</v>
      </c>
      <c r="G123" s="1229" t="e">
        <f>+#REF!</f>
        <v>#REF!</v>
      </c>
      <c r="I123" s="1229" t="e">
        <f>+'Equating with BBMP'!$L$648</f>
        <v>#REF!</v>
      </c>
      <c r="J123" s="1229" t="e">
        <f>+'Equating with BBMP'!$M$648</f>
        <v>#REF!</v>
      </c>
      <c r="K123" s="1229" t="e">
        <f>+'Equating with BBMP'!$N$648</f>
        <v>#REF!</v>
      </c>
      <c r="M123" s="1229" t="e">
        <f t="shared" si="28"/>
        <v>#REF!</v>
      </c>
      <c r="N123" s="1229" t="e">
        <f t="shared" si="28"/>
        <v>#REF!</v>
      </c>
      <c r="O123" s="1229" t="e">
        <f t="shared" si="29"/>
        <v>#REF!</v>
      </c>
      <c r="P123" s="1246" t="e">
        <f t="shared" si="27"/>
        <v>#REF!</v>
      </c>
    </row>
    <row r="124" spans="1:16" ht="16.5" x14ac:dyDescent="0.2">
      <c r="A124" s="1250" t="s">
        <v>541</v>
      </c>
      <c r="B124" s="1239">
        <v>15</v>
      </c>
      <c r="C124" s="1240" t="s">
        <v>313</v>
      </c>
      <c r="D124" s="1229" t="e">
        <f>+#REF!</f>
        <v>#REF!</v>
      </c>
      <c r="E124" s="1229" t="e">
        <f>+#REF!</f>
        <v>#REF!</v>
      </c>
      <c r="F124" s="1229" t="e">
        <f>+#REF!</f>
        <v>#REF!</v>
      </c>
      <c r="G124" s="1229" t="e">
        <f>+#REF!</f>
        <v>#REF!</v>
      </c>
      <c r="I124" s="1229" t="e">
        <f>+'Equating with BBMP'!$L$650</f>
        <v>#REF!</v>
      </c>
      <c r="J124" s="1229" t="e">
        <f>+'Equating with BBMP'!$M$650</f>
        <v>#REF!</v>
      </c>
      <c r="K124" s="1229" t="e">
        <f>+'Equating with BBMP'!$N$650</f>
        <v>#REF!</v>
      </c>
      <c r="M124" s="1229" t="e">
        <f t="shared" si="28"/>
        <v>#REF!</v>
      </c>
      <c r="N124" s="1229" t="e">
        <f t="shared" si="28"/>
        <v>#REF!</v>
      </c>
      <c r="O124" s="1229" t="e">
        <f t="shared" si="29"/>
        <v>#REF!</v>
      </c>
      <c r="P124" s="1246" t="e">
        <f t="shared" si="27"/>
        <v>#REF!</v>
      </c>
    </row>
    <row r="125" spans="1:16" ht="16.5" x14ac:dyDescent="0.2">
      <c r="A125" s="1250" t="s">
        <v>541</v>
      </c>
      <c r="B125" s="1241"/>
      <c r="C125" s="1242" t="s">
        <v>605</v>
      </c>
      <c r="D125" s="1242" t="e">
        <f>D118+D119+D120+D121+D122+D123+D124</f>
        <v>#REF!</v>
      </c>
      <c r="E125" s="1242" t="e">
        <f>E118+E119+E120+E121+E122+E123+E124</f>
        <v>#REF!</v>
      </c>
      <c r="F125" s="1242" t="e">
        <f>F118+F119+F120+F121+F122+F123+F124</f>
        <v>#REF!</v>
      </c>
      <c r="G125" s="1242" t="e">
        <f>G118+G119+G120+G121+G122+G123+G124</f>
        <v>#REF!</v>
      </c>
      <c r="I125" s="1242" t="e">
        <f>I118+I119+I120+I121+I122+I123+I124</f>
        <v>#REF!</v>
      </c>
      <c r="J125" s="1242" t="e">
        <f>J118+J119+J120+J121+J122+J123+J124</f>
        <v>#REF!</v>
      </c>
      <c r="K125" s="1242" t="e">
        <f>K118+K119+K120+K121+K122+K123+K124</f>
        <v>#REF!</v>
      </c>
      <c r="M125" s="1242" t="e">
        <f>M118+M119+M120+M121+M122+M123+M124</f>
        <v>#REF!</v>
      </c>
      <c r="N125" s="1242" t="e">
        <f>N118+N119+N120+N121+N122+N123+N124</f>
        <v>#REF!</v>
      </c>
      <c r="O125" s="1242" t="e">
        <f>O118+O119+O120+O121+O122+O123+O124</f>
        <v>#REF!</v>
      </c>
      <c r="P125" s="1248" t="e">
        <f t="shared" si="27"/>
        <v>#REF!</v>
      </c>
    </row>
    <row r="126" spans="1:16" ht="16.5" x14ac:dyDescent="0.2">
      <c r="A126" s="1250" t="s">
        <v>541</v>
      </c>
      <c r="B126" s="1243"/>
      <c r="C126" s="1243"/>
      <c r="D126" s="1243"/>
      <c r="E126" s="1243"/>
      <c r="F126" s="1243"/>
      <c r="G126" s="1243"/>
      <c r="I126" s="1243"/>
      <c r="J126" s="1243"/>
      <c r="K126" s="1243"/>
      <c r="M126" s="1243"/>
      <c r="N126" s="1243"/>
      <c r="O126" s="1243"/>
      <c r="P126" s="1243"/>
    </row>
    <row r="127" spans="1:16" ht="16.5" x14ac:dyDescent="0.2">
      <c r="A127" s="1250" t="s">
        <v>541</v>
      </c>
      <c r="B127" s="1241"/>
      <c r="C127" s="1242" t="s">
        <v>606</v>
      </c>
      <c r="D127" s="1242" t="e">
        <f>D116+D125</f>
        <v>#REF!</v>
      </c>
      <c r="E127" s="1242" t="e">
        <f>E116+E125</f>
        <v>#REF!</v>
      </c>
      <c r="F127" s="1242" t="e">
        <f>F116+F125</f>
        <v>#REF!</v>
      </c>
      <c r="G127" s="1242" t="e">
        <f>G116+G125</f>
        <v>#REF!</v>
      </c>
      <c r="I127" s="1242" t="e">
        <f>I116+I125</f>
        <v>#REF!</v>
      </c>
      <c r="J127" s="1242" t="e">
        <f>J116+J125</f>
        <v>#REF!</v>
      </c>
      <c r="K127" s="1242" t="e">
        <f>K116+K125</f>
        <v>#REF!</v>
      </c>
      <c r="M127" s="1242" t="e">
        <f>M116+M125</f>
        <v>#REF!</v>
      </c>
      <c r="N127" s="1242" t="e">
        <f>N116+N125</f>
        <v>#REF!</v>
      </c>
      <c r="O127" s="1242" t="e">
        <f>O116+O125</f>
        <v>#REF!</v>
      </c>
      <c r="P127" s="1248" t="e">
        <f t="shared" si="27"/>
        <v>#REF!</v>
      </c>
    </row>
    <row r="130" spans="1:16" x14ac:dyDescent="0.15">
      <c r="B130" s="1228" t="s">
        <v>609</v>
      </c>
      <c r="E130" s="1229" t="s">
        <v>624</v>
      </c>
      <c r="F130" s="1230"/>
      <c r="G130" s="1231"/>
      <c r="I130" s="1229" t="s">
        <v>625</v>
      </c>
      <c r="J130" s="1230"/>
      <c r="K130" s="1231"/>
      <c r="M130" s="1229" t="s">
        <v>626</v>
      </c>
      <c r="N130" s="1230"/>
      <c r="O130" s="1231"/>
      <c r="P130" s="1253" t="s">
        <v>628</v>
      </c>
    </row>
    <row r="131" spans="1:16" x14ac:dyDescent="0.15">
      <c r="B131" s="1232" t="s">
        <v>472</v>
      </c>
      <c r="C131" s="1232" t="s">
        <v>474</v>
      </c>
      <c r="D131" s="1233" t="s">
        <v>475</v>
      </c>
      <c r="E131" s="1234" t="s">
        <v>610</v>
      </c>
      <c r="F131" s="1234" t="s">
        <v>611</v>
      </c>
      <c r="G131" s="1234" t="s">
        <v>488</v>
      </c>
      <c r="I131" s="1234" t="s">
        <v>610</v>
      </c>
      <c r="J131" s="1234" t="s">
        <v>611</v>
      </c>
      <c r="K131" s="1234" t="s">
        <v>488</v>
      </c>
      <c r="M131" s="1234" t="s">
        <v>610</v>
      </c>
      <c r="N131" s="1234" t="s">
        <v>611</v>
      </c>
      <c r="O131" s="1234" t="s">
        <v>488</v>
      </c>
      <c r="P131" s="1254" t="s">
        <v>629</v>
      </c>
    </row>
    <row r="132" spans="1:16" x14ac:dyDescent="0.15">
      <c r="B132" s="1235" t="s">
        <v>473</v>
      </c>
      <c r="C132" s="1235" t="s">
        <v>31</v>
      </c>
      <c r="D132" s="1236" t="s">
        <v>476</v>
      </c>
      <c r="E132" s="1235" t="s">
        <v>481</v>
      </c>
      <c r="F132" s="1235" t="s">
        <v>481</v>
      </c>
      <c r="G132" s="1235" t="s">
        <v>481</v>
      </c>
      <c r="I132" s="1235" t="s">
        <v>481</v>
      </c>
      <c r="J132" s="1235" t="s">
        <v>481</v>
      </c>
      <c r="K132" s="1235" t="s">
        <v>481</v>
      </c>
      <c r="M132" s="1235" t="s">
        <v>481</v>
      </c>
      <c r="N132" s="1235" t="s">
        <v>481</v>
      </c>
      <c r="O132" s="1235" t="s">
        <v>481</v>
      </c>
      <c r="P132" s="1255" t="s">
        <v>630</v>
      </c>
    </row>
    <row r="133" spans="1:16" ht="16.5" x14ac:dyDescent="0.2">
      <c r="A133" s="1250" t="s">
        <v>151</v>
      </c>
      <c r="B133" s="1228">
        <v>1</v>
      </c>
      <c r="C133" s="1229" t="s">
        <v>484</v>
      </c>
      <c r="D133" s="1229" t="e">
        <f t="shared" ref="D133:F140" si="30">+D8+D33+D58+D83+D108</f>
        <v>#REF!</v>
      </c>
      <c r="E133" s="1229" t="e">
        <f t="shared" si="30"/>
        <v>#REF!</v>
      </c>
      <c r="F133" s="1229" t="e">
        <f t="shared" si="30"/>
        <v>#REF!</v>
      </c>
      <c r="G133" s="1229" t="e">
        <f>+E133+F133</f>
        <v>#REF!</v>
      </c>
      <c r="I133" s="1229">
        <f t="shared" ref="I133:J140" si="31">+I8+I33+I58+I83+I108</f>
        <v>25.029999999999998</v>
      </c>
      <c r="J133" s="1229" t="e">
        <f t="shared" si="31"/>
        <v>#REF!</v>
      </c>
      <c r="K133" s="1229" t="e">
        <f>+I133+J133</f>
        <v>#REF!</v>
      </c>
      <c r="M133" s="1229" t="e">
        <f t="shared" ref="M133:O140" si="32">+M8+M33+M58+M83+M108</f>
        <v>#REF!</v>
      </c>
      <c r="N133" s="1229" t="e">
        <f t="shared" si="32"/>
        <v>#REF!</v>
      </c>
      <c r="O133" s="1229" t="e">
        <f t="shared" si="32"/>
        <v>#REF!</v>
      </c>
      <c r="P133" s="1249" t="e">
        <f>ROUND(O133/D133*1000,0)</f>
        <v>#REF!</v>
      </c>
    </row>
    <row r="134" spans="1:16" ht="16.5" x14ac:dyDescent="0.2">
      <c r="A134" s="1250" t="s">
        <v>151</v>
      </c>
      <c r="B134" s="1228">
        <v>2</v>
      </c>
      <c r="C134" s="1229" t="s">
        <v>490</v>
      </c>
      <c r="D134" s="1229" t="e">
        <f t="shared" si="30"/>
        <v>#REF!</v>
      </c>
      <c r="E134" s="1229" t="e">
        <f t="shared" si="30"/>
        <v>#REF!</v>
      </c>
      <c r="F134" s="1229" t="e">
        <f t="shared" si="30"/>
        <v>#REF!</v>
      </c>
      <c r="G134" s="1229" t="e">
        <f t="shared" ref="G134:G140" si="33">+E134+F134</f>
        <v>#REF!</v>
      </c>
      <c r="I134" s="1229" t="e">
        <f t="shared" si="31"/>
        <v>#REF!</v>
      </c>
      <c r="J134" s="1229" t="e">
        <f t="shared" si="31"/>
        <v>#REF!</v>
      </c>
      <c r="K134" s="1229" t="e">
        <f t="shared" ref="K134:K140" si="34">+I134+J134</f>
        <v>#REF!</v>
      </c>
      <c r="M134" s="1229" t="e">
        <f t="shared" si="32"/>
        <v>#REF!</v>
      </c>
      <c r="N134" s="1229" t="e">
        <f t="shared" si="32"/>
        <v>#REF!</v>
      </c>
      <c r="O134" s="1229" t="e">
        <f t="shared" si="32"/>
        <v>#REF!</v>
      </c>
      <c r="P134" s="1246" t="e">
        <f t="shared" ref="P134:P152" si="35">ROUND(O134/D134*1000,0)</f>
        <v>#REF!</v>
      </c>
    </row>
    <row r="135" spans="1:16" ht="16.5" x14ac:dyDescent="0.2">
      <c r="A135" s="1250" t="s">
        <v>151</v>
      </c>
      <c r="B135" s="1228">
        <v>3</v>
      </c>
      <c r="C135" s="1229" t="s">
        <v>553</v>
      </c>
      <c r="D135" s="1229" t="e">
        <f t="shared" si="30"/>
        <v>#REF!</v>
      </c>
      <c r="E135" s="1229" t="e">
        <f t="shared" si="30"/>
        <v>#REF!</v>
      </c>
      <c r="F135" s="1229" t="e">
        <f t="shared" si="30"/>
        <v>#REF!</v>
      </c>
      <c r="G135" s="1229" t="e">
        <f t="shared" si="33"/>
        <v>#REF!</v>
      </c>
      <c r="I135" s="1229" t="e">
        <f t="shared" si="31"/>
        <v>#REF!</v>
      </c>
      <c r="J135" s="1229" t="e">
        <f t="shared" si="31"/>
        <v>#REF!</v>
      </c>
      <c r="K135" s="1229" t="e">
        <f t="shared" si="34"/>
        <v>#REF!</v>
      </c>
      <c r="M135" s="1229" t="e">
        <f t="shared" si="32"/>
        <v>#REF!</v>
      </c>
      <c r="N135" s="1229" t="e">
        <f t="shared" si="32"/>
        <v>#REF!</v>
      </c>
      <c r="O135" s="1229" t="e">
        <f t="shared" si="32"/>
        <v>#REF!</v>
      </c>
      <c r="P135" s="1246" t="e">
        <f t="shared" si="35"/>
        <v>#REF!</v>
      </c>
    </row>
    <row r="136" spans="1:16" ht="16.5" x14ac:dyDescent="0.2">
      <c r="A136" s="1250" t="s">
        <v>151</v>
      </c>
      <c r="B136" s="1228">
        <v>4</v>
      </c>
      <c r="C136" s="1229" t="s">
        <v>557</v>
      </c>
      <c r="D136" s="1229" t="e">
        <f t="shared" si="30"/>
        <v>#REF!</v>
      </c>
      <c r="E136" s="1229" t="e">
        <f t="shared" si="30"/>
        <v>#REF!</v>
      </c>
      <c r="F136" s="1229" t="e">
        <f t="shared" si="30"/>
        <v>#REF!</v>
      </c>
      <c r="G136" s="1229" t="e">
        <f t="shared" si="33"/>
        <v>#REF!</v>
      </c>
      <c r="I136" s="1229" t="e">
        <f t="shared" si="31"/>
        <v>#REF!</v>
      </c>
      <c r="J136" s="1229" t="e">
        <f t="shared" si="31"/>
        <v>#REF!</v>
      </c>
      <c r="K136" s="1229" t="e">
        <f t="shared" si="34"/>
        <v>#REF!</v>
      </c>
      <c r="M136" s="1229" t="e">
        <f t="shared" si="32"/>
        <v>#REF!</v>
      </c>
      <c r="N136" s="1229" t="e">
        <f t="shared" si="32"/>
        <v>#REF!</v>
      </c>
      <c r="O136" s="1229" t="e">
        <f t="shared" si="32"/>
        <v>#REF!</v>
      </c>
      <c r="P136" s="1246" t="e">
        <f t="shared" si="35"/>
        <v>#REF!</v>
      </c>
    </row>
    <row r="137" spans="1:16" ht="16.5" x14ac:dyDescent="0.2">
      <c r="A137" s="1250" t="s">
        <v>151</v>
      </c>
      <c r="B137" s="1228">
        <v>5</v>
      </c>
      <c r="C137" s="1229" t="s">
        <v>566</v>
      </c>
      <c r="D137" s="1229" t="e">
        <f t="shared" si="30"/>
        <v>#REF!</v>
      </c>
      <c r="E137" s="1229" t="e">
        <f t="shared" si="30"/>
        <v>#REF!</v>
      </c>
      <c r="F137" s="1229" t="e">
        <f t="shared" si="30"/>
        <v>#REF!</v>
      </c>
      <c r="G137" s="1229" t="e">
        <f t="shared" si="33"/>
        <v>#REF!</v>
      </c>
      <c r="I137" s="1229" t="e">
        <f t="shared" si="31"/>
        <v>#REF!</v>
      </c>
      <c r="J137" s="1229" t="e">
        <f t="shared" si="31"/>
        <v>#REF!</v>
      </c>
      <c r="K137" s="1229" t="e">
        <f t="shared" si="34"/>
        <v>#REF!</v>
      </c>
      <c r="M137" s="1229" t="e">
        <f t="shared" si="32"/>
        <v>#REF!</v>
      </c>
      <c r="N137" s="1229" t="e">
        <f t="shared" si="32"/>
        <v>#REF!</v>
      </c>
      <c r="O137" s="1229" t="e">
        <f t="shared" si="32"/>
        <v>#REF!</v>
      </c>
      <c r="P137" s="1246" t="e">
        <f t="shared" si="35"/>
        <v>#REF!</v>
      </c>
    </row>
    <row r="138" spans="1:16" ht="16.5" x14ac:dyDescent="0.2">
      <c r="A138" s="1250" t="s">
        <v>151</v>
      </c>
      <c r="B138" s="1228">
        <v>6</v>
      </c>
      <c r="C138" s="1229" t="s">
        <v>567</v>
      </c>
      <c r="D138" s="1229" t="e">
        <f t="shared" si="30"/>
        <v>#REF!</v>
      </c>
      <c r="E138" s="1229" t="e">
        <f t="shared" si="30"/>
        <v>#REF!</v>
      </c>
      <c r="F138" s="1229" t="e">
        <f t="shared" si="30"/>
        <v>#REF!</v>
      </c>
      <c r="G138" s="1229" t="e">
        <f t="shared" si="33"/>
        <v>#REF!</v>
      </c>
      <c r="I138" s="1229" t="e">
        <f t="shared" si="31"/>
        <v>#REF!</v>
      </c>
      <c r="J138" s="1229" t="e">
        <f t="shared" si="31"/>
        <v>#REF!</v>
      </c>
      <c r="K138" s="1229" t="e">
        <f t="shared" si="34"/>
        <v>#REF!</v>
      </c>
      <c r="M138" s="1229" t="e">
        <f t="shared" si="32"/>
        <v>#REF!</v>
      </c>
      <c r="N138" s="1229" t="e">
        <f t="shared" si="32"/>
        <v>#REF!</v>
      </c>
      <c r="O138" s="1229" t="e">
        <f t="shared" si="32"/>
        <v>#REF!</v>
      </c>
      <c r="P138" s="1246" t="e">
        <f t="shared" si="35"/>
        <v>#REF!</v>
      </c>
    </row>
    <row r="139" spans="1:16" ht="16.5" x14ac:dyDescent="0.2">
      <c r="A139" s="1250" t="s">
        <v>151</v>
      </c>
      <c r="B139" s="1228">
        <v>7</v>
      </c>
      <c r="C139" s="1229" t="s">
        <v>577</v>
      </c>
      <c r="D139" s="1229" t="e">
        <f t="shared" si="30"/>
        <v>#REF!</v>
      </c>
      <c r="E139" s="1229" t="e">
        <f t="shared" si="30"/>
        <v>#REF!</v>
      </c>
      <c r="F139" s="1229" t="e">
        <f t="shared" si="30"/>
        <v>#REF!</v>
      </c>
      <c r="G139" s="1229" t="e">
        <f t="shared" si="33"/>
        <v>#REF!</v>
      </c>
      <c r="I139" s="1229" t="e">
        <f t="shared" si="31"/>
        <v>#REF!</v>
      </c>
      <c r="J139" s="1229" t="e">
        <f t="shared" si="31"/>
        <v>#REF!</v>
      </c>
      <c r="K139" s="1229" t="e">
        <f t="shared" si="34"/>
        <v>#REF!</v>
      </c>
      <c r="M139" s="1229" t="e">
        <f t="shared" si="32"/>
        <v>#REF!</v>
      </c>
      <c r="N139" s="1229" t="e">
        <f t="shared" si="32"/>
        <v>#REF!</v>
      </c>
      <c r="O139" s="1229" t="e">
        <f t="shared" si="32"/>
        <v>#REF!</v>
      </c>
      <c r="P139" s="1246" t="e">
        <f t="shared" si="35"/>
        <v>#REF!</v>
      </c>
    </row>
    <row r="140" spans="1:16" ht="16.5" x14ac:dyDescent="0.2">
      <c r="A140" s="1250" t="s">
        <v>151</v>
      </c>
      <c r="B140" s="1228">
        <v>8</v>
      </c>
      <c r="C140" s="1229" t="s">
        <v>587</v>
      </c>
      <c r="D140" s="1229" t="e">
        <f t="shared" si="30"/>
        <v>#REF!</v>
      </c>
      <c r="E140" s="1229" t="e">
        <f t="shared" si="30"/>
        <v>#REF!</v>
      </c>
      <c r="F140" s="1229" t="e">
        <f t="shared" si="30"/>
        <v>#REF!</v>
      </c>
      <c r="G140" s="1229" t="e">
        <f t="shared" si="33"/>
        <v>#REF!</v>
      </c>
      <c r="I140" s="1229" t="e">
        <f t="shared" si="31"/>
        <v>#REF!</v>
      </c>
      <c r="J140" s="1229" t="e">
        <f t="shared" si="31"/>
        <v>#REF!</v>
      </c>
      <c r="K140" s="1229" t="e">
        <f t="shared" si="34"/>
        <v>#REF!</v>
      </c>
      <c r="M140" s="1229" t="e">
        <f t="shared" si="32"/>
        <v>#REF!</v>
      </c>
      <c r="N140" s="1229" t="e">
        <f t="shared" si="32"/>
        <v>#REF!</v>
      </c>
      <c r="O140" s="1229" t="e">
        <f t="shared" si="32"/>
        <v>#REF!</v>
      </c>
      <c r="P140" s="1246" t="e">
        <f t="shared" si="35"/>
        <v>#REF!</v>
      </c>
    </row>
    <row r="141" spans="1:16" ht="16.5" x14ac:dyDescent="0.2">
      <c r="A141" s="1250" t="s">
        <v>151</v>
      </c>
      <c r="B141" s="1237"/>
      <c r="C141" s="1238" t="s">
        <v>588</v>
      </c>
      <c r="D141" s="1238" t="e">
        <f>D133+D134+D135+D136+D137+D138+D139+D140</f>
        <v>#REF!</v>
      </c>
      <c r="E141" s="1238" t="e">
        <f>E133+E134+E135+E136+E137+E138+E139+E140</f>
        <v>#REF!</v>
      </c>
      <c r="F141" s="1238" t="e">
        <f>F133+F134+F135+F136+F137+F138+F139+F140</f>
        <v>#REF!</v>
      </c>
      <c r="G141" s="1238" t="e">
        <f>G133+G134+G135+G136+G137+G138+G139+G140</f>
        <v>#REF!</v>
      </c>
      <c r="I141" s="1238" t="e">
        <f>I133+I134+I135+I136+I137+I138+I139+I140</f>
        <v>#REF!</v>
      </c>
      <c r="J141" s="1238" t="e">
        <f>J133+J134+J135+J136+J137+J138+J139+J140</f>
        <v>#REF!</v>
      </c>
      <c r="K141" s="1238" t="e">
        <f>K133+K134+K135+K136+K137+K138+K139+K140</f>
        <v>#REF!</v>
      </c>
      <c r="M141" s="1238" t="e">
        <f>M133+M134+M135+M136+M137+M138+M139+M140</f>
        <v>#REF!</v>
      </c>
      <c r="N141" s="1238" t="e">
        <f>N133+N134+N135+N136+N137+N138+N139+N140</f>
        <v>#REF!</v>
      </c>
      <c r="O141" s="1238" t="e">
        <f>O133+O134+O135+O136+O137+O138+O139+O140</f>
        <v>#REF!</v>
      </c>
      <c r="P141" s="1247" t="e">
        <f t="shared" si="35"/>
        <v>#REF!</v>
      </c>
    </row>
    <row r="142" spans="1:16" ht="16.5" x14ac:dyDescent="0.2">
      <c r="A142" s="1250" t="s">
        <v>151</v>
      </c>
      <c r="B142" s="1227"/>
    </row>
    <row r="143" spans="1:16" ht="16.5" x14ac:dyDescent="0.2">
      <c r="A143" s="1250" t="s">
        <v>151</v>
      </c>
      <c r="B143" s="1239">
        <v>9</v>
      </c>
      <c r="C143" s="1240" t="s">
        <v>16</v>
      </c>
      <c r="D143" s="1229" t="e">
        <f t="shared" ref="D143:F149" si="36">+D18+D43+D68+D93+D118</f>
        <v>#REF!</v>
      </c>
      <c r="E143" s="1229" t="e">
        <f t="shared" si="36"/>
        <v>#REF!</v>
      </c>
      <c r="F143" s="1229" t="e">
        <f t="shared" si="36"/>
        <v>#REF!</v>
      </c>
      <c r="G143" s="1229" t="e">
        <f t="shared" ref="G143:G149" si="37">+E143+F143</f>
        <v>#REF!</v>
      </c>
      <c r="I143" s="1229" t="e">
        <f t="shared" ref="I143:J149" si="38">+I18+I43+I68+I93+I118</f>
        <v>#REF!</v>
      </c>
      <c r="J143" s="1229" t="e">
        <f t="shared" si="38"/>
        <v>#REF!</v>
      </c>
      <c r="K143" s="1229" t="e">
        <f t="shared" ref="K143:K149" si="39">+I143+J143</f>
        <v>#REF!</v>
      </c>
      <c r="M143" s="1229" t="e">
        <f t="shared" ref="M143:O149" si="40">+M18+M43+M68+M93+M118</f>
        <v>#REF!</v>
      </c>
      <c r="N143" s="1229" t="e">
        <f t="shared" si="40"/>
        <v>#REF!</v>
      </c>
      <c r="O143" s="1229" t="e">
        <f t="shared" si="40"/>
        <v>#REF!</v>
      </c>
      <c r="P143" s="1246" t="e">
        <f t="shared" si="35"/>
        <v>#REF!</v>
      </c>
    </row>
    <row r="144" spans="1:16" ht="16.5" x14ac:dyDescent="0.2">
      <c r="A144" s="1250" t="s">
        <v>151</v>
      </c>
      <c r="B144" s="1228">
        <v>10</v>
      </c>
      <c r="C144" s="1229" t="s">
        <v>592</v>
      </c>
      <c r="D144" s="1229" t="e">
        <f t="shared" si="36"/>
        <v>#REF!</v>
      </c>
      <c r="E144" s="1229" t="e">
        <f t="shared" si="36"/>
        <v>#REF!</v>
      </c>
      <c r="F144" s="1229" t="e">
        <f t="shared" si="36"/>
        <v>#REF!</v>
      </c>
      <c r="G144" s="1229" t="e">
        <f t="shared" si="37"/>
        <v>#REF!</v>
      </c>
      <c r="I144" s="1229" t="e">
        <f t="shared" si="38"/>
        <v>#REF!</v>
      </c>
      <c r="J144" s="1229" t="e">
        <f t="shared" si="38"/>
        <v>#REF!</v>
      </c>
      <c r="K144" s="1229" t="e">
        <f t="shared" si="39"/>
        <v>#REF!</v>
      </c>
      <c r="M144" s="1229" t="e">
        <f t="shared" si="40"/>
        <v>#REF!</v>
      </c>
      <c r="N144" s="1229" t="e">
        <f t="shared" si="40"/>
        <v>#REF!</v>
      </c>
      <c r="O144" s="1229" t="e">
        <f t="shared" si="40"/>
        <v>#REF!</v>
      </c>
      <c r="P144" s="1246" t="e">
        <f t="shared" si="35"/>
        <v>#REF!</v>
      </c>
    </row>
    <row r="145" spans="1:16" ht="16.5" x14ac:dyDescent="0.2">
      <c r="A145" s="1250" t="s">
        <v>151</v>
      </c>
      <c r="B145" s="1228">
        <v>11</v>
      </c>
      <c r="C145" s="1229" t="s">
        <v>595</v>
      </c>
      <c r="D145" s="1229" t="e">
        <f t="shared" si="36"/>
        <v>#REF!</v>
      </c>
      <c r="E145" s="1229" t="e">
        <f t="shared" si="36"/>
        <v>#REF!</v>
      </c>
      <c r="F145" s="1229" t="e">
        <f t="shared" si="36"/>
        <v>#REF!</v>
      </c>
      <c r="G145" s="1229" t="e">
        <f t="shared" si="37"/>
        <v>#REF!</v>
      </c>
      <c r="I145" s="1229" t="e">
        <f t="shared" si="38"/>
        <v>#REF!</v>
      </c>
      <c r="J145" s="1229" t="e">
        <f t="shared" si="38"/>
        <v>#REF!</v>
      </c>
      <c r="K145" s="1229" t="e">
        <f t="shared" si="39"/>
        <v>#REF!</v>
      </c>
      <c r="M145" s="1229" t="e">
        <f t="shared" si="40"/>
        <v>#REF!</v>
      </c>
      <c r="N145" s="1229" t="e">
        <f t="shared" si="40"/>
        <v>#REF!</v>
      </c>
      <c r="O145" s="1229" t="e">
        <f t="shared" si="40"/>
        <v>#REF!</v>
      </c>
      <c r="P145" s="1246" t="e">
        <f t="shared" si="35"/>
        <v>#REF!</v>
      </c>
    </row>
    <row r="146" spans="1:16" ht="16.5" x14ac:dyDescent="0.2">
      <c r="A146" s="1250" t="s">
        <v>151</v>
      </c>
      <c r="B146" s="1228">
        <v>12</v>
      </c>
      <c r="C146" s="1229" t="s">
        <v>600</v>
      </c>
      <c r="D146" s="1229" t="e">
        <f t="shared" si="36"/>
        <v>#REF!</v>
      </c>
      <c r="E146" s="1229" t="e">
        <f t="shared" si="36"/>
        <v>#REF!</v>
      </c>
      <c r="F146" s="1229" t="e">
        <f t="shared" si="36"/>
        <v>#REF!</v>
      </c>
      <c r="G146" s="1229" t="e">
        <f t="shared" si="37"/>
        <v>#REF!</v>
      </c>
      <c r="I146" s="1229" t="e">
        <f t="shared" si="38"/>
        <v>#REF!</v>
      </c>
      <c r="J146" s="1229" t="e">
        <f t="shared" si="38"/>
        <v>#REF!</v>
      </c>
      <c r="K146" s="1229" t="e">
        <f t="shared" si="39"/>
        <v>#REF!</v>
      </c>
      <c r="M146" s="1229" t="e">
        <f t="shared" si="40"/>
        <v>#REF!</v>
      </c>
      <c r="N146" s="1229" t="e">
        <f t="shared" si="40"/>
        <v>#REF!</v>
      </c>
      <c r="O146" s="1229" t="e">
        <f t="shared" si="40"/>
        <v>#REF!</v>
      </c>
      <c r="P146" s="1246" t="e">
        <f t="shared" si="35"/>
        <v>#REF!</v>
      </c>
    </row>
    <row r="147" spans="1:16" ht="16.5" x14ac:dyDescent="0.2">
      <c r="A147" s="1250" t="s">
        <v>151</v>
      </c>
      <c r="B147" s="1228">
        <v>13</v>
      </c>
      <c r="C147" s="1229" t="s">
        <v>603</v>
      </c>
      <c r="D147" s="1229" t="e">
        <f t="shared" si="36"/>
        <v>#REF!</v>
      </c>
      <c r="E147" s="1229" t="e">
        <f t="shared" si="36"/>
        <v>#REF!</v>
      </c>
      <c r="F147" s="1229" t="e">
        <f t="shared" si="36"/>
        <v>#REF!</v>
      </c>
      <c r="G147" s="1229" t="e">
        <f t="shared" si="37"/>
        <v>#REF!</v>
      </c>
      <c r="I147" s="1229" t="e">
        <f t="shared" si="38"/>
        <v>#REF!</v>
      </c>
      <c r="J147" s="1229" t="e">
        <f t="shared" si="38"/>
        <v>#REF!</v>
      </c>
      <c r="K147" s="1229" t="e">
        <f t="shared" si="39"/>
        <v>#REF!</v>
      </c>
      <c r="M147" s="1229" t="e">
        <f t="shared" si="40"/>
        <v>#REF!</v>
      </c>
      <c r="N147" s="1229" t="e">
        <f t="shared" si="40"/>
        <v>#REF!</v>
      </c>
      <c r="O147" s="1229" t="e">
        <f t="shared" si="40"/>
        <v>#REF!</v>
      </c>
      <c r="P147" s="1246" t="e">
        <f t="shared" si="35"/>
        <v>#REF!</v>
      </c>
    </row>
    <row r="148" spans="1:16" ht="16.5" x14ac:dyDescent="0.2">
      <c r="A148" s="1250" t="s">
        <v>151</v>
      </c>
      <c r="B148" s="1239">
        <v>14</v>
      </c>
      <c r="C148" s="1240" t="s">
        <v>312</v>
      </c>
      <c r="D148" s="1229" t="e">
        <f t="shared" si="36"/>
        <v>#REF!</v>
      </c>
      <c r="E148" s="1229" t="e">
        <f t="shared" si="36"/>
        <v>#REF!</v>
      </c>
      <c r="F148" s="1229" t="e">
        <f t="shared" si="36"/>
        <v>#REF!</v>
      </c>
      <c r="G148" s="1229" t="e">
        <f t="shared" si="37"/>
        <v>#REF!</v>
      </c>
      <c r="I148" s="1229" t="e">
        <f t="shared" si="38"/>
        <v>#REF!</v>
      </c>
      <c r="J148" s="1229" t="e">
        <f t="shared" si="38"/>
        <v>#REF!</v>
      </c>
      <c r="K148" s="1229" t="e">
        <f t="shared" si="39"/>
        <v>#REF!</v>
      </c>
      <c r="M148" s="1229" t="e">
        <f t="shared" si="40"/>
        <v>#REF!</v>
      </c>
      <c r="N148" s="1229" t="e">
        <f t="shared" si="40"/>
        <v>#REF!</v>
      </c>
      <c r="O148" s="1229" t="e">
        <f t="shared" si="40"/>
        <v>#REF!</v>
      </c>
      <c r="P148" s="1246" t="e">
        <f t="shared" si="35"/>
        <v>#REF!</v>
      </c>
    </row>
    <row r="149" spans="1:16" ht="16.5" x14ac:dyDescent="0.2">
      <c r="A149" s="1250" t="s">
        <v>151</v>
      </c>
      <c r="B149" s="1239">
        <v>15</v>
      </c>
      <c r="C149" s="1240" t="s">
        <v>313</v>
      </c>
      <c r="D149" s="1229" t="e">
        <f t="shared" si="36"/>
        <v>#REF!</v>
      </c>
      <c r="E149" s="1229" t="e">
        <f t="shared" si="36"/>
        <v>#REF!</v>
      </c>
      <c r="F149" s="1229" t="e">
        <f t="shared" si="36"/>
        <v>#REF!</v>
      </c>
      <c r="G149" s="1229" t="e">
        <f t="shared" si="37"/>
        <v>#REF!</v>
      </c>
      <c r="I149" s="1229" t="e">
        <f t="shared" si="38"/>
        <v>#REF!</v>
      </c>
      <c r="J149" s="1229" t="e">
        <f t="shared" si="38"/>
        <v>#REF!</v>
      </c>
      <c r="K149" s="1229" t="e">
        <f t="shared" si="39"/>
        <v>#REF!</v>
      </c>
      <c r="M149" s="1229" t="e">
        <f t="shared" si="40"/>
        <v>#REF!</v>
      </c>
      <c r="N149" s="1229" t="e">
        <f t="shared" si="40"/>
        <v>#REF!</v>
      </c>
      <c r="O149" s="1229" t="e">
        <f t="shared" si="40"/>
        <v>#REF!</v>
      </c>
      <c r="P149" s="1246" t="e">
        <f t="shared" si="35"/>
        <v>#REF!</v>
      </c>
    </row>
    <row r="150" spans="1:16" ht="16.5" x14ac:dyDescent="0.2">
      <c r="A150" s="1250" t="s">
        <v>151</v>
      </c>
      <c r="B150" s="1241"/>
      <c r="C150" s="1242" t="s">
        <v>605</v>
      </c>
      <c r="D150" s="1242" t="e">
        <f>D143+D144+D145+D146+D147+D148+D149</f>
        <v>#REF!</v>
      </c>
      <c r="E150" s="1242" t="e">
        <f>E143+E144+E145+E146+E147+E148+E149</f>
        <v>#REF!</v>
      </c>
      <c r="F150" s="1242" t="e">
        <f>F143+F144+F145+F146+F147+F148+F149</f>
        <v>#REF!</v>
      </c>
      <c r="G150" s="1242" t="e">
        <f>G143+G144+G145+G146+G147+G148+G149</f>
        <v>#REF!</v>
      </c>
      <c r="I150" s="1242" t="e">
        <f>I143+I144+I145+I146+I147+I148+I149</f>
        <v>#REF!</v>
      </c>
      <c r="J150" s="1242" t="e">
        <f>J143+J144+J145+J146+J147+J148+J149</f>
        <v>#REF!</v>
      </c>
      <c r="K150" s="1242" t="e">
        <f>K143+K144+K145+K146+K147+K148+K149</f>
        <v>#REF!</v>
      </c>
      <c r="M150" s="1242" t="e">
        <f>M143+M144+M145+M146+M147+M148+M149</f>
        <v>#REF!</v>
      </c>
      <c r="N150" s="1242" t="e">
        <f>N143+N144+N145+N146+N147+N148+N149</f>
        <v>#REF!</v>
      </c>
      <c r="O150" s="1242" t="e">
        <f>O143+O144+O145+O146+O147+O148+O149</f>
        <v>#REF!</v>
      </c>
      <c r="P150" s="1248" t="e">
        <f t="shared" si="35"/>
        <v>#REF!</v>
      </c>
    </row>
    <row r="151" spans="1:16" ht="16.5" x14ac:dyDescent="0.2">
      <c r="A151" s="1250" t="s">
        <v>151</v>
      </c>
      <c r="B151" s="1243"/>
      <c r="C151" s="1243"/>
      <c r="D151" s="1243"/>
      <c r="E151" s="1243"/>
      <c r="F151" s="1243"/>
      <c r="G151" s="1243"/>
      <c r="I151" s="1243"/>
      <c r="J151" s="1243"/>
      <c r="K151" s="1243"/>
      <c r="M151" s="1243"/>
      <c r="N151" s="1243"/>
      <c r="O151" s="1243"/>
      <c r="P151" s="1243"/>
    </row>
    <row r="152" spans="1:16" ht="16.5" x14ac:dyDescent="0.2">
      <c r="A152" s="1250" t="s">
        <v>151</v>
      </c>
      <c r="B152" s="1241"/>
      <c r="C152" s="1242" t="s">
        <v>606</v>
      </c>
      <c r="D152" s="1242" t="e">
        <f>D141+D150</f>
        <v>#REF!</v>
      </c>
      <c r="E152" s="1242" t="e">
        <f>E141+E150</f>
        <v>#REF!</v>
      </c>
      <c r="F152" s="1242" t="e">
        <f>F141+F150</f>
        <v>#REF!</v>
      </c>
      <c r="G152" s="1242" t="e">
        <f>G141+G150</f>
        <v>#REF!</v>
      </c>
      <c r="I152" s="1242" t="e">
        <f>I141+I150</f>
        <v>#REF!</v>
      </c>
      <c r="J152" s="1242" t="e">
        <f>J141+J150</f>
        <v>#REF!</v>
      </c>
      <c r="K152" s="1242" t="e">
        <f>K141+K150</f>
        <v>#REF!</v>
      </c>
      <c r="M152" s="1242" t="e">
        <f>M141+M150</f>
        <v>#REF!</v>
      </c>
      <c r="N152" s="1242" t="e">
        <f>N141+N150</f>
        <v>#REF!</v>
      </c>
      <c r="O152" s="1242" t="e">
        <f>O141+O150</f>
        <v>#REF!</v>
      </c>
      <c r="P152" s="1248" t="e">
        <f t="shared" si="35"/>
        <v>#REF!</v>
      </c>
    </row>
  </sheetData>
  <printOptions horizontalCentered="1" verticalCentered="1"/>
  <pageMargins left="0.15748031496062992" right="0.15748031496062992" top="0.15748031496062992" bottom="0.15748031496062992" header="0.15748031496062992" footer="0.19685039370078741"/>
  <pageSetup paperSize="9" scale="65" orientation="landscape" r:id="rId1"/>
  <rowBreaks count="2" manualBreakCount="2">
    <brk id="54" max="16383" man="1"/>
    <brk id="1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266"/>
  <sheetViews>
    <sheetView showOutlineSymbols="0" zoomScale="70" zoomScaleNormal="70" zoomScaleSheetLayoutView="90" workbookViewId="0">
      <pane xSplit="3" ySplit="6" topLeftCell="K7" activePane="bottomRight" state="frozen"/>
      <selection pane="bottomLeft" activeCell="A8" sqref="A8"/>
      <selection pane="topRight" activeCell="D1" sqref="D1"/>
      <selection pane="bottomRight" activeCell="P16" sqref="P16"/>
    </sheetView>
  </sheetViews>
  <sheetFormatPr defaultColWidth="12.40625" defaultRowHeight="14.25" x14ac:dyDescent="0.15"/>
  <cols>
    <col min="1" max="1" width="5.93359375" style="1" customWidth="1"/>
    <col min="2" max="2" width="11.19140625" style="1" customWidth="1"/>
    <col min="3" max="3" width="36.8125" style="1" customWidth="1"/>
    <col min="4" max="4" width="16.31640625" style="1" customWidth="1"/>
    <col min="5" max="5" width="9.70703125" style="1" customWidth="1"/>
    <col min="6" max="6" width="16.31640625" style="1" customWidth="1"/>
    <col min="7" max="7" width="19.01171875" style="1" customWidth="1"/>
    <col min="8" max="8" width="16.31640625" style="864" customWidth="1"/>
    <col min="9" max="9" width="34.1171875" style="1" customWidth="1"/>
    <col min="10" max="12" width="16.31640625" style="1" customWidth="1"/>
    <col min="13" max="14" width="16.44921875" style="1" customWidth="1"/>
    <col min="15" max="15" width="16.31640625" style="763" customWidth="1"/>
    <col min="16" max="16" width="16.31640625" style="1" customWidth="1"/>
    <col min="17" max="17" width="19.01171875" style="221" customWidth="1"/>
    <col min="18" max="19" width="19.01171875" style="1" customWidth="1"/>
    <col min="20" max="20" width="17.52734375" style="1" customWidth="1"/>
    <col min="21" max="22" width="13.34765625" style="1" customWidth="1"/>
    <col min="23" max="23" width="11.73046875" style="1" customWidth="1"/>
    <col min="24" max="24" width="14.15625" style="1" customWidth="1"/>
    <col min="25" max="25" width="12.67578125" style="1" customWidth="1"/>
    <col min="26" max="26" width="14.0234375" style="1" customWidth="1"/>
    <col min="27" max="27" width="13.078125" style="1" customWidth="1"/>
    <col min="28" max="28" width="12.80859375" style="1" bestFit="1" customWidth="1"/>
    <col min="29" max="29" width="12.9453125" style="1" customWidth="1"/>
    <col min="30" max="30" width="15.37109375" style="1" customWidth="1"/>
    <col min="31" max="16384" width="12.40625" style="1"/>
  </cols>
  <sheetData>
    <row r="1" spans="1:30" ht="18" customHeight="1" thickBot="1" x14ac:dyDescent="0.2">
      <c r="A1" s="232"/>
      <c r="B1" s="233"/>
      <c r="C1" s="531"/>
      <c r="D1" s="532"/>
      <c r="E1" s="533"/>
      <c r="F1" s="534"/>
      <c r="G1" s="519"/>
      <c r="H1" s="820"/>
      <c r="I1" s="519"/>
      <c r="J1" s="519"/>
      <c r="K1" s="519"/>
      <c r="L1" s="519"/>
      <c r="M1" s="519"/>
      <c r="N1" s="519"/>
      <c r="O1" s="724"/>
      <c r="P1" s="519">
        <v>10</v>
      </c>
      <c r="Q1" s="718"/>
      <c r="R1" s="519"/>
      <c r="S1" s="519"/>
      <c r="T1" s="520"/>
      <c r="U1" s="520"/>
      <c r="V1" s="520"/>
      <c r="W1" s="520"/>
      <c r="X1" s="520"/>
      <c r="Y1" s="1540" t="s">
        <v>362</v>
      </c>
      <c r="Z1" s="1541"/>
      <c r="AA1" s="525" t="s">
        <v>363</v>
      </c>
      <c r="AB1" s="526">
        <v>8.93</v>
      </c>
      <c r="AC1" s="533"/>
      <c r="AD1" s="535"/>
    </row>
    <row r="2" spans="1:30" ht="20.25" customHeight="1" thickBot="1" x14ac:dyDescent="0.2">
      <c r="A2" s="235"/>
      <c r="B2" s="236"/>
      <c r="C2" s="536"/>
      <c r="D2" s="236"/>
      <c r="E2" s="237"/>
      <c r="F2" s="238"/>
      <c r="G2" s="239"/>
      <c r="H2" s="821"/>
      <c r="I2" s="239"/>
      <c r="J2" s="239"/>
      <c r="K2" s="239"/>
      <c r="L2" s="239"/>
      <c r="M2" s="239"/>
      <c r="N2" s="239"/>
      <c r="O2" s="725"/>
      <c r="P2" s="239">
        <v>0</v>
      </c>
      <c r="Q2" s="719"/>
      <c r="R2" s="240" t="s">
        <v>152</v>
      </c>
      <c r="S2" s="241"/>
      <c r="T2" s="242"/>
      <c r="U2" s="242"/>
      <c r="V2" s="242"/>
      <c r="W2" s="242"/>
      <c r="X2" s="242"/>
      <c r="Y2" s="1542"/>
      <c r="Z2" s="1543"/>
      <c r="AA2" s="527" t="s">
        <v>364</v>
      </c>
      <c r="AB2" s="528">
        <v>8.16</v>
      </c>
      <c r="AD2" s="537"/>
    </row>
    <row r="3" spans="1:30" ht="15" customHeight="1" thickBot="1" x14ac:dyDescent="0.2">
      <c r="A3" s="232"/>
      <c r="B3" s="233"/>
      <c r="C3" s="538" t="s">
        <v>17</v>
      </c>
      <c r="D3" s="233"/>
      <c r="E3" s="234" t="str">
        <f>IF(+'BESCOM D-22(Current Tariff)'!E2="","",+'BESCOM D-22(Current Tariff)'!E2)</f>
        <v>BESCOM</v>
      </c>
      <c r="F3" s="233"/>
      <c r="G3" s="1544" t="s">
        <v>465</v>
      </c>
      <c r="H3" s="1545"/>
      <c r="I3" s="1545"/>
      <c r="J3" s="1546"/>
      <c r="K3" s="1119"/>
      <c r="L3" s="1119"/>
      <c r="M3" s="453"/>
      <c r="N3" s="233"/>
      <c r="O3" s="726"/>
      <c r="P3" s="233"/>
      <c r="Q3" s="720"/>
      <c r="R3" s="243"/>
      <c r="S3" s="436"/>
      <c r="T3" s="437"/>
      <c r="U3" s="231"/>
      <c r="V3" s="231"/>
      <c r="W3" s="231"/>
      <c r="X3" s="231"/>
      <c r="Y3" s="1547"/>
      <c r="Z3" s="1548"/>
      <c r="AA3" s="529" t="s">
        <v>365</v>
      </c>
      <c r="AB3" s="585">
        <v>7.89</v>
      </c>
      <c r="AD3" s="537"/>
    </row>
    <row r="4" spans="1:30" ht="13.5" customHeight="1" thickBot="1" x14ac:dyDescent="0.2">
      <c r="A4" s="232"/>
      <c r="B4" s="233"/>
      <c r="C4" s="581"/>
      <c r="D4" s="523"/>
      <c r="E4" s="521"/>
      <c r="F4" s="521"/>
      <c r="G4" s="522"/>
      <c r="H4" s="1124"/>
      <c r="I4" s="1125"/>
      <c r="J4" s="1126"/>
      <c r="K4" s="1120"/>
      <c r="L4" s="231"/>
      <c r="M4" s="453"/>
      <c r="N4" s="521"/>
      <c r="O4" s="727"/>
      <c r="P4" s="521"/>
      <c r="Q4" s="721"/>
      <c r="R4" s="581"/>
      <c r="S4" s="582"/>
      <c r="T4" s="583"/>
      <c r="U4" s="119"/>
      <c r="V4" s="119"/>
      <c r="W4" s="119"/>
      <c r="X4" s="552">
        <v>8.6999999999999993</v>
      </c>
      <c r="Y4" s="530"/>
      <c r="Z4" s="552">
        <v>8.6999999999999993</v>
      </c>
      <c r="AA4" s="353"/>
      <c r="AB4" s="524"/>
      <c r="AC4" s="524"/>
      <c r="AD4" s="539"/>
    </row>
    <row r="5" spans="1:30" ht="24" customHeight="1" x14ac:dyDescent="0.15">
      <c r="A5" s="244" t="s">
        <v>20</v>
      </c>
      <c r="B5" s="245" t="s">
        <v>21</v>
      </c>
      <c r="C5" s="512" t="s">
        <v>22</v>
      </c>
      <c r="D5" s="513" t="s">
        <v>3</v>
      </c>
      <c r="E5" s="514" t="s">
        <v>23</v>
      </c>
      <c r="F5" s="515" t="s">
        <v>24</v>
      </c>
      <c r="G5" s="514" t="s">
        <v>25</v>
      </c>
      <c r="H5" s="1567" t="s">
        <v>460</v>
      </c>
      <c r="I5" s="1129"/>
      <c r="J5" s="1564" t="s">
        <v>462</v>
      </c>
      <c r="K5" s="1566" t="s">
        <v>459</v>
      </c>
      <c r="L5" s="1563" t="s">
        <v>463</v>
      </c>
      <c r="M5" s="1569" t="s">
        <v>461</v>
      </c>
      <c r="N5" s="1122" t="s">
        <v>346</v>
      </c>
      <c r="O5" s="728" t="s">
        <v>347</v>
      </c>
      <c r="P5" s="514" t="s">
        <v>28</v>
      </c>
      <c r="Q5" s="722" t="s">
        <v>29</v>
      </c>
      <c r="R5" s="516" t="s">
        <v>4</v>
      </c>
      <c r="S5" s="517" t="s">
        <v>30</v>
      </c>
      <c r="T5" s="518" t="s">
        <v>348</v>
      </c>
      <c r="U5" s="1549" t="s">
        <v>349</v>
      </c>
      <c r="V5" s="1549" t="s">
        <v>394</v>
      </c>
      <c r="W5" s="1549" t="s">
        <v>350</v>
      </c>
      <c r="X5" s="1549" t="s">
        <v>419</v>
      </c>
      <c r="Y5" s="1551" t="s">
        <v>351</v>
      </c>
      <c r="Z5" s="1549" t="s">
        <v>417</v>
      </c>
      <c r="AA5" s="1554" t="s">
        <v>361</v>
      </c>
      <c r="AB5" s="1556" t="s">
        <v>367</v>
      </c>
      <c r="AC5" s="1557" t="s">
        <v>366</v>
      </c>
      <c r="AD5" s="1558" t="s">
        <v>464</v>
      </c>
    </row>
    <row r="6" spans="1:30" ht="32.25" customHeight="1" thickBot="1" x14ac:dyDescent="0.2">
      <c r="A6" s="246"/>
      <c r="B6" s="247" t="s">
        <v>31</v>
      </c>
      <c r="C6" s="503"/>
      <c r="D6" s="502"/>
      <c r="E6" s="248" t="s">
        <v>32</v>
      </c>
      <c r="F6" s="249" t="s">
        <v>33</v>
      </c>
      <c r="G6" s="248" t="s">
        <v>34</v>
      </c>
      <c r="H6" s="1568"/>
      <c r="I6" s="1130"/>
      <c r="J6" s="1565"/>
      <c r="K6" s="1565"/>
      <c r="L6" s="1563"/>
      <c r="M6" s="1569"/>
      <c r="N6" s="502"/>
      <c r="O6" s="729"/>
      <c r="P6" s="248" t="s">
        <v>36</v>
      </c>
      <c r="Q6" s="723" t="s">
        <v>37</v>
      </c>
      <c r="R6" s="504" t="s">
        <v>37</v>
      </c>
      <c r="S6" s="505" t="s">
        <v>37</v>
      </c>
      <c r="T6" s="438" t="s">
        <v>37</v>
      </c>
      <c r="U6" s="1550"/>
      <c r="V6" s="1550"/>
      <c r="W6" s="1550"/>
      <c r="X6" s="1550"/>
      <c r="Y6" s="1550"/>
      <c r="Z6" s="1550"/>
      <c r="AA6" s="1555"/>
      <c r="AB6" s="1550"/>
      <c r="AC6" s="1555"/>
      <c r="AD6" s="1559"/>
    </row>
    <row r="7" spans="1:30" ht="36.75" customHeight="1" thickBot="1" x14ac:dyDescent="0.25">
      <c r="A7" s="250">
        <v>1</v>
      </c>
      <c r="B7" s="251" t="s">
        <v>38</v>
      </c>
      <c r="C7" s="280" t="s">
        <v>390</v>
      </c>
      <c r="D7" s="251"/>
      <c r="E7" s="251" t="s">
        <v>39</v>
      </c>
      <c r="F7" s="252">
        <f>'BESCOM D-22(Current Tariff)'!I8</f>
        <v>770651</v>
      </c>
      <c r="G7" s="252">
        <f>'BESCOM D-22(Current Tariff)'!J8</f>
        <v>77065.100000000006</v>
      </c>
      <c r="H7" s="1127">
        <f>'BESCOM D-22(Current Tariff)'!K8</f>
        <v>175.53</v>
      </c>
      <c r="I7" s="1128" t="s">
        <v>454</v>
      </c>
      <c r="J7" s="1123">
        <v>80</v>
      </c>
      <c r="K7" s="1123"/>
      <c r="L7" s="1143">
        <f>J7+K7</f>
        <v>80</v>
      </c>
      <c r="M7" s="1142"/>
      <c r="N7" s="105">
        <f>'BESCOM D-22(Current Tariff)'!O8</f>
        <v>8.6999999999999993</v>
      </c>
      <c r="O7" s="730">
        <f>8.7-N7</f>
        <v>0</v>
      </c>
      <c r="P7" s="1008">
        <f>N7+O7</f>
        <v>8.6999999999999993</v>
      </c>
      <c r="Q7" s="697">
        <f>IF(($F$7*$L$7*12/(10^7))&gt;$H$7*$P$7/10,($F$7*$L$7*12/(10^7)),0)</f>
        <v>0</v>
      </c>
      <c r="R7" s="991">
        <f>IF($H$7*$P$7/10&gt;($F$7*$J$7*12/(10^7)),($H$7*$P$7/10),0)</f>
        <v>152.71109999999999</v>
      </c>
      <c r="S7" s="970">
        <f>SUM(Q7:R7)</f>
        <v>152.71109999999999</v>
      </c>
      <c r="T7" s="874">
        <f>'BESCOM D-22(Current Tariff)'!R8</f>
        <v>152.71109999999999</v>
      </c>
      <c r="U7" s="875">
        <f>S7-T7</f>
        <v>0</v>
      </c>
      <c r="V7" s="876">
        <f>U7/H7*10</f>
        <v>0</v>
      </c>
      <c r="W7" s="876">
        <f>U7/T7%</f>
        <v>0</v>
      </c>
      <c r="X7" s="876">
        <f>H7*X$4/10</f>
        <v>152.71109999999999</v>
      </c>
      <c r="Y7" s="876">
        <f>(T7-X7)/X7%</f>
        <v>0</v>
      </c>
      <c r="Z7" s="876">
        <f>H7*Z$4/10</f>
        <v>152.71109999999999</v>
      </c>
      <c r="AA7" s="877">
        <f>(S7-Z7)/Z7%</f>
        <v>0</v>
      </c>
      <c r="AB7" s="878">
        <f>(S7-(H7*AB$1/10))/(H7*AB$1/10)*100</f>
        <v>-2.5755879059350564</v>
      </c>
      <c r="AC7" s="879"/>
      <c r="AD7" s="880">
        <f>S7/H7*10</f>
        <v>8.6999999999999993</v>
      </c>
    </row>
    <row r="8" spans="1:30" ht="17.25" customHeight="1" thickBot="1" x14ac:dyDescent="0.25">
      <c r="A8" s="250"/>
      <c r="B8" s="251" t="s">
        <v>38</v>
      </c>
      <c r="C8" s="251" t="s">
        <v>389</v>
      </c>
      <c r="D8" s="251"/>
      <c r="E8" s="251"/>
      <c r="F8" s="252">
        <f>'BESCOM D-22(Current Tariff)'!I9</f>
        <v>72716</v>
      </c>
      <c r="G8" s="252">
        <f>'BESCOM D-22(Current Tariff)'!J9</f>
        <v>7271.6</v>
      </c>
      <c r="H8" s="822">
        <f>'BESCOM D-22(Current Tariff)'!K9</f>
        <v>69.39</v>
      </c>
      <c r="I8" s="251"/>
      <c r="J8" s="194">
        <v>85</v>
      </c>
      <c r="K8" s="194"/>
      <c r="L8" s="1123">
        <f>J8+K8</f>
        <v>85</v>
      </c>
      <c r="M8" s="251"/>
      <c r="N8" s="105">
        <f>'BESCOM D-22(Current Tariff)'!O9</f>
        <v>4.05</v>
      </c>
      <c r="O8" s="730">
        <v>0</v>
      </c>
      <c r="P8" s="1008">
        <f>P24</f>
        <v>4.05</v>
      </c>
      <c r="Q8" s="691">
        <f>F8*L8*12/10000000</f>
        <v>7.4170319999999998</v>
      </c>
      <c r="R8" s="139">
        <f>(F8*30*12*P24/10000000)+(H8-17.2065)*P25/10</f>
        <v>38.259247799999997</v>
      </c>
      <c r="S8" s="1091">
        <f>SUM(Q8:R8)</f>
        <v>45.676279799999996</v>
      </c>
      <c r="T8" s="881">
        <f>'BESCOM D-22(Current Tariff)'!R9</f>
        <v>45.676279799999996</v>
      </c>
      <c r="U8" s="882">
        <f>S8-T8</f>
        <v>0</v>
      </c>
      <c r="V8" s="883">
        <f>U8/H8*10</f>
        <v>0</v>
      </c>
      <c r="W8" s="883">
        <f>U8/T8%</f>
        <v>0</v>
      </c>
      <c r="X8" s="883">
        <f>H8*X$4/10</f>
        <v>60.369299999999996</v>
      </c>
      <c r="Y8" s="883">
        <f>(T8-X8)/X8%</f>
        <v>-24.338563143849608</v>
      </c>
      <c r="Z8" s="883">
        <f>H8*Z$4/10</f>
        <v>60.369299999999996</v>
      </c>
      <c r="AA8" s="884">
        <f>(S8-Z8)/Z8%</f>
        <v>-24.338563143849608</v>
      </c>
      <c r="AB8" s="885">
        <f>(S8-(H8*AB$1/10))/(H8*AB$1/10)*100</f>
        <v>-26.287289960973304</v>
      </c>
      <c r="AC8" s="886"/>
      <c r="AD8" s="887">
        <f>S8/H8*10</f>
        <v>6.5825450064850832</v>
      </c>
    </row>
    <row r="9" spans="1:30" ht="14.1" customHeight="1" thickBot="1" x14ac:dyDescent="0.25">
      <c r="A9" s="253" t="s">
        <v>40</v>
      </c>
      <c r="B9" s="254"/>
      <c r="C9" s="254"/>
      <c r="D9" s="254"/>
      <c r="E9" s="254" t="s">
        <v>39</v>
      </c>
      <c r="F9" s="195">
        <f>SUM(F7:F8)</f>
        <v>843367</v>
      </c>
      <c r="G9" s="195">
        <f>SUM(G7:G8)</f>
        <v>84336.700000000012</v>
      </c>
      <c r="H9" s="823">
        <f>SUM(H7:H8)</f>
        <v>244.92000000000002</v>
      </c>
      <c r="I9" s="254"/>
      <c r="J9" s="195"/>
      <c r="K9" s="195"/>
      <c r="L9" s="195"/>
      <c r="M9" s="254"/>
      <c r="N9" s="196"/>
      <c r="O9" s="731"/>
      <c r="P9" s="971"/>
      <c r="Q9" s="972">
        <f>SUM(Q7:Q8)</f>
        <v>7.4170319999999998</v>
      </c>
      <c r="R9" s="973">
        <f>R7+R8</f>
        <v>190.97034779999998</v>
      </c>
      <c r="S9" s="1092">
        <f>S7+S8</f>
        <v>198.38737979999999</v>
      </c>
      <c r="T9" s="881"/>
      <c r="U9" s="882"/>
      <c r="V9" s="883"/>
      <c r="W9" s="883"/>
      <c r="X9" s="883"/>
      <c r="Y9" s="883"/>
      <c r="Z9" s="883"/>
      <c r="AA9" s="884"/>
      <c r="AB9" s="885"/>
      <c r="AC9" s="886"/>
      <c r="AD9" s="887"/>
    </row>
    <row r="10" spans="1:30" ht="14.1" customHeight="1" thickBot="1" x14ac:dyDescent="0.25">
      <c r="A10" s="250"/>
      <c r="B10" s="251"/>
      <c r="C10" s="251"/>
      <c r="D10" s="251"/>
      <c r="E10" s="251"/>
      <c r="F10" s="194"/>
      <c r="G10" s="194"/>
      <c r="H10" s="824"/>
      <c r="I10" s="255"/>
      <c r="J10" s="197"/>
      <c r="K10" s="197"/>
      <c r="L10" s="197"/>
      <c r="M10" s="255"/>
      <c r="N10" s="145"/>
      <c r="O10" s="732"/>
      <c r="P10" s="1009"/>
      <c r="Q10" s="691"/>
      <c r="R10" s="977"/>
      <c r="S10" s="1091"/>
      <c r="T10" s="881"/>
      <c r="U10" s="882"/>
      <c r="V10" s="883"/>
      <c r="W10" s="883"/>
      <c r="X10" s="883"/>
      <c r="Y10" s="883"/>
      <c r="Z10" s="883"/>
      <c r="AA10" s="884"/>
      <c r="AB10" s="885"/>
      <c r="AC10" s="886"/>
      <c r="AD10" s="887"/>
    </row>
    <row r="11" spans="1:30" ht="29.25" customHeight="1" x14ac:dyDescent="0.2">
      <c r="A11" s="256">
        <v>2</v>
      </c>
      <c r="B11" s="257" t="s">
        <v>41</v>
      </c>
      <c r="C11" s="257" t="s">
        <v>374</v>
      </c>
      <c r="D11" s="255" t="s">
        <v>42</v>
      </c>
      <c r="E11" s="257" t="s">
        <v>39</v>
      </c>
      <c r="F11" s="258">
        <f>'BESCOM D-22(Current Tariff)'!I12</f>
        <v>3561552.5022</v>
      </c>
      <c r="G11" s="259">
        <f>'BESCOM D-22(Current Tariff)'!J12</f>
        <v>3205397.2519800002</v>
      </c>
      <c r="H11" s="825"/>
      <c r="I11" s="1150" t="s">
        <v>43</v>
      </c>
      <c r="J11" s="579">
        <v>100</v>
      </c>
      <c r="K11" s="579"/>
      <c r="L11" s="579">
        <f>J11+K11</f>
        <v>100</v>
      </c>
      <c r="M11" s="261"/>
      <c r="N11" s="261"/>
      <c r="O11" s="733"/>
      <c r="P11" s="1010"/>
      <c r="Q11" s="1011">
        <f>(MAX(F11,G11)*$L$11*12)/(10^7)</f>
        <v>427.38630026400006</v>
      </c>
      <c r="R11" s="1012"/>
      <c r="S11" s="1093"/>
      <c r="T11" s="881"/>
      <c r="U11" s="882"/>
      <c r="V11" s="883"/>
      <c r="W11" s="883"/>
      <c r="X11" s="883"/>
      <c r="Y11" s="883"/>
      <c r="Z11" s="883"/>
      <c r="AA11" s="884"/>
      <c r="AB11" s="885"/>
      <c r="AC11" s="886"/>
      <c r="AD11" s="887"/>
    </row>
    <row r="12" spans="1:30" ht="29.25" x14ac:dyDescent="0.2">
      <c r="A12" s="262"/>
      <c r="B12" s="263"/>
      <c r="C12" s="1560" t="s">
        <v>375</v>
      </c>
      <c r="D12" s="264" t="s">
        <v>44</v>
      </c>
      <c r="E12" s="263" t="s">
        <v>39</v>
      </c>
      <c r="F12" s="265">
        <f>'BESCOM D-22(Current Tariff)'!I13</f>
        <v>3444745.4978</v>
      </c>
      <c r="G12" s="266">
        <f>'BESCOM D-22(Current Tariff)'!J13</f>
        <v>11200422.86785</v>
      </c>
      <c r="H12" s="826"/>
      <c r="I12" s="1152" t="s">
        <v>451</v>
      </c>
      <c r="J12" s="580">
        <v>110</v>
      </c>
      <c r="K12" s="580"/>
      <c r="L12" s="580">
        <f>J12+K12</f>
        <v>110</v>
      </c>
      <c r="M12" s="1149"/>
      <c r="N12" s="269"/>
      <c r="O12" s="734"/>
      <c r="P12" s="1013"/>
      <c r="Q12" s="994">
        <f>(((F12*L11)+(G12-F12)*L12)*12)/(10^7)</f>
        <v>1437.1188725825998</v>
      </c>
      <c r="R12" s="1014"/>
      <c r="S12" s="1091"/>
      <c r="T12" s="881"/>
      <c r="U12" s="882"/>
      <c r="V12" s="883"/>
      <c r="W12" s="883"/>
      <c r="X12" s="883"/>
      <c r="Y12" s="883"/>
      <c r="Z12" s="883"/>
      <c r="AA12" s="884"/>
      <c r="AB12" s="885"/>
      <c r="AC12" s="886"/>
      <c r="AD12" s="887"/>
    </row>
    <row r="13" spans="1:30" ht="25.5" customHeight="1" x14ac:dyDescent="0.2">
      <c r="A13" s="262"/>
      <c r="B13" s="263"/>
      <c r="C13" s="1561"/>
      <c r="D13" s="264"/>
      <c r="E13" s="263"/>
      <c r="F13" s="265">
        <f>'BESCOM D-22(Current Tariff)'!I14</f>
        <v>1873</v>
      </c>
      <c r="G13" s="266">
        <f>'BESCOM D-22(Current Tariff)'!J14</f>
        <v>206030</v>
      </c>
      <c r="H13" s="826"/>
      <c r="I13" s="1147" t="s">
        <v>444</v>
      </c>
      <c r="J13" s="1151">
        <v>175</v>
      </c>
      <c r="K13" s="1151"/>
      <c r="L13" s="573">
        <f>J13+K13</f>
        <v>175</v>
      </c>
      <c r="M13" s="293"/>
      <c r="N13" s="269"/>
      <c r="O13" s="734"/>
      <c r="P13" s="1015"/>
      <c r="Q13" s="151">
        <f>(((F13*L11)+(F13*49*L12)+(G13-F13*50)*L13)*12)/10000000</f>
        <v>35.939124</v>
      </c>
      <c r="R13" s="1014"/>
      <c r="S13" s="1091"/>
      <c r="T13" s="881"/>
      <c r="U13" s="882"/>
      <c r="V13" s="883"/>
      <c r="W13" s="883"/>
      <c r="X13" s="883"/>
      <c r="Y13" s="883"/>
      <c r="Z13" s="883"/>
      <c r="AA13" s="884"/>
      <c r="AB13" s="885"/>
      <c r="AC13" s="886"/>
      <c r="AD13" s="887"/>
    </row>
    <row r="14" spans="1:30" ht="14.1" customHeight="1" x14ac:dyDescent="0.2">
      <c r="A14" s="262"/>
      <c r="B14" s="263"/>
      <c r="C14" s="1562"/>
      <c r="D14" s="421" t="s">
        <v>424</v>
      </c>
      <c r="E14" s="263"/>
      <c r="F14" s="265"/>
      <c r="G14" s="270"/>
      <c r="H14" s="827">
        <f>'BESCOM D-22(Current Tariff)'!K15</f>
        <v>1304.6824999999999</v>
      </c>
      <c r="I14" s="412"/>
      <c r="J14" s="268"/>
      <c r="K14" s="268"/>
      <c r="L14" s="268"/>
      <c r="M14" s="268" t="s">
        <v>426</v>
      </c>
      <c r="N14" s="271">
        <f>'BESCOM D-22(Current Tariff)'!O15</f>
        <v>4.1500000000000004</v>
      </c>
      <c r="O14" s="735">
        <v>0</v>
      </c>
      <c r="P14" s="1016">
        <f>N14+O14</f>
        <v>4.1500000000000004</v>
      </c>
      <c r="Q14" s="1017"/>
      <c r="R14" s="1018">
        <f>(H14*P14)/10</f>
        <v>541.44323750000001</v>
      </c>
      <c r="S14" s="1091"/>
      <c r="T14" s="881"/>
      <c r="U14" s="882"/>
      <c r="V14" s="883"/>
      <c r="W14" s="883"/>
      <c r="X14" s="883"/>
      <c r="Y14" s="883"/>
      <c r="Z14" s="883"/>
      <c r="AA14" s="884"/>
      <c r="AB14" s="885"/>
      <c r="AC14" s="886"/>
      <c r="AD14" s="887"/>
    </row>
    <row r="15" spans="1:30" ht="14.1" customHeight="1" x14ac:dyDescent="0.2">
      <c r="A15" s="262"/>
      <c r="B15" s="263"/>
      <c r="C15" s="263"/>
      <c r="D15" s="421" t="s">
        <v>425</v>
      </c>
      <c r="E15" s="263"/>
      <c r="F15" s="265"/>
      <c r="G15" s="270"/>
      <c r="H15" s="827">
        <f>'BESCOM D-22(Current Tariff)'!K16</f>
        <v>1717.3741750000002</v>
      </c>
      <c r="I15" s="267"/>
      <c r="J15" s="268"/>
      <c r="K15" s="268"/>
      <c r="L15" s="268"/>
      <c r="M15" s="464" t="s">
        <v>427</v>
      </c>
      <c r="N15" s="271">
        <f>'BESCOM D-22(Current Tariff)'!O16</f>
        <v>5.6</v>
      </c>
      <c r="O15" s="735">
        <v>0</v>
      </c>
      <c r="P15" s="1016">
        <f>N15+O15</f>
        <v>5.6</v>
      </c>
      <c r="Q15" s="1017"/>
      <c r="R15" s="1018">
        <f>(H15*P15)/10</f>
        <v>961.72953799999993</v>
      </c>
      <c r="S15" s="1091"/>
      <c r="T15" s="881"/>
      <c r="U15" s="882"/>
      <c r="V15" s="883">
        <f>U15/H15*10</f>
        <v>0</v>
      </c>
      <c r="W15" s="883"/>
      <c r="X15" s="883"/>
      <c r="Y15" s="883"/>
      <c r="Z15" s="883"/>
      <c r="AA15" s="884"/>
      <c r="AB15" s="885"/>
      <c r="AC15" s="886"/>
      <c r="AD15" s="887"/>
    </row>
    <row r="16" spans="1:30" ht="14.1" customHeight="1" x14ac:dyDescent="0.2">
      <c r="A16" s="262"/>
      <c r="B16" s="263"/>
      <c r="C16" s="263"/>
      <c r="D16" s="421" t="s">
        <v>47</v>
      </c>
      <c r="E16" s="263"/>
      <c r="F16" s="265"/>
      <c r="G16" s="270"/>
      <c r="H16" s="827">
        <f>'BESCOM D-22(Current Tariff)'!K17</f>
        <v>2108.0922500000001</v>
      </c>
      <c r="I16" s="267"/>
      <c r="J16" s="268"/>
      <c r="K16" s="268"/>
      <c r="L16" s="268"/>
      <c r="M16" s="464" t="s">
        <v>381</v>
      </c>
      <c r="N16" s="271">
        <f>'BESCOM D-22(Current Tariff)'!O17</f>
        <v>7.15</v>
      </c>
      <c r="O16" s="735">
        <v>0</v>
      </c>
      <c r="P16" s="1016">
        <f>N16+O16</f>
        <v>7.15</v>
      </c>
      <c r="Q16" s="1017"/>
      <c r="R16" s="1148">
        <f>(H16*P16)/10</f>
        <v>1507.2859587500002</v>
      </c>
      <c r="S16" s="1091"/>
      <c r="T16" s="881"/>
      <c r="U16" s="882"/>
      <c r="V16" s="883">
        <f>U16/H16*10</f>
        <v>0</v>
      </c>
      <c r="W16" s="883"/>
      <c r="X16" s="883"/>
      <c r="Y16" s="883"/>
      <c r="Z16" s="883"/>
      <c r="AA16" s="884"/>
      <c r="AB16" s="885"/>
      <c r="AC16" s="886"/>
      <c r="AD16" s="887"/>
    </row>
    <row r="17" spans="1:30" ht="14.1" customHeight="1" x14ac:dyDescent="0.2">
      <c r="A17" s="262"/>
      <c r="B17" s="263"/>
      <c r="C17" s="263"/>
      <c r="D17" s="421" t="s">
        <v>306</v>
      </c>
      <c r="E17" s="263"/>
      <c r="F17" s="265"/>
      <c r="G17" s="270"/>
      <c r="H17" s="827">
        <f>'BESCOM D-22(Current Tariff)'!K18</f>
        <v>1736.601075</v>
      </c>
      <c r="I17" s="267"/>
      <c r="J17" s="268"/>
      <c r="K17" s="268"/>
      <c r="L17" s="268"/>
      <c r="M17" s="464" t="s">
        <v>411</v>
      </c>
      <c r="N17" s="271">
        <f>'BESCOM D-22(Current Tariff)'!O18</f>
        <v>8.1999999999999993</v>
      </c>
      <c r="O17" s="735">
        <v>0</v>
      </c>
      <c r="P17" s="1019">
        <f>N17+O17</f>
        <v>8.1999999999999993</v>
      </c>
      <c r="Q17" s="994"/>
      <c r="R17" s="1018">
        <f>(H17*P17)/10</f>
        <v>1424.0128814999998</v>
      </c>
      <c r="S17" s="1091"/>
      <c r="T17" s="881"/>
      <c r="U17" s="882"/>
      <c r="V17" s="883">
        <f>U17/H17*10</f>
        <v>0</v>
      </c>
      <c r="W17" s="883"/>
      <c r="X17" s="883"/>
      <c r="Y17" s="883"/>
      <c r="Z17" s="883"/>
      <c r="AA17" s="884"/>
      <c r="AB17" s="885"/>
      <c r="AC17" s="886"/>
      <c r="AD17" s="887"/>
    </row>
    <row r="18" spans="1:30" ht="18.75" thickBot="1" x14ac:dyDescent="0.25">
      <c r="A18" s="272"/>
      <c r="B18" s="273"/>
      <c r="C18" s="273"/>
      <c r="D18" s="274" t="s">
        <v>49</v>
      </c>
      <c r="E18" s="275" t="s">
        <v>39</v>
      </c>
      <c r="F18" s="276">
        <f>SUM(F11:F13)</f>
        <v>7008171</v>
      </c>
      <c r="G18" s="277">
        <f>SUM(G11:G13)</f>
        <v>14611850.119830001</v>
      </c>
      <c r="H18" s="828">
        <f>SUM(H14:H17)</f>
        <v>6866.75</v>
      </c>
      <c r="I18" s="278"/>
      <c r="J18" s="278"/>
      <c r="K18" s="278"/>
      <c r="L18" s="278"/>
      <c r="M18" s="278"/>
      <c r="N18" s="278"/>
      <c r="O18" s="736"/>
      <c r="P18" s="1020"/>
      <c r="Q18" s="974">
        <f>SUM(Q11:Q13)</f>
        <v>1900.4442968465999</v>
      </c>
      <c r="R18" s="975">
        <f>SUM(R14:R17)</f>
        <v>4434.4716157499997</v>
      </c>
      <c r="S18" s="1091">
        <f>SUM(Q18:R18)</f>
        <v>6334.9159125965998</v>
      </c>
      <c r="T18" s="881">
        <f>'BESCOM D-22(Current Tariff)'!R19</f>
        <v>6334.9159125965998</v>
      </c>
      <c r="U18" s="882">
        <f>S18-T18</f>
        <v>0</v>
      </c>
      <c r="V18" s="883">
        <f>U18/H18*10</f>
        <v>0</v>
      </c>
      <c r="W18" s="883">
        <f>U18/T18%</f>
        <v>0</v>
      </c>
      <c r="X18" s="883">
        <f>H18*X$4/10</f>
        <v>5974.0725000000002</v>
      </c>
      <c r="Y18" s="883">
        <f>(T18-X18)/X18%</f>
        <v>6.0401579089741473</v>
      </c>
      <c r="Z18" s="883">
        <f>H18*Z$4/10</f>
        <v>5974.0725000000002</v>
      </c>
      <c r="AA18" s="884">
        <f>(S18-Z18)/Z18%</f>
        <v>6.0401579089741473</v>
      </c>
      <c r="AB18" s="885">
        <f>(S18-(H18*AB$1/10))/(H18*AB$1/10)*100</f>
        <v>3.309000426436187</v>
      </c>
      <c r="AC18" s="886"/>
      <c r="AD18" s="887">
        <f>S18/H18*10</f>
        <v>9.2254937380807505</v>
      </c>
    </row>
    <row r="19" spans="1:30" ht="14.1" customHeight="1" thickBot="1" x14ac:dyDescent="0.25">
      <c r="A19" s="279"/>
      <c r="B19" s="280"/>
      <c r="C19" s="280"/>
      <c r="D19" s="251"/>
      <c r="E19" s="280"/>
      <c r="F19" s="281"/>
      <c r="G19" s="281"/>
      <c r="H19" s="829"/>
      <c r="I19" s="280"/>
      <c r="J19" s="282"/>
      <c r="K19" s="282"/>
      <c r="L19" s="282"/>
      <c r="M19" s="282"/>
      <c r="N19" s="282"/>
      <c r="O19" s="737"/>
      <c r="P19" s="139"/>
      <c r="Q19" s="697"/>
      <c r="R19" s="991"/>
      <c r="S19" s="1091"/>
      <c r="T19" s="881"/>
      <c r="U19" s="882"/>
      <c r="V19" s="883"/>
      <c r="W19" s="883"/>
      <c r="X19" s="883"/>
      <c r="Y19" s="883"/>
      <c r="Z19" s="883">
        <f>Z18/H18*10</f>
        <v>8.6999999999999993</v>
      </c>
      <c r="AA19" s="884"/>
      <c r="AB19" s="885"/>
      <c r="AC19" s="886"/>
      <c r="AD19" s="887"/>
    </row>
    <row r="20" spans="1:30" ht="14.1" customHeight="1" thickBot="1" x14ac:dyDescent="0.25">
      <c r="A20" s="250"/>
      <c r="B20" s="251"/>
      <c r="C20" s="251"/>
      <c r="D20" s="251"/>
      <c r="E20" s="251"/>
      <c r="F20" s="252"/>
      <c r="G20" s="252"/>
      <c r="H20" s="822"/>
      <c r="I20" s="472"/>
      <c r="J20" s="819"/>
      <c r="K20" s="1121"/>
      <c r="L20" s="1121"/>
      <c r="M20" s="818"/>
      <c r="N20" s="282"/>
      <c r="O20" s="737"/>
      <c r="P20" s="139"/>
      <c r="Q20" s="691"/>
      <c r="R20" s="139"/>
      <c r="S20" s="1091"/>
      <c r="T20" s="881"/>
      <c r="U20" s="882"/>
      <c r="V20" s="883"/>
      <c r="W20" s="883"/>
      <c r="X20" s="883"/>
      <c r="Y20" s="883"/>
      <c r="Z20" s="883"/>
      <c r="AA20" s="884"/>
      <c r="AB20" s="885"/>
      <c r="AC20" s="886"/>
      <c r="AD20" s="887"/>
    </row>
    <row r="21" spans="1:30" ht="26.25" customHeight="1" thickBot="1" x14ac:dyDescent="0.25">
      <c r="A21" s="283">
        <v>4</v>
      </c>
      <c r="B21" s="260" t="s">
        <v>50</v>
      </c>
      <c r="C21" s="291" t="s">
        <v>51</v>
      </c>
      <c r="D21" s="255" t="s">
        <v>42</v>
      </c>
      <c r="E21" s="260" t="s">
        <v>39</v>
      </c>
      <c r="F21" s="259">
        <f>'BESCOM D-22(Current Tariff)'!I22</f>
        <v>1787092.895</v>
      </c>
      <c r="G21" s="259">
        <f>'BESCOM D-22(Current Tariff)'!J22</f>
        <v>1519028.9607500001</v>
      </c>
      <c r="H21" s="830"/>
      <c r="I21" s="80" t="s">
        <v>43</v>
      </c>
      <c r="J21" s="580">
        <v>85</v>
      </c>
      <c r="K21" s="580"/>
      <c r="L21" s="261">
        <f>J21+K21</f>
        <v>85</v>
      </c>
      <c r="M21" s="796"/>
      <c r="N21" s="260"/>
      <c r="O21" s="733"/>
      <c r="P21" s="1021"/>
      <c r="Q21" s="1011">
        <f>(MAX(F21,G21)*L21*12)/(10^7)</f>
        <v>182.28347528999998</v>
      </c>
      <c r="R21" s="1022"/>
      <c r="S21" s="1093"/>
      <c r="T21" s="881"/>
      <c r="U21" s="882"/>
      <c r="V21" s="883"/>
      <c r="W21" s="883"/>
      <c r="X21" s="883"/>
      <c r="Y21" s="883"/>
      <c r="Z21" s="883"/>
      <c r="AA21" s="884"/>
      <c r="AB21" s="885"/>
      <c r="AC21" s="886"/>
      <c r="AD21" s="887"/>
    </row>
    <row r="22" spans="1:30" ht="30" customHeight="1" thickBot="1" x14ac:dyDescent="0.25">
      <c r="A22" s="285"/>
      <c r="B22" s="267"/>
      <c r="C22" s="292" t="s">
        <v>53</v>
      </c>
      <c r="D22" s="264" t="s">
        <v>44</v>
      </c>
      <c r="E22" s="267" t="s">
        <v>39</v>
      </c>
      <c r="F22" s="266">
        <f>'BESCOM D-22(Current Tariff)'!I23</f>
        <v>306062.10499999998</v>
      </c>
      <c r="G22" s="266">
        <f>'BESCOM D-22(Current Tariff)'!J23</f>
        <v>989048.73600000003</v>
      </c>
      <c r="H22" s="831"/>
      <c r="I22" s="640" t="s">
        <v>451</v>
      </c>
      <c r="J22" s="580">
        <v>100</v>
      </c>
      <c r="K22" s="580"/>
      <c r="L22" s="261">
        <f>J22+K22</f>
        <v>100</v>
      </c>
      <c r="M22" s="577"/>
      <c r="N22" s="269"/>
      <c r="O22" s="734"/>
      <c r="P22" s="1013"/>
      <c r="Q22" s="994">
        <f>(((F22*L21)+(G22-F22)*L22)*12)/(10^7)</f>
        <v>113.17673043000002</v>
      </c>
      <c r="R22" s="1018"/>
      <c r="S22" s="1091"/>
      <c r="T22" s="881"/>
      <c r="U22" s="882"/>
      <c r="V22" s="883"/>
      <c r="W22" s="883"/>
      <c r="X22" s="883"/>
      <c r="Y22" s="883"/>
      <c r="Z22" s="883"/>
      <c r="AA22" s="884"/>
      <c r="AB22" s="885"/>
      <c r="AC22" s="886"/>
      <c r="AD22" s="887"/>
    </row>
    <row r="23" spans="1:30" ht="24.75" customHeight="1" x14ac:dyDescent="0.2">
      <c r="A23" s="285"/>
      <c r="B23" s="267"/>
      <c r="C23" s="292" t="s">
        <v>54</v>
      </c>
      <c r="D23" s="264"/>
      <c r="E23" s="267"/>
      <c r="F23" s="266">
        <f>'BESCOM D-22(Current Tariff)'!I24</f>
        <v>195</v>
      </c>
      <c r="G23" s="266">
        <f>'BESCOM D-22(Current Tariff)'!J24</f>
        <v>31200</v>
      </c>
      <c r="H23" s="827"/>
      <c r="I23" s="640" t="s">
        <v>444</v>
      </c>
      <c r="J23" s="415">
        <v>160</v>
      </c>
      <c r="K23" s="415"/>
      <c r="L23" s="261">
        <f>J23+K23</f>
        <v>160</v>
      </c>
      <c r="M23" s="269"/>
      <c r="N23" s="269"/>
      <c r="O23" s="734"/>
      <c r="P23" s="1015"/>
      <c r="Q23" s="151">
        <f>(((F23*L21)+(F23*49*L22)+(G23-F23*50)*L23)*12)/10000000</f>
        <v>5.2848899999999999</v>
      </c>
      <c r="R23" s="1018"/>
      <c r="S23" s="1091"/>
      <c r="T23" s="881"/>
      <c r="U23" s="882"/>
      <c r="V23" s="883"/>
      <c r="W23" s="883"/>
      <c r="X23" s="883"/>
      <c r="Y23" s="883"/>
      <c r="Z23" s="883"/>
      <c r="AA23" s="884"/>
      <c r="AB23" s="885"/>
      <c r="AC23" s="886"/>
      <c r="AD23" s="887"/>
    </row>
    <row r="24" spans="1:30" ht="18" x14ac:dyDescent="0.2">
      <c r="A24" s="285"/>
      <c r="B24" s="267"/>
      <c r="C24" s="292" t="s">
        <v>55</v>
      </c>
      <c r="D24" s="264" t="s">
        <v>45</v>
      </c>
      <c r="E24" s="267"/>
      <c r="F24" s="266"/>
      <c r="G24" s="266"/>
      <c r="H24" s="827">
        <f>'BESCOM D-22(Current Tariff)'!K25</f>
        <v>195.34320910000002</v>
      </c>
      <c r="I24" s="267"/>
      <c r="J24" s="268"/>
      <c r="K24" s="268"/>
      <c r="L24" s="268"/>
      <c r="M24" s="151" t="s">
        <v>426</v>
      </c>
      <c r="N24" s="271">
        <f>'BESCOM D-22(Current Tariff)'!O25</f>
        <v>4.05</v>
      </c>
      <c r="O24" s="735">
        <v>0</v>
      </c>
      <c r="P24" s="1016">
        <f>N24+O24</f>
        <v>4.05</v>
      </c>
      <c r="Q24" s="1017"/>
      <c r="R24" s="1018">
        <f>H24*P24/10</f>
        <v>79.113999685500005</v>
      </c>
      <c r="S24" s="1091"/>
      <c r="T24" s="881"/>
      <c r="U24" s="882"/>
      <c r="V24" s="883"/>
      <c r="W24" s="883"/>
      <c r="X24" s="883"/>
      <c r="Y24" s="883"/>
      <c r="Z24" s="883"/>
      <c r="AA24" s="884"/>
      <c r="AB24" s="885"/>
      <c r="AC24" s="886"/>
      <c r="AD24" s="887"/>
    </row>
    <row r="25" spans="1:30" ht="14.1" customHeight="1" x14ac:dyDescent="0.2">
      <c r="A25" s="285"/>
      <c r="B25" s="267"/>
      <c r="C25" s="267"/>
      <c r="D25" s="264" t="s">
        <v>46</v>
      </c>
      <c r="E25" s="267"/>
      <c r="F25" s="266"/>
      <c r="G25" s="266"/>
      <c r="H25" s="827">
        <f>'BESCOM D-22(Current Tariff)'!K26</f>
        <v>267.03950000000003</v>
      </c>
      <c r="I25" s="267"/>
      <c r="J25" s="268"/>
      <c r="K25" s="268"/>
      <c r="L25" s="268"/>
      <c r="M25" s="151" t="s">
        <v>427</v>
      </c>
      <c r="N25" s="271">
        <f>'BESCOM D-22(Current Tariff)'!O26</f>
        <v>5.3</v>
      </c>
      <c r="O25" s="735">
        <v>0</v>
      </c>
      <c r="P25" s="1016">
        <f>N25+O25</f>
        <v>5.3</v>
      </c>
      <c r="Q25" s="1017"/>
      <c r="R25" s="1018">
        <f>H25*P25/10</f>
        <v>141.53093500000003</v>
      </c>
      <c r="S25" s="1091"/>
      <c r="T25" s="881"/>
      <c r="U25" s="882"/>
      <c r="V25" s="883"/>
      <c r="W25" s="883"/>
      <c r="X25" s="883"/>
      <c r="Y25" s="883"/>
      <c r="Z25" s="883"/>
      <c r="AA25" s="884"/>
      <c r="AB25" s="885"/>
      <c r="AC25" s="886"/>
      <c r="AD25" s="887"/>
    </row>
    <row r="26" spans="1:30" ht="14.1" customHeight="1" x14ac:dyDescent="0.2">
      <c r="A26" s="285"/>
      <c r="B26" s="267"/>
      <c r="C26" s="267"/>
      <c r="D26" s="264" t="s">
        <v>47</v>
      </c>
      <c r="E26" s="267"/>
      <c r="F26" s="266"/>
      <c r="G26" s="266"/>
      <c r="H26" s="827">
        <f>'BESCOM D-22(Current Tariff)'!K27</f>
        <v>198.37220000000002</v>
      </c>
      <c r="I26" s="267"/>
      <c r="J26" s="268"/>
      <c r="K26" s="268"/>
      <c r="L26" s="268"/>
      <c r="M26" s="151" t="s">
        <v>48</v>
      </c>
      <c r="N26" s="271">
        <f>'BESCOM D-22(Current Tariff)'!O27</f>
        <v>6.85</v>
      </c>
      <c r="O26" s="735">
        <v>0</v>
      </c>
      <c r="P26" s="1016">
        <f>N26+O26</f>
        <v>6.85</v>
      </c>
      <c r="Q26" s="1017"/>
      <c r="R26" s="1018">
        <f>H26*P26/10</f>
        <v>135.88495700000001</v>
      </c>
      <c r="S26" s="1091"/>
      <c r="T26" s="881"/>
      <c r="U26" s="882"/>
      <c r="V26" s="883"/>
      <c r="W26" s="883"/>
      <c r="X26" s="883"/>
      <c r="Y26" s="883"/>
      <c r="Z26" s="883"/>
      <c r="AA26" s="884"/>
      <c r="AB26" s="885"/>
      <c r="AC26" s="886"/>
      <c r="AD26" s="887"/>
    </row>
    <row r="27" spans="1:30" ht="14.1" customHeight="1" x14ac:dyDescent="0.2">
      <c r="A27" s="285"/>
      <c r="B27" s="267"/>
      <c r="C27" s="267"/>
      <c r="D27" s="264" t="s">
        <v>306</v>
      </c>
      <c r="E27" s="267"/>
      <c r="F27" s="266"/>
      <c r="G27" s="266"/>
      <c r="H27" s="827">
        <f>'BESCOM D-22(Current Tariff)'!K28</f>
        <v>102.21509090000001</v>
      </c>
      <c r="I27" s="269"/>
      <c r="J27" s="293"/>
      <c r="K27" s="293"/>
      <c r="L27" s="293"/>
      <c r="M27" s="151" t="s">
        <v>428</v>
      </c>
      <c r="N27" s="271">
        <f>'BESCOM D-22(Current Tariff)'!O28</f>
        <v>7.7</v>
      </c>
      <c r="O27" s="735">
        <v>0</v>
      </c>
      <c r="P27" s="1016">
        <f>N27+O27</f>
        <v>7.7</v>
      </c>
      <c r="Q27" s="1017"/>
      <c r="R27" s="1018">
        <f>H27*P27/10</f>
        <v>78.705619992999999</v>
      </c>
      <c r="S27" s="1091"/>
      <c r="T27" s="881"/>
      <c r="U27" s="882"/>
      <c r="V27" s="883"/>
      <c r="W27" s="883"/>
      <c r="X27" s="883"/>
      <c r="Y27" s="883"/>
      <c r="Z27" s="883"/>
      <c r="AA27" s="884"/>
      <c r="AB27" s="885"/>
      <c r="AC27" s="886"/>
      <c r="AD27" s="887"/>
    </row>
    <row r="28" spans="1:30" ht="14.1" customHeight="1" x14ac:dyDescent="0.2">
      <c r="A28" s="285"/>
      <c r="B28" s="267"/>
      <c r="C28" s="267"/>
      <c r="D28" s="264"/>
      <c r="E28" s="267"/>
      <c r="F28" s="266"/>
      <c r="G28" s="266"/>
      <c r="H28" s="827"/>
      <c r="I28" s="269"/>
      <c r="J28" s="293"/>
      <c r="K28" s="293"/>
      <c r="L28" s="293"/>
      <c r="M28" s="268"/>
      <c r="N28" s="268"/>
      <c r="O28" s="738"/>
      <c r="P28" s="1023"/>
      <c r="Q28" s="994"/>
      <c r="R28" s="1018"/>
      <c r="S28" s="1091"/>
      <c r="T28" s="881"/>
      <c r="U28" s="882"/>
      <c r="V28" s="883"/>
      <c r="W28" s="883"/>
      <c r="X28" s="883"/>
      <c r="Y28" s="883"/>
      <c r="Z28" s="883"/>
      <c r="AA28" s="884"/>
      <c r="AB28" s="885"/>
      <c r="AC28" s="886"/>
      <c r="AD28" s="887"/>
    </row>
    <row r="29" spans="1:30" ht="14.1" customHeight="1" thickBot="1" x14ac:dyDescent="0.25">
      <c r="A29" s="287"/>
      <c r="B29" s="288"/>
      <c r="C29" s="288"/>
      <c r="D29" s="274" t="s">
        <v>49</v>
      </c>
      <c r="E29" s="289" t="s">
        <v>39</v>
      </c>
      <c r="F29" s="290">
        <f>SUM(F21:F23)</f>
        <v>2093350</v>
      </c>
      <c r="G29" s="290">
        <f>SUM(G21:G23)</f>
        <v>2539277.6967500001</v>
      </c>
      <c r="H29" s="832">
        <f>SUM(H24:H28)</f>
        <v>762.97</v>
      </c>
      <c r="I29" s="278"/>
      <c r="J29" s="278"/>
      <c r="K29" s="278"/>
      <c r="L29" s="278"/>
      <c r="M29" s="278"/>
      <c r="N29" s="278"/>
      <c r="O29" s="736"/>
      <c r="P29" s="1020"/>
      <c r="Q29" s="974">
        <f>SUM(Q21:Q23)</f>
        <v>300.74509571999999</v>
      </c>
      <c r="R29" s="976">
        <f>SUM(R24:R28)</f>
        <v>435.23551167850007</v>
      </c>
      <c r="S29" s="1091">
        <f>SUM(Q29:R29)</f>
        <v>735.98060739850007</v>
      </c>
      <c r="T29" s="881">
        <f>'BESCOM D-22(Current Tariff)'!R30</f>
        <v>735.98060739850007</v>
      </c>
      <c r="U29" s="882">
        <f>S29-T29</f>
        <v>0</v>
      </c>
      <c r="V29" s="883">
        <f>U29/H29*10</f>
        <v>0</v>
      </c>
      <c r="W29" s="883">
        <f>U29/T29%</f>
        <v>0</v>
      </c>
      <c r="X29" s="883">
        <f>H29*X$4/10</f>
        <v>663.78390000000002</v>
      </c>
      <c r="Y29" s="883">
        <f>(T29-X29)/X29%</f>
        <v>10.876537891096794</v>
      </c>
      <c r="Z29" s="883">
        <f>H29*Z$4/10</f>
        <v>663.78390000000002</v>
      </c>
      <c r="AA29" s="884">
        <f>(S29-Z29)/Z29%</f>
        <v>10.876537891096794</v>
      </c>
      <c r="AB29" s="885">
        <f>(S29-(H29*AB$1/10))/(H29*AB$1/10)*100</f>
        <v>8.0208151906542078</v>
      </c>
      <c r="AC29" s="886"/>
      <c r="AD29" s="887">
        <f>S29/H29*10</f>
        <v>9.6462587965254212</v>
      </c>
    </row>
    <row r="30" spans="1:30" ht="14.1" customHeight="1" thickBot="1" x14ac:dyDescent="0.25">
      <c r="A30" s="250"/>
      <c r="B30" s="251"/>
      <c r="C30" s="251"/>
      <c r="D30" s="295"/>
      <c r="E30" s="251"/>
      <c r="F30" s="296"/>
      <c r="G30" s="296"/>
      <c r="H30" s="823"/>
      <c r="I30" s="255"/>
      <c r="J30" s="255"/>
      <c r="K30" s="255"/>
      <c r="L30" s="255"/>
      <c r="M30" s="255"/>
      <c r="N30" s="255"/>
      <c r="O30" s="732"/>
      <c r="P30" s="187"/>
      <c r="Q30" s="691"/>
      <c r="R30" s="977"/>
      <c r="S30" s="1094"/>
      <c r="T30" s="888"/>
      <c r="U30" s="889"/>
      <c r="V30" s="890"/>
      <c r="W30" s="883"/>
      <c r="X30" s="883"/>
      <c r="Y30" s="883"/>
      <c r="Z30" s="883">
        <f>Z29/H29*10</f>
        <v>8.6999999999999993</v>
      </c>
      <c r="AA30" s="884"/>
      <c r="AB30" s="885"/>
      <c r="AC30" s="886"/>
      <c r="AD30" s="887"/>
    </row>
    <row r="31" spans="1:30" ht="14.1" customHeight="1" x14ac:dyDescent="0.2">
      <c r="A31" s="786" t="s">
        <v>56</v>
      </c>
      <c r="B31" s="787"/>
      <c r="C31" s="787"/>
      <c r="D31" s="787"/>
      <c r="E31" s="787" t="s">
        <v>39</v>
      </c>
      <c r="F31" s="788">
        <f>F29+F18</f>
        <v>9101521</v>
      </c>
      <c r="G31" s="788">
        <f>G29+G18</f>
        <v>17151127.816580001</v>
      </c>
      <c r="H31" s="833">
        <f>H29+H18</f>
        <v>7629.72</v>
      </c>
      <c r="I31" s="787"/>
      <c r="J31" s="789"/>
      <c r="K31" s="789"/>
      <c r="L31" s="789"/>
      <c r="M31" s="789"/>
      <c r="N31" s="789"/>
      <c r="O31" s="789"/>
      <c r="P31" s="978"/>
      <c r="Q31" s="979">
        <f>Q29+Q18</f>
        <v>2201.1893925666</v>
      </c>
      <c r="R31" s="980">
        <f>R29+R18</f>
        <v>4869.7071274284999</v>
      </c>
      <c r="S31" s="1095">
        <f>S29+S18</f>
        <v>7070.8965199950999</v>
      </c>
      <c r="T31" s="874">
        <f>T29+T18</f>
        <v>7070.8965199950999</v>
      </c>
      <c r="U31" s="891">
        <f>U29+U18</f>
        <v>0</v>
      </c>
      <c r="V31" s="892">
        <f>U31/H31*10</f>
        <v>0</v>
      </c>
      <c r="W31" s="893">
        <f>W29+W18</f>
        <v>0</v>
      </c>
      <c r="X31" s="883"/>
      <c r="Y31" s="883"/>
      <c r="Z31" s="883"/>
      <c r="AA31" s="884"/>
      <c r="AB31" s="885"/>
      <c r="AC31" s="886"/>
      <c r="AD31" s="887"/>
    </row>
    <row r="32" spans="1:30" ht="14.1" customHeight="1" thickBot="1" x14ac:dyDescent="0.25">
      <c r="A32" s="790"/>
      <c r="B32" s="791"/>
      <c r="C32" s="791"/>
      <c r="D32" s="792"/>
      <c r="E32" s="792"/>
      <c r="F32" s="793"/>
      <c r="G32" s="793"/>
      <c r="H32" s="834"/>
      <c r="I32" s="792"/>
      <c r="J32" s="794"/>
      <c r="K32" s="794"/>
      <c r="L32" s="794"/>
      <c r="M32" s="794"/>
      <c r="N32" s="794"/>
      <c r="O32" s="795"/>
      <c r="P32" s="1024"/>
      <c r="Q32" s="1025"/>
      <c r="R32" s="1024"/>
      <c r="S32" s="1096"/>
      <c r="T32" s="894"/>
      <c r="U32" s="895"/>
      <c r="V32" s="896"/>
      <c r="W32" s="882"/>
      <c r="X32" s="883"/>
      <c r="Y32" s="883"/>
      <c r="Z32" s="883"/>
      <c r="AA32" s="884"/>
      <c r="AB32" s="885"/>
      <c r="AC32" s="886"/>
      <c r="AD32" s="887"/>
    </row>
    <row r="33" spans="1:30" ht="35.25" customHeight="1" thickBot="1" x14ac:dyDescent="0.25">
      <c r="A33" s="782">
        <v>5</v>
      </c>
      <c r="B33" s="414" t="s">
        <v>57</v>
      </c>
      <c r="C33" s="783" t="s">
        <v>58</v>
      </c>
      <c r="D33" s="307" t="s">
        <v>59</v>
      </c>
      <c r="E33" s="414" t="s">
        <v>39</v>
      </c>
      <c r="F33" s="784">
        <f>'BESCOM D-22(Current Tariff)'!I34</f>
        <v>10016.731199999998</v>
      </c>
      <c r="G33" s="784">
        <f>'BESCOM D-22(Current Tariff)'!J34</f>
        <v>64107.079679999995</v>
      </c>
      <c r="H33" s="835"/>
      <c r="I33" s="717" t="s">
        <v>452</v>
      </c>
      <c r="J33" s="573">
        <v>120</v>
      </c>
      <c r="K33" s="573"/>
      <c r="L33" s="261">
        <f>J33+K33</f>
        <v>120</v>
      </c>
      <c r="M33" s="414"/>
      <c r="N33" s="414"/>
      <c r="O33" s="785"/>
      <c r="P33" s="1026"/>
      <c r="Q33" s="1027">
        <f>(F33*L34*12)/10^7</f>
        <v>1.8030116159999996</v>
      </c>
      <c r="R33" s="1028"/>
      <c r="S33" s="1097"/>
      <c r="T33" s="897"/>
      <c r="U33" s="875"/>
      <c r="V33" s="876"/>
      <c r="W33" s="883"/>
      <c r="X33" s="883"/>
      <c r="Y33" s="883"/>
      <c r="Z33" s="883"/>
      <c r="AA33" s="884"/>
      <c r="AB33" s="885"/>
      <c r="AC33" s="886"/>
      <c r="AD33" s="887"/>
    </row>
    <row r="34" spans="1:30" ht="21" customHeight="1" thickBot="1" x14ac:dyDescent="0.25">
      <c r="A34" s="285"/>
      <c r="B34" s="267"/>
      <c r="C34" s="292" t="s">
        <v>60</v>
      </c>
      <c r="D34" s="264" t="s">
        <v>61</v>
      </c>
      <c r="E34" s="267" t="s">
        <v>39</v>
      </c>
      <c r="F34" s="266">
        <f>'BESCOM D-22(Current Tariff)'!I36</f>
        <v>105.26880000000165</v>
      </c>
      <c r="G34" s="266">
        <f>'BESCOM D-22(Current Tariff)'!J36</f>
        <v>10947.955200000171</v>
      </c>
      <c r="H34" s="827"/>
      <c r="I34" s="815" t="str">
        <f>'BESCOM D-22(Current Tariff)'!L35</f>
        <v>Minimum</v>
      </c>
      <c r="J34" s="261">
        <v>150</v>
      </c>
      <c r="K34" s="573"/>
      <c r="L34" s="261">
        <f>J34+K34</f>
        <v>150</v>
      </c>
      <c r="M34" s="269"/>
      <c r="N34" s="269"/>
      <c r="O34" s="734"/>
      <c r="P34" s="1013"/>
      <c r="Q34" s="1029"/>
      <c r="R34" s="1018"/>
      <c r="S34" s="1091"/>
      <c r="T34" s="881"/>
      <c r="U34" s="882"/>
      <c r="V34" s="883"/>
      <c r="W34" s="883"/>
      <c r="X34" s="883"/>
      <c r="Y34" s="883"/>
      <c r="Z34" s="883"/>
      <c r="AA34" s="884"/>
      <c r="AB34" s="885"/>
      <c r="AC34" s="886"/>
      <c r="AD34" s="887"/>
    </row>
    <row r="35" spans="1:30" ht="33" customHeight="1" thickBot="1" x14ac:dyDescent="0.25">
      <c r="A35" s="285"/>
      <c r="B35" s="267"/>
      <c r="C35" s="1552" t="s">
        <v>377</v>
      </c>
      <c r="D35" s="264"/>
      <c r="E35" s="267"/>
      <c r="F35" s="266"/>
      <c r="G35" s="266"/>
      <c r="H35" s="831"/>
      <c r="I35" s="816" t="s">
        <v>453</v>
      </c>
      <c r="J35" s="817">
        <v>175</v>
      </c>
      <c r="K35" s="817"/>
      <c r="L35" s="261">
        <f>J35+K35</f>
        <v>175</v>
      </c>
      <c r="M35" s="269"/>
      <c r="N35" s="269"/>
      <c r="O35" s="734"/>
      <c r="P35" s="1013"/>
      <c r="Q35" s="994">
        <f>(((F34*L33)+(G34-F34)*L34)*12)/(10^7)</f>
        <v>1.9668422592000305</v>
      </c>
      <c r="R35" s="1018"/>
      <c r="S35" s="1091"/>
      <c r="T35" s="881"/>
      <c r="U35" s="882"/>
      <c r="V35" s="883"/>
      <c r="W35" s="883"/>
      <c r="X35" s="883"/>
      <c r="Y35" s="883"/>
      <c r="Z35" s="883"/>
      <c r="AA35" s="884"/>
      <c r="AB35" s="885"/>
      <c r="AC35" s="886"/>
      <c r="AD35" s="887"/>
    </row>
    <row r="36" spans="1:30" ht="14.1" customHeight="1" thickBot="1" x14ac:dyDescent="0.25">
      <c r="A36" s="285"/>
      <c r="B36" s="267"/>
      <c r="C36" s="1553"/>
      <c r="D36" s="264" t="s">
        <v>309</v>
      </c>
      <c r="E36" s="267"/>
      <c r="F36" s="266"/>
      <c r="G36" s="266"/>
      <c r="H36" s="827">
        <f>'BESCOM D-22(Current Tariff)'!K37</f>
        <v>10.318000000000001</v>
      </c>
      <c r="I36" s="412"/>
      <c r="J36" s="268"/>
      <c r="K36" s="268"/>
      <c r="L36" s="268"/>
      <c r="M36" s="268" t="s">
        <v>307</v>
      </c>
      <c r="N36" s="271">
        <f>'BESCOM D-22(Current Tariff)'!O37</f>
        <v>7.35</v>
      </c>
      <c r="O36" s="738">
        <v>0</v>
      </c>
      <c r="P36" s="1008">
        <f>N36+O36</f>
        <v>7.35</v>
      </c>
      <c r="Q36" s="994"/>
      <c r="R36" s="1018">
        <f>H36*P36/10</f>
        <v>7.583730000000001</v>
      </c>
      <c r="S36" s="1091"/>
      <c r="T36" s="881"/>
      <c r="U36" s="882"/>
      <c r="V36" s="883"/>
      <c r="W36" s="883"/>
      <c r="X36" s="883"/>
      <c r="Y36" s="883"/>
      <c r="Z36" s="883"/>
      <c r="AA36" s="884"/>
      <c r="AB36" s="885"/>
      <c r="AC36" s="886"/>
      <c r="AD36" s="887"/>
    </row>
    <row r="37" spans="1:30" ht="14.1" customHeight="1" thickBot="1" x14ac:dyDescent="0.25">
      <c r="A37" s="285"/>
      <c r="B37" s="267"/>
      <c r="C37" s="267"/>
      <c r="D37" s="264" t="s">
        <v>306</v>
      </c>
      <c r="E37" s="267"/>
      <c r="F37" s="266"/>
      <c r="G37" s="266"/>
      <c r="H37" s="827">
        <f>'BESCOM D-22(Current Tariff)'!K38</f>
        <v>41.272000000000006</v>
      </c>
      <c r="I37" s="269"/>
      <c r="J37" s="293"/>
      <c r="K37" s="293"/>
      <c r="L37" s="293"/>
      <c r="M37" s="268" t="s">
        <v>308</v>
      </c>
      <c r="N37" s="271">
        <f>'BESCOM D-22(Current Tariff)'!O38</f>
        <v>8.6</v>
      </c>
      <c r="O37" s="738">
        <v>0</v>
      </c>
      <c r="P37" s="1008">
        <f>N37+O37</f>
        <v>8.6</v>
      </c>
      <c r="Q37" s="994"/>
      <c r="R37" s="1018">
        <f>H37*P37/10</f>
        <v>35.493920000000003</v>
      </c>
      <c r="S37" s="1091"/>
      <c r="T37" s="881"/>
      <c r="U37" s="882"/>
      <c r="V37" s="883"/>
      <c r="W37" s="883"/>
      <c r="X37" s="883"/>
      <c r="Y37" s="883"/>
      <c r="Z37" s="883"/>
      <c r="AA37" s="884"/>
      <c r="AB37" s="885"/>
      <c r="AC37" s="886"/>
      <c r="AD37" s="887"/>
    </row>
    <row r="38" spans="1:30" ht="14.1" customHeight="1" x14ac:dyDescent="0.2">
      <c r="A38" s="285"/>
      <c r="B38" s="267"/>
      <c r="C38" s="267"/>
      <c r="D38" s="264"/>
      <c r="E38" s="267"/>
      <c r="F38" s="266"/>
      <c r="G38" s="266"/>
      <c r="H38" s="827"/>
      <c r="I38" s="269"/>
      <c r="J38" s="293"/>
      <c r="K38" s="293"/>
      <c r="L38" s="293"/>
      <c r="M38" s="268"/>
      <c r="N38" s="268"/>
      <c r="O38" s="738"/>
      <c r="P38" s="1008"/>
      <c r="Q38" s="994"/>
      <c r="R38" s="1018"/>
      <c r="S38" s="1091"/>
      <c r="T38" s="881"/>
      <c r="U38" s="882"/>
      <c r="V38" s="883"/>
      <c r="W38" s="883"/>
      <c r="X38" s="883"/>
      <c r="Y38" s="883"/>
      <c r="Z38" s="883"/>
      <c r="AA38" s="884"/>
      <c r="AB38" s="885"/>
      <c r="AC38" s="886"/>
      <c r="AD38" s="887"/>
    </row>
    <row r="39" spans="1:30" ht="14.1" customHeight="1" x14ac:dyDescent="0.2">
      <c r="A39" s="285"/>
      <c r="B39" s="267"/>
      <c r="C39" s="267"/>
      <c r="D39" s="264"/>
      <c r="E39" s="267"/>
      <c r="F39" s="266"/>
      <c r="G39" s="266"/>
      <c r="H39" s="827"/>
      <c r="I39" s="269"/>
      <c r="J39" s="293"/>
      <c r="K39" s="293"/>
      <c r="L39" s="293"/>
      <c r="M39" s="268"/>
      <c r="N39" s="269"/>
      <c r="O39" s="738"/>
      <c r="P39" s="1013"/>
      <c r="Q39" s="994"/>
      <c r="R39" s="1018"/>
      <c r="S39" s="1091"/>
      <c r="T39" s="881"/>
      <c r="U39" s="882"/>
      <c r="V39" s="883"/>
      <c r="W39" s="883"/>
      <c r="X39" s="883"/>
      <c r="Y39" s="883"/>
      <c r="Z39" s="883"/>
      <c r="AA39" s="884"/>
      <c r="AB39" s="885"/>
      <c r="AC39" s="886"/>
      <c r="AD39" s="887"/>
    </row>
    <row r="40" spans="1:30" ht="14.1" customHeight="1" thickBot="1" x14ac:dyDescent="0.25">
      <c r="A40" s="287"/>
      <c r="B40" s="288"/>
      <c r="C40" s="288"/>
      <c r="D40" s="274" t="s">
        <v>49</v>
      </c>
      <c r="E40" s="289" t="s">
        <v>39</v>
      </c>
      <c r="F40" s="290">
        <f>SUM(F33:F34)</f>
        <v>10122</v>
      </c>
      <c r="G40" s="290">
        <f>SUM(G33:G34)</f>
        <v>75055.034880000167</v>
      </c>
      <c r="H40" s="832">
        <f>SUM(H36:H39)</f>
        <v>51.59</v>
      </c>
      <c r="I40" s="278"/>
      <c r="J40" s="278"/>
      <c r="K40" s="278"/>
      <c r="L40" s="278"/>
      <c r="M40" s="278"/>
      <c r="N40" s="278"/>
      <c r="O40" s="736"/>
      <c r="P40" s="1020"/>
      <c r="Q40" s="974">
        <f>SUM(Q33:Q35)</f>
        <v>3.7698538752000301</v>
      </c>
      <c r="R40" s="976">
        <f>SUM(R36:R39)</f>
        <v>43.077650000000006</v>
      </c>
      <c r="S40" s="1091">
        <f>SUM(Q40:R40)</f>
        <v>46.847503875200033</v>
      </c>
      <c r="T40" s="881">
        <f>'BESCOM D-22(Current Tariff)'!R40</f>
        <v>46.847503875200033</v>
      </c>
      <c r="U40" s="882">
        <f>S40-T40</f>
        <v>0</v>
      </c>
      <c r="V40" s="883">
        <f>U40/H40*10</f>
        <v>0</v>
      </c>
      <c r="W40" s="883">
        <f>U40/T40%</f>
        <v>0</v>
      </c>
      <c r="X40" s="883">
        <f>H40*X$4/10</f>
        <v>44.883299999999998</v>
      </c>
      <c r="Y40" s="883">
        <f>(T40-X40)/X40%</f>
        <v>4.3762465665404164</v>
      </c>
      <c r="Z40" s="883">
        <f>H40*Z$4/10</f>
        <v>44.883299999999998</v>
      </c>
      <c r="AA40" s="884">
        <f>(S40-Z40)/Z40%</f>
        <v>4.3762465665404164</v>
      </c>
      <c r="AB40" s="885">
        <f>(S40-(H40*AB$1/10))/(H40*AB$1/10)*100</f>
        <v>1.6879445833036459</v>
      </c>
      <c r="AC40" s="886"/>
      <c r="AD40" s="887">
        <f>S40/H40*10</f>
        <v>9.0807334512890154</v>
      </c>
    </row>
    <row r="41" spans="1:30" ht="14.1" customHeight="1" thickBot="1" x14ac:dyDescent="0.25">
      <c r="A41" s="250"/>
      <c r="B41" s="251"/>
      <c r="C41" s="251"/>
      <c r="D41" s="251"/>
      <c r="E41" s="251"/>
      <c r="F41" s="252"/>
      <c r="G41" s="252"/>
      <c r="H41" s="822"/>
      <c r="I41" s="251"/>
      <c r="J41" s="282"/>
      <c r="K41" s="282"/>
      <c r="L41" s="282"/>
      <c r="M41" s="282"/>
      <c r="N41" s="282"/>
      <c r="O41" s="737"/>
      <c r="P41" s="139"/>
      <c r="Q41" s="691"/>
      <c r="R41" s="139"/>
      <c r="S41" s="1091"/>
      <c r="T41" s="881"/>
      <c r="U41" s="882"/>
      <c r="V41" s="883"/>
      <c r="W41" s="883"/>
      <c r="X41" s="883"/>
      <c r="Y41" s="883"/>
      <c r="Z41" s="883"/>
      <c r="AA41" s="884"/>
      <c r="AB41" s="885"/>
      <c r="AC41" s="886"/>
      <c r="AD41" s="887"/>
    </row>
    <row r="42" spans="1:30" ht="25.5" customHeight="1" x14ac:dyDescent="0.2">
      <c r="A42" s="283">
        <v>6</v>
      </c>
      <c r="B42" s="260" t="s">
        <v>64</v>
      </c>
      <c r="C42" s="284" t="s">
        <v>65</v>
      </c>
      <c r="D42" s="255" t="s">
        <v>59</v>
      </c>
      <c r="E42" s="260" t="s">
        <v>39</v>
      </c>
      <c r="F42" s="259">
        <f>'BESCOM D-22(Current Tariff)'!I42</f>
        <v>1749.15</v>
      </c>
      <c r="G42" s="259">
        <f>'BESCOM D-22(Current Tariff)'!J42</f>
        <v>2623.7250000000004</v>
      </c>
      <c r="H42" s="836"/>
      <c r="I42" s="717" t="s">
        <v>452</v>
      </c>
      <c r="J42" s="217">
        <v>110</v>
      </c>
      <c r="K42" s="1144"/>
      <c r="L42" s="580">
        <f>J42+K42</f>
        <v>110</v>
      </c>
      <c r="M42" s="796"/>
      <c r="N42" s="260"/>
      <c r="O42" s="733"/>
      <c r="P42" s="1021"/>
      <c r="Q42" s="1011">
        <f>(F42*L43*12)/(10^7)</f>
        <v>0.28336230000000001</v>
      </c>
      <c r="R42" s="1022"/>
      <c r="S42" s="1093"/>
      <c r="T42" s="881"/>
      <c r="U42" s="882"/>
      <c r="V42" s="883"/>
      <c r="W42" s="883"/>
      <c r="X42" s="883"/>
      <c r="Y42" s="883"/>
      <c r="Z42" s="883"/>
      <c r="AA42" s="884"/>
      <c r="AB42" s="885"/>
      <c r="AC42" s="886"/>
      <c r="AD42" s="887"/>
    </row>
    <row r="43" spans="1:30" ht="26.25" customHeight="1" x14ac:dyDescent="0.2">
      <c r="A43" s="285"/>
      <c r="B43" s="267"/>
      <c r="C43" s="286" t="s">
        <v>53</v>
      </c>
      <c r="D43" s="264" t="s">
        <v>61</v>
      </c>
      <c r="E43" s="267" t="s">
        <v>39</v>
      </c>
      <c r="F43" s="266">
        <f>'BESCOM D-22(Current Tariff)'!I44</f>
        <v>941.84999999999991</v>
      </c>
      <c r="G43" s="266">
        <f>'BESCOM D-22(Current Tariff)'!J44</f>
        <v>4238.3249999999998</v>
      </c>
      <c r="H43" s="827"/>
      <c r="I43" s="815" t="str">
        <f>'BESCOM D-22(Current Tariff)'!L44</f>
        <v>Every additional KW  above 50kW</v>
      </c>
      <c r="J43" s="212">
        <v>135</v>
      </c>
      <c r="K43" s="1145"/>
      <c r="L43" s="580">
        <f>J43+K43</f>
        <v>135</v>
      </c>
      <c r="M43" s="577"/>
      <c r="N43" s="269"/>
      <c r="O43" s="734"/>
      <c r="P43" s="1013"/>
      <c r="Q43" s="994">
        <f>(((F43*L42)+(G43-F43)*L43)*12)/(10^7)</f>
        <v>0.65835315000000005</v>
      </c>
      <c r="R43" s="1018"/>
      <c r="S43" s="1091"/>
      <c r="T43" s="881"/>
      <c r="U43" s="882"/>
      <c r="V43" s="883"/>
      <c r="W43" s="883"/>
      <c r="X43" s="883"/>
      <c r="Y43" s="883"/>
      <c r="Z43" s="883"/>
      <c r="AA43" s="884"/>
      <c r="AB43" s="885"/>
      <c r="AC43" s="886"/>
      <c r="AD43" s="887"/>
    </row>
    <row r="44" spans="1:30" ht="31.5" customHeight="1" thickBot="1" x14ac:dyDescent="0.25">
      <c r="A44" s="285"/>
      <c r="B44" s="267"/>
      <c r="C44" s="286" t="s">
        <v>66</v>
      </c>
      <c r="D44" s="264"/>
      <c r="E44" s="267"/>
      <c r="F44" s="266"/>
      <c r="G44" s="266"/>
      <c r="H44" s="831"/>
      <c r="I44" s="816" t="s">
        <v>453</v>
      </c>
      <c r="J44" s="814">
        <v>165</v>
      </c>
      <c r="K44" s="1146"/>
      <c r="L44" s="580">
        <f>J44+K44</f>
        <v>165</v>
      </c>
      <c r="M44" s="577"/>
      <c r="N44" s="269"/>
      <c r="O44" s="734"/>
      <c r="P44" s="1013"/>
      <c r="R44" s="1018"/>
      <c r="S44" s="1091"/>
      <c r="T44" s="881"/>
      <c r="U44" s="882"/>
      <c r="V44" s="883"/>
      <c r="W44" s="883"/>
      <c r="X44" s="883"/>
      <c r="Y44" s="883"/>
      <c r="Z44" s="883"/>
      <c r="AA44" s="884"/>
      <c r="AB44" s="885"/>
      <c r="AC44" s="886"/>
      <c r="AD44" s="887"/>
    </row>
    <row r="45" spans="1:30" ht="14.1" customHeight="1" thickBot="1" x14ac:dyDescent="0.25">
      <c r="A45" s="285"/>
      <c r="B45" s="267"/>
      <c r="C45" s="267"/>
      <c r="D45" s="264" t="s">
        <v>309</v>
      </c>
      <c r="E45" s="267"/>
      <c r="F45" s="266"/>
      <c r="G45" s="266"/>
      <c r="H45" s="827">
        <f>'BESCOM D-22(Current Tariff)'!K45</f>
        <v>1.1565000000000001</v>
      </c>
      <c r="I45" s="412"/>
      <c r="J45" s="268"/>
      <c r="K45" s="268"/>
      <c r="L45" s="415"/>
      <c r="M45" s="268" t="s">
        <v>307</v>
      </c>
      <c r="N45" s="271">
        <f>'BESCOM D-22(Current Tariff)'!O45</f>
        <v>6.8</v>
      </c>
      <c r="O45" s="738">
        <v>0</v>
      </c>
      <c r="P45" s="1008">
        <f>N45+O45</f>
        <v>6.8</v>
      </c>
      <c r="Q45" s="994"/>
      <c r="R45" s="1018">
        <f>H45*P45/10</f>
        <v>0.78642000000000001</v>
      </c>
      <c r="S45" s="1091"/>
      <c r="T45" s="881"/>
      <c r="U45" s="882"/>
      <c r="V45" s="883"/>
      <c r="W45" s="883"/>
      <c r="X45" s="883"/>
      <c r="Y45" s="883"/>
      <c r="Z45" s="883"/>
      <c r="AA45" s="884"/>
      <c r="AB45" s="885"/>
      <c r="AC45" s="886"/>
      <c r="AD45" s="887"/>
    </row>
    <row r="46" spans="1:30" ht="14.1" customHeight="1" x14ac:dyDescent="0.2">
      <c r="A46" s="285"/>
      <c r="B46" s="267"/>
      <c r="C46" s="267"/>
      <c r="D46" s="264" t="s">
        <v>306</v>
      </c>
      <c r="E46" s="267"/>
      <c r="F46" s="266"/>
      <c r="G46" s="266"/>
      <c r="H46" s="827">
        <f>'BESCOM D-22(Current Tariff)'!K46</f>
        <v>6.5534999999999997</v>
      </c>
      <c r="I46" s="269"/>
      <c r="J46" s="293"/>
      <c r="K46" s="293"/>
      <c r="L46" s="293"/>
      <c r="M46" s="268" t="s">
        <v>308</v>
      </c>
      <c r="N46" s="271">
        <f>'BESCOM D-22(Current Tariff)'!O46</f>
        <v>8.0500000000000007</v>
      </c>
      <c r="O46" s="738">
        <v>0</v>
      </c>
      <c r="P46" s="1008">
        <f>N46+O46</f>
        <v>8.0500000000000007</v>
      </c>
      <c r="Q46" s="994"/>
      <c r="R46" s="1018">
        <f>H46*P46/10</f>
        <v>5.2755675000000002</v>
      </c>
      <c r="S46" s="1091"/>
      <c r="T46" s="881"/>
      <c r="U46" s="882"/>
      <c r="V46" s="883"/>
      <c r="W46" s="883"/>
      <c r="X46" s="883"/>
      <c r="Y46" s="883"/>
      <c r="Z46" s="883"/>
      <c r="AA46" s="884"/>
      <c r="AB46" s="885"/>
      <c r="AC46" s="886"/>
      <c r="AD46" s="887"/>
    </row>
    <row r="47" spans="1:30" ht="14.1" customHeight="1" x14ac:dyDescent="0.2">
      <c r="A47" s="285"/>
      <c r="B47" s="267"/>
      <c r="C47" s="267"/>
      <c r="D47" s="264"/>
      <c r="E47" s="267"/>
      <c r="F47" s="266"/>
      <c r="G47" s="266"/>
      <c r="H47" s="827"/>
      <c r="I47" s="269"/>
      <c r="J47" s="293"/>
      <c r="K47" s="293"/>
      <c r="L47" s="293"/>
      <c r="M47" s="268"/>
      <c r="N47" s="268"/>
      <c r="O47" s="738"/>
      <c r="P47" s="189"/>
      <c r="Q47" s="994"/>
      <c r="R47" s="1018"/>
      <c r="S47" s="1091"/>
      <c r="T47" s="881"/>
      <c r="U47" s="882"/>
      <c r="V47" s="883"/>
      <c r="W47" s="883"/>
      <c r="X47" s="883"/>
      <c r="Y47" s="883"/>
      <c r="Z47" s="883"/>
      <c r="AA47" s="884"/>
      <c r="AB47" s="885"/>
      <c r="AC47" s="886"/>
      <c r="AD47" s="887"/>
    </row>
    <row r="48" spans="1:30" ht="14.1" customHeight="1" x14ac:dyDescent="0.2">
      <c r="A48" s="285"/>
      <c r="B48" s="267"/>
      <c r="C48" s="267"/>
      <c r="D48" s="264"/>
      <c r="E48" s="267"/>
      <c r="F48" s="266"/>
      <c r="G48" s="266"/>
      <c r="H48" s="827"/>
      <c r="I48" s="269"/>
      <c r="J48" s="293"/>
      <c r="K48" s="293"/>
      <c r="L48" s="293"/>
      <c r="M48" s="268"/>
      <c r="N48" s="269"/>
      <c r="O48" s="738"/>
      <c r="P48" s="1013"/>
      <c r="Q48" s="994"/>
      <c r="R48" s="1018"/>
      <c r="S48" s="1091"/>
      <c r="T48" s="881"/>
      <c r="U48" s="882"/>
      <c r="V48" s="883"/>
      <c r="W48" s="883"/>
      <c r="X48" s="883"/>
      <c r="Y48" s="883"/>
      <c r="Z48" s="883"/>
      <c r="AA48" s="884"/>
      <c r="AB48" s="885"/>
      <c r="AC48" s="886"/>
      <c r="AD48" s="887"/>
    </row>
    <row r="49" spans="1:30" ht="14.1" customHeight="1" thickBot="1" x14ac:dyDescent="0.25">
      <c r="A49" s="287"/>
      <c r="B49" s="288"/>
      <c r="C49" s="288"/>
      <c r="D49" s="274" t="s">
        <v>49</v>
      </c>
      <c r="E49" s="289" t="s">
        <v>39</v>
      </c>
      <c r="F49" s="290">
        <f>SUM(F42:F43)</f>
        <v>2691</v>
      </c>
      <c r="G49" s="290">
        <f>SUM(G42:G43)</f>
        <v>6862.05</v>
      </c>
      <c r="H49" s="832">
        <f>SUM(H45:H48)</f>
        <v>7.71</v>
      </c>
      <c r="I49" s="278"/>
      <c r="J49" s="278"/>
      <c r="K49" s="278"/>
      <c r="L49" s="278"/>
      <c r="M49" s="278"/>
      <c r="N49" s="278"/>
      <c r="O49" s="736"/>
      <c r="P49" s="1020"/>
      <c r="Q49" s="974">
        <f>SUM(Q42:Q43)</f>
        <v>0.94171545000000001</v>
      </c>
      <c r="R49" s="976">
        <f>SUM(R45:R48)</f>
        <v>6.0619874999999999</v>
      </c>
      <c r="S49" s="1091">
        <f>SUM(Q49:R49)</f>
        <v>7.0037029500000001</v>
      </c>
      <c r="T49" s="881">
        <f>'BESCOM D-22(Current Tariff)'!R48</f>
        <v>7.0037029500000001</v>
      </c>
      <c r="U49" s="882">
        <f>S49-T49</f>
        <v>0</v>
      </c>
      <c r="V49" s="883">
        <f>U49/H49*10</f>
        <v>0</v>
      </c>
      <c r="W49" s="883">
        <f>U49/T49%</f>
        <v>0</v>
      </c>
      <c r="X49" s="883">
        <f>H49*X$4/10</f>
        <v>6.7077</v>
      </c>
      <c r="Y49" s="883">
        <f>(T49-X49)/X49%</f>
        <v>4.4128829554094562</v>
      </c>
      <c r="Z49" s="883">
        <f>H49*Z$4/10</f>
        <v>6.7077</v>
      </c>
      <c r="AA49" s="884">
        <f>(S49-Z49)/Z49%</f>
        <v>4.4128829554094562</v>
      </c>
      <c r="AB49" s="885">
        <f>(S49-(H49*AB$1/10))/(H49*AB$1/10)*100</f>
        <v>1.7236373697718042</v>
      </c>
      <c r="AC49" s="886"/>
      <c r="AD49" s="887">
        <f>S49/H49*10</f>
        <v>9.0839208171206227</v>
      </c>
    </row>
    <row r="50" spans="1:30" ht="14.1" customHeight="1" x14ac:dyDescent="0.2">
      <c r="A50" s="250"/>
      <c r="B50" s="251"/>
      <c r="C50" s="251"/>
      <c r="D50" s="251"/>
      <c r="E50" s="251"/>
      <c r="F50" s="194"/>
      <c r="G50" s="194"/>
      <c r="H50" s="824"/>
      <c r="I50" s="255"/>
      <c r="J50" s="255"/>
      <c r="K50" s="255"/>
      <c r="L50" s="255"/>
      <c r="M50" s="255"/>
      <c r="N50" s="255"/>
      <c r="O50" s="732"/>
      <c r="P50" s="187"/>
      <c r="Q50" s="691"/>
      <c r="R50" s="139"/>
      <c r="S50" s="1091"/>
      <c r="T50" s="881"/>
      <c r="U50" s="882"/>
      <c r="V50" s="883"/>
      <c r="W50" s="883"/>
      <c r="X50" s="883"/>
      <c r="Y50" s="883"/>
      <c r="Z50" s="883"/>
      <c r="AA50" s="884"/>
      <c r="AB50" s="885"/>
      <c r="AC50" s="886"/>
      <c r="AD50" s="887"/>
    </row>
    <row r="51" spans="1:30" ht="14.1" customHeight="1" x14ac:dyDescent="0.2">
      <c r="A51" s="297" t="s">
        <v>67</v>
      </c>
      <c r="B51" s="298"/>
      <c r="C51" s="298"/>
      <c r="D51" s="298"/>
      <c r="E51" s="298" t="s">
        <v>39</v>
      </c>
      <c r="F51" s="299">
        <f>F49+F40</f>
        <v>12813</v>
      </c>
      <c r="G51" s="299">
        <f>G49+G40</f>
        <v>81917.08488000017</v>
      </c>
      <c r="H51" s="837">
        <f>H49+H40</f>
        <v>59.300000000000004</v>
      </c>
      <c r="I51" s="300"/>
      <c r="J51" s="301"/>
      <c r="K51" s="301"/>
      <c r="L51" s="301"/>
      <c r="M51" s="301"/>
      <c r="N51" s="301"/>
      <c r="O51" s="301"/>
      <c r="P51" s="170"/>
      <c r="Q51" s="981">
        <f>SUM(Q40,Q49)</f>
        <v>4.7115693252000304</v>
      </c>
      <c r="R51" s="171">
        <f>SUM(R40,R49)</f>
        <v>49.139637500000006</v>
      </c>
      <c r="S51" s="1098">
        <f>SUM(S40,S49)</f>
        <v>53.85120682520003</v>
      </c>
      <c r="T51" s="881"/>
      <c r="U51" s="882"/>
      <c r="V51" s="883"/>
      <c r="W51" s="883"/>
      <c r="X51" s="883"/>
      <c r="Y51" s="883"/>
      <c r="Z51" s="883"/>
      <c r="AA51" s="884"/>
      <c r="AB51" s="885"/>
      <c r="AC51" s="886"/>
      <c r="AD51" s="887"/>
    </row>
    <row r="52" spans="1:30" ht="14.1" customHeight="1" thickBot="1" x14ac:dyDescent="0.25">
      <c r="A52" s="303"/>
      <c r="B52" s="304"/>
      <c r="C52" s="304"/>
      <c r="D52" s="304"/>
      <c r="E52" s="304"/>
      <c r="F52" s="306"/>
      <c r="G52" s="306"/>
      <c r="H52" s="838"/>
      <c r="I52" s="307"/>
      <c r="J52" s="307"/>
      <c r="K52" s="307"/>
      <c r="L52" s="307"/>
      <c r="M52" s="307"/>
      <c r="N52" s="307"/>
      <c r="O52" s="740"/>
      <c r="P52" s="1030"/>
      <c r="Q52" s="697"/>
      <c r="R52" s="176"/>
      <c r="S52" s="1091"/>
      <c r="T52" s="881"/>
      <c r="U52" s="882"/>
      <c r="V52" s="883"/>
      <c r="W52" s="883"/>
      <c r="X52" s="883"/>
      <c r="Y52" s="883"/>
      <c r="Z52" s="883"/>
      <c r="AA52" s="884"/>
      <c r="AB52" s="885"/>
      <c r="AC52" s="886"/>
      <c r="AD52" s="887"/>
    </row>
    <row r="53" spans="1:30" ht="14.1" customHeight="1" thickBot="1" x14ac:dyDescent="0.25">
      <c r="A53" s="253" t="s">
        <v>68</v>
      </c>
      <c r="B53" s="254"/>
      <c r="C53" s="254"/>
      <c r="D53" s="254"/>
      <c r="E53" s="254" t="s">
        <v>39</v>
      </c>
      <c r="F53" s="195">
        <f>SUM(F31,F51)</f>
        <v>9114334</v>
      </c>
      <c r="G53" s="195">
        <f>SUM(G31,G51)</f>
        <v>17233044.901460003</v>
      </c>
      <c r="H53" s="823">
        <f>SUM(H31,H51)</f>
        <v>7689.02</v>
      </c>
      <c r="I53" s="254"/>
      <c r="J53" s="308"/>
      <c r="K53" s="308"/>
      <c r="L53" s="308"/>
      <c r="M53" s="308"/>
      <c r="N53" s="308"/>
      <c r="O53" s="741"/>
      <c r="P53" s="143"/>
      <c r="Q53" s="972">
        <f>SUM(Q31,Q51)</f>
        <v>2205.9009618917999</v>
      </c>
      <c r="R53" s="143">
        <f>SUM(R31,R51)</f>
        <v>4918.8467649285003</v>
      </c>
      <c r="S53" s="1092">
        <f>SUM(S31,S51)</f>
        <v>7124.7477268203002</v>
      </c>
      <c r="T53" s="881"/>
      <c r="U53" s="882"/>
      <c r="V53" s="883"/>
      <c r="W53" s="883"/>
      <c r="X53" s="883"/>
      <c r="Y53" s="883"/>
      <c r="Z53" s="883"/>
      <c r="AA53" s="884"/>
      <c r="AB53" s="885"/>
      <c r="AC53" s="886"/>
      <c r="AD53" s="887"/>
    </row>
    <row r="54" spans="1:30" ht="14.1" customHeight="1" thickBot="1" x14ac:dyDescent="0.25">
      <c r="A54" s="309"/>
      <c r="B54" s="295"/>
      <c r="C54" s="295"/>
      <c r="D54" s="251"/>
      <c r="E54" s="251"/>
      <c r="F54" s="194"/>
      <c r="G54" s="194"/>
      <c r="H54" s="824"/>
      <c r="I54" s="255"/>
      <c r="J54" s="255"/>
      <c r="K54" s="255"/>
      <c r="L54" s="255"/>
      <c r="M54" s="255"/>
      <c r="N54" s="255"/>
      <c r="O54" s="732"/>
      <c r="P54" s="187"/>
      <c r="Q54" s="691"/>
      <c r="R54" s="139"/>
      <c r="S54" s="1091"/>
      <c r="T54" s="881"/>
      <c r="U54" s="882"/>
      <c r="V54" s="883"/>
      <c r="W54" s="883"/>
      <c r="X54" s="883"/>
      <c r="Y54" s="883"/>
      <c r="Z54" s="883"/>
      <c r="AA54" s="884"/>
      <c r="AB54" s="885"/>
      <c r="AC54" s="886"/>
      <c r="AD54" s="887"/>
    </row>
    <row r="55" spans="1:30" ht="29.25" customHeight="1" thickBot="1" x14ac:dyDescent="0.25">
      <c r="A55" s="283">
        <v>7</v>
      </c>
      <c r="B55" s="260" t="s">
        <v>69</v>
      </c>
      <c r="C55" s="310" t="s">
        <v>70</v>
      </c>
      <c r="D55" s="255" t="s">
        <v>74</v>
      </c>
      <c r="E55" s="260" t="s">
        <v>39</v>
      </c>
      <c r="F55" s="259">
        <f>'BESCOM D-22(Current Tariff)'!I54</f>
        <v>1095088.2866</v>
      </c>
      <c r="G55" s="259">
        <f>'BESCOM D-22(Current Tariff)'!J54</f>
        <v>2606310.1221079999</v>
      </c>
      <c r="H55" s="836"/>
      <c r="I55" s="717" t="s">
        <v>452</v>
      </c>
      <c r="J55" s="217">
        <v>125</v>
      </c>
      <c r="K55" s="217"/>
      <c r="L55" s="261">
        <f>J55+K55</f>
        <v>125</v>
      </c>
      <c r="M55" s="311"/>
      <c r="N55" s="260"/>
      <c r="O55" s="742"/>
      <c r="P55" s="1021"/>
      <c r="Q55" s="1011">
        <f>(MAX(F55,G55)*$L$55*12)/(10^7)</f>
        <v>390.94651831619996</v>
      </c>
      <c r="R55" s="1022"/>
      <c r="S55" s="1093"/>
      <c r="T55" s="881"/>
      <c r="U55" s="882"/>
      <c r="V55" s="883"/>
      <c r="W55" s="883"/>
      <c r="X55" s="883"/>
      <c r="Y55" s="883"/>
      <c r="Z55" s="883"/>
      <c r="AA55" s="884"/>
      <c r="AB55" s="885"/>
      <c r="AC55" s="886"/>
      <c r="AD55" s="887"/>
    </row>
    <row r="56" spans="1:30" ht="34.5" customHeight="1" thickBot="1" x14ac:dyDescent="0.25">
      <c r="A56" s="285"/>
      <c r="B56" s="267"/>
      <c r="C56" s="312" t="s">
        <v>75</v>
      </c>
      <c r="D56" s="264" t="s">
        <v>44</v>
      </c>
      <c r="E56" s="267" t="s">
        <v>39</v>
      </c>
      <c r="F56" s="266">
        <f>'BESCOM D-22(Current Tariff)'!I55</f>
        <v>1974.7134000000078</v>
      </c>
      <c r="G56" s="266">
        <f>'BESCOM D-22(Current Tariff)'!J55</f>
        <v>142179.36480000056</v>
      </c>
      <c r="H56" s="827"/>
      <c r="I56" s="816" t="s">
        <v>453</v>
      </c>
      <c r="J56" s="608">
        <v>230</v>
      </c>
      <c r="K56" s="608"/>
      <c r="L56" s="261">
        <f>J56+K56</f>
        <v>230</v>
      </c>
      <c r="M56" s="269"/>
      <c r="N56" s="269"/>
      <c r="O56" s="734"/>
      <c r="P56" s="1013"/>
      <c r="Q56" s="151">
        <f>(((F56*L55*50)+(G56-(F56*50))*L56)*12)/10000000</f>
        <v>26.800810264800106</v>
      </c>
      <c r="R56" s="1018"/>
      <c r="S56" s="1091"/>
      <c r="T56" s="881"/>
      <c r="U56" s="882"/>
      <c r="V56" s="883"/>
      <c r="W56" s="883"/>
      <c r="X56" s="883"/>
      <c r="Y56" s="883"/>
      <c r="Z56" s="883"/>
      <c r="AA56" s="884"/>
      <c r="AB56" s="885"/>
      <c r="AC56" s="886"/>
      <c r="AD56" s="887"/>
    </row>
    <row r="57" spans="1:30" ht="21" customHeight="1" thickBot="1" x14ac:dyDescent="0.25">
      <c r="A57" s="285"/>
      <c r="B57" s="267"/>
      <c r="C57" s="267"/>
      <c r="D57" s="264" t="s">
        <v>71</v>
      </c>
      <c r="E57" s="267"/>
      <c r="F57" s="266"/>
      <c r="G57" s="266"/>
      <c r="H57" s="827">
        <f>'BESCOM D-22(Current Tariff)'!K56</f>
        <v>321.84899999999999</v>
      </c>
      <c r="I57" s="816"/>
      <c r="J57" s="269"/>
      <c r="K57" s="269"/>
      <c r="L57" s="269"/>
      <c r="M57" s="268" t="s">
        <v>72</v>
      </c>
      <c r="N57" s="271">
        <f>'BESCOM D-22(Current Tariff)'!O56</f>
        <v>8.4</v>
      </c>
      <c r="O57" s="738">
        <v>0</v>
      </c>
      <c r="P57" s="1008">
        <f>N57+O57</f>
        <v>8.4</v>
      </c>
      <c r="Q57" s="994"/>
      <c r="R57" s="1018">
        <f>H57*P57/10</f>
        <v>270.35316</v>
      </c>
      <c r="S57" s="1091"/>
      <c r="T57" s="881"/>
      <c r="U57" s="882"/>
      <c r="V57" s="883"/>
      <c r="W57" s="883"/>
      <c r="X57" s="883"/>
      <c r="Y57" s="883"/>
      <c r="Z57" s="883"/>
      <c r="AA57" s="884"/>
      <c r="AB57" s="885"/>
      <c r="AC57" s="886"/>
      <c r="AD57" s="887"/>
    </row>
    <row r="58" spans="1:30" ht="14.1" customHeight="1" thickBot="1" x14ac:dyDescent="0.25">
      <c r="A58" s="388"/>
      <c r="B58" s="389"/>
      <c r="C58" s="389"/>
      <c r="D58" s="264" t="s">
        <v>73</v>
      </c>
      <c r="E58" s="389"/>
      <c r="F58" s="390"/>
      <c r="G58" s="390"/>
      <c r="H58" s="839">
        <f>'BESCOM D-22(Current Tariff)'!K57</f>
        <v>1823.8109999999999</v>
      </c>
      <c r="I58" s="389"/>
      <c r="J58" s="391"/>
      <c r="K58" s="391"/>
      <c r="L58" s="391"/>
      <c r="M58" s="391" t="s">
        <v>73</v>
      </c>
      <c r="N58" s="271">
        <f>'BESCOM D-22(Current Tariff)'!O57</f>
        <v>9.4</v>
      </c>
      <c r="O58" s="738">
        <v>0</v>
      </c>
      <c r="P58" s="1008">
        <f>N58+O58</f>
        <v>9.4</v>
      </c>
      <c r="Q58" s="1032"/>
      <c r="R58" s="985">
        <f>H58*P58/10</f>
        <v>1714.3823400000001</v>
      </c>
      <c r="S58" s="1091"/>
      <c r="T58" s="881"/>
      <c r="U58" s="882"/>
      <c r="V58" s="883"/>
      <c r="W58" s="883"/>
      <c r="X58" s="883"/>
      <c r="Y58" s="883"/>
      <c r="Z58" s="883"/>
      <c r="AA58" s="884"/>
      <c r="AB58" s="885"/>
      <c r="AC58" s="886"/>
      <c r="AD58" s="887"/>
    </row>
    <row r="59" spans="1:30" ht="14.1" customHeight="1" thickBot="1" x14ac:dyDescent="0.25">
      <c r="A59" s="392"/>
      <c r="B59" s="393"/>
      <c r="C59" s="393"/>
      <c r="D59" s="394" t="s">
        <v>49</v>
      </c>
      <c r="E59" s="395" t="s">
        <v>39</v>
      </c>
      <c r="F59" s="396">
        <f>SUM(F55:F56)</f>
        <v>1097063</v>
      </c>
      <c r="G59" s="396">
        <f>SUM(G55:G56)</f>
        <v>2748489.4869080004</v>
      </c>
      <c r="H59" s="840">
        <f>SUM(H57:H58)</f>
        <v>2145.66</v>
      </c>
      <c r="I59" s="397"/>
      <c r="J59" s="397"/>
      <c r="K59" s="397"/>
      <c r="L59" s="397"/>
      <c r="M59" s="397"/>
      <c r="N59" s="397"/>
      <c r="O59" s="743"/>
      <c r="P59" s="1033"/>
      <c r="Q59" s="982">
        <f>SUM(Q55:Q56)</f>
        <v>417.74732858100003</v>
      </c>
      <c r="R59" s="983">
        <f>SUM(R57:R58)</f>
        <v>1984.7355000000002</v>
      </c>
      <c r="S59" s="1099">
        <f>SUM(Q59:R59)</f>
        <v>2402.4828285810004</v>
      </c>
      <c r="T59" s="881">
        <f>'BESCOM D-22(Current Tariff)'!R58</f>
        <v>2402.4828285810004</v>
      </c>
      <c r="U59" s="882">
        <f>S59-T59</f>
        <v>0</v>
      </c>
      <c r="V59" s="883">
        <f>U59/H59*10</f>
        <v>0</v>
      </c>
      <c r="W59" s="883">
        <f>U59/T59%</f>
        <v>0</v>
      </c>
      <c r="X59" s="883">
        <f>H59*X$4/10</f>
        <v>1866.7241999999999</v>
      </c>
      <c r="Y59" s="883">
        <f>(T59-X59)/X59%</f>
        <v>28.700470513051716</v>
      </c>
      <c r="Z59" s="883">
        <f>H59*Z$4/10</f>
        <v>1866.7241999999999</v>
      </c>
      <c r="AA59" s="884">
        <f>(S59-Z59)/Z59%</f>
        <v>28.700470513051716</v>
      </c>
      <c r="AB59" s="885">
        <f>(S59-(H59*AB$1/10))/(H59*AB$1/10)*100</f>
        <v>25.385676759636073</v>
      </c>
      <c r="AC59" s="886"/>
      <c r="AD59" s="887">
        <f>S59/H59*10</f>
        <v>11.196940934635499</v>
      </c>
    </row>
    <row r="60" spans="1:30" ht="33.75" customHeight="1" thickBot="1" x14ac:dyDescent="0.25">
      <c r="A60" s="283">
        <v>9</v>
      </c>
      <c r="B60" s="260" t="s">
        <v>76</v>
      </c>
      <c r="C60" s="291" t="s">
        <v>77</v>
      </c>
      <c r="D60" s="255" t="s">
        <v>42</v>
      </c>
      <c r="E60" s="260" t="s">
        <v>39</v>
      </c>
      <c r="F60" s="259">
        <f>'BESCOM D-22(Current Tariff)'!I60</f>
        <v>149449.40100000001</v>
      </c>
      <c r="G60" s="259">
        <f>'BESCOM D-22(Current Tariff)'!J60</f>
        <v>261536.45175000001</v>
      </c>
      <c r="H60" s="836"/>
      <c r="I60" s="717" t="s">
        <v>452</v>
      </c>
      <c r="J60" s="217">
        <v>115</v>
      </c>
      <c r="K60" s="217"/>
      <c r="L60" s="261">
        <f>J60+K60</f>
        <v>115</v>
      </c>
      <c r="M60" s="260"/>
      <c r="N60" s="260"/>
      <c r="O60" s="733"/>
      <c r="P60" s="1021"/>
      <c r="Q60" s="1011">
        <f>(MAX(F60,G60)*$L$60*12)/(10^7)</f>
        <v>36.092030341499999</v>
      </c>
      <c r="R60" s="1022"/>
      <c r="S60" s="1093"/>
      <c r="T60" s="881"/>
      <c r="U60" s="882"/>
      <c r="V60" s="883"/>
      <c r="W60" s="883"/>
      <c r="X60" s="883"/>
      <c r="Y60" s="883"/>
      <c r="Z60" s="883"/>
      <c r="AA60" s="884"/>
      <c r="AB60" s="885"/>
      <c r="AC60" s="886"/>
      <c r="AD60" s="887"/>
    </row>
    <row r="61" spans="1:30" ht="39" customHeight="1" thickBot="1" x14ac:dyDescent="0.25">
      <c r="A61" s="285"/>
      <c r="B61" s="267"/>
      <c r="C61" s="292" t="s">
        <v>78</v>
      </c>
      <c r="D61" s="264" t="s">
        <v>44</v>
      </c>
      <c r="E61" s="267" t="s">
        <v>39</v>
      </c>
      <c r="F61" s="266">
        <f>'BESCOM D-22(Current Tariff)'!I61</f>
        <v>149.59899999998743</v>
      </c>
      <c r="G61" s="266">
        <f>'BESCOM D-22(Current Tariff)'!J61</f>
        <v>11997.839799998992</v>
      </c>
      <c r="H61" s="827"/>
      <c r="I61" s="816" t="s">
        <v>456</v>
      </c>
      <c r="J61" s="608">
        <v>220</v>
      </c>
      <c r="K61" s="608"/>
      <c r="L61" s="261">
        <f>J61+K61</f>
        <v>220</v>
      </c>
      <c r="M61" s="269"/>
      <c r="N61" s="269"/>
      <c r="O61" s="734"/>
      <c r="P61" s="1013"/>
      <c r="Q61" s="151">
        <f>(((F61*L60*50)+(G61-(F61*50))*L61)*12)/10000000</f>
        <v>2.2249560071998129</v>
      </c>
      <c r="R61" s="1018"/>
      <c r="S61" s="1091"/>
      <c r="T61" s="881"/>
      <c r="U61" s="882"/>
      <c r="V61" s="883"/>
      <c r="W61" s="883"/>
      <c r="X61" s="883"/>
      <c r="Y61" s="883"/>
      <c r="Z61" s="883"/>
      <c r="AA61" s="884"/>
      <c r="AB61" s="885"/>
      <c r="AC61" s="886"/>
      <c r="AD61" s="887"/>
    </row>
    <row r="62" spans="1:30" ht="14.1" customHeight="1" thickBot="1" x14ac:dyDescent="0.25">
      <c r="A62" s="285"/>
      <c r="B62" s="267"/>
      <c r="C62" s="292" t="s">
        <v>55</v>
      </c>
      <c r="D62" s="264" t="s">
        <v>71</v>
      </c>
      <c r="E62" s="267"/>
      <c r="F62" s="266"/>
      <c r="G62" s="266"/>
      <c r="H62" s="827">
        <f>'BESCOM D-22(Current Tariff)'!K62</f>
        <v>53.052500000000002</v>
      </c>
      <c r="I62" s="269"/>
      <c r="J62" s="269"/>
      <c r="K62" s="269"/>
      <c r="L62" s="269"/>
      <c r="M62" s="268" t="s">
        <v>72</v>
      </c>
      <c r="N62" s="268">
        <f>'BESCOM D-22(Current Tariff)'!O62</f>
        <v>7.9</v>
      </c>
      <c r="O62" s="738">
        <v>0</v>
      </c>
      <c r="P62" s="1008">
        <f>N62+O62</f>
        <v>7.9</v>
      </c>
      <c r="Q62" s="994"/>
      <c r="R62" s="1018">
        <f>H62*P62/10</f>
        <v>41.911475000000003</v>
      </c>
      <c r="S62" s="1091"/>
      <c r="T62" s="881"/>
      <c r="U62" s="882"/>
      <c r="V62" s="883"/>
      <c r="W62" s="883"/>
      <c r="X62" s="883"/>
      <c r="Y62" s="883"/>
      <c r="Z62" s="883"/>
      <c r="AA62" s="884"/>
      <c r="AB62" s="885"/>
      <c r="AC62" s="886"/>
      <c r="AD62" s="887"/>
    </row>
    <row r="63" spans="1:30" ht="14.1" customHeight="1" thickBot="1" x14ac:dyDescent="0.25">
      <c r="A63" s="388"/>
      <c r="B63" s="389"/>
      <c r="C63" s="389"/>
      <c r="D63" s="264" t="s">
        <v>73</v>
      </c>
      <c r="E63" s="389"/>
      <c r="F63" s="390"/>
      <c r="G63" s="390"/>
      <c r="H63" s="839">
        <f>'BESCOM D-22(Current Tariff)'!K63</f>
        <v>159.1575</v>
      </c>
      <c r="I63" s="389"/>
      <c r="J63" s="391"/>
      <c r="K63" s="391"/>
      <c r="L63" s="391"/>
      <c r="M63" s="391" t="s">
        <v>73</v>
      </c>
      <c r="N63" s="268">
        <f>'BESCOM D-22(Current Tariff)'!O63</f>
        <v>8.9</v>
      </c>
      <c r="O63" s="738">
        <v>0</v>
      </c>
      <c r="P63" s="1008">
        <f>N63+O63</f>
        <v>8.9</v>
      </c>
      <c r="Q63" s="1032"/>
      <c r="R63" s="985">
        <f>H63*P63/10</f>
        <v>141.65017500000002</v>
      </c>
      <c r="S63" s="1091"/>
      <c r="T63" s="881"/>
      <c r="U63" s="882"/>
      <c r="V63" s="883"/>
      <c r="W63" s="883"/>
      <c r="X63" s="883"/>
      <c r="Y63" s="883"/>
      <c r="Z63" s="883"/>
      <c r="AA63" s="884"/>
      <c r="AB63" s="885"/>
      <c r="AC63" s="886"/>
      <c r="AD63" s="887"/>
    </row>
    <row r="64" spans="1:30" ht="14.1" customHeight="1" thickBot="1" x14ac:dyDescent="0.25">
      <c r="A64" s="392"/>
      <c r="B64" s="393"/>
      <c r="C64" s="393"/>
      <c r="D64" s="394" t="s">
        <v>49</v>
      </c>
      <c r="E64" s="395" t="s">
        <v>39</v>
      </c>
      <c r="F64" s="396">
        <f>SUM(F60:F61)</f>
        <v>149599</v>
      </c>
      <c r="G64" s="396">
        <f>SUM(G60:G61)</f>
        <v>273534.29154999898</v>
      </c>
      <c r="H64" s="840">
        <f>SUM(H62:H63)</f>
        <v>212.21</v>
      </c>
      <c r="I64" s="397"/>
      <c r="J64" s="397"/>
      <c r="K64" s="397"/>
      <c r="L64" s="397"/>
      <c r="M64" s="397"/>
      <c r="N64" s="397"/>
      <c r="O64" s="743"/>
      <c r="P64" s="1033"/>
      <c r="Q64" s="982">
        <f>SUM(Q60:Q61)</f>
        <v>38.316986348699814</v>
      </c>
      <c r="R64" s="983">
        <f>SUM(R62:R63)</f>
        <v>183.56165000000001</v>
      </c>
      <c r="S64" s="1100">
        <f>SUM(Q64:R64)</f>
        <v>221.87863634869984</v>
      </c>
      <c r="T64" s="881">
        <f>'BESCOM D-22(Current Tariff)'!R64</f>
        <v>221.87863634869984</v>
      </c>
      <c r="U64" s="882">
        <f>S64-T64</f>
        <v>0</v>
      </c>
      <c r="V64" s="883">
        <f>U64/H64*10</f>
        <v>0</v>
      </c>
      <c r="W64" s="883">
        <f>U64/T64%</f>
        <v>0</v>
      </c>
      <c r="X64" s="883">
        <f>H64*X$4/10</f>
        <v>184.62269999999998</v>
      </c>
      <c r="Y64" s="883">
        <f>(T64-X64)/X64%</f>
        <v>20.179499242888262</v>
      </c>
      <c r="Z64" s="883">
        <f>H64*Z$4/10</f>
        <v>184.62269999999998</v>
      </c>
      <c r="AA64" s="884">
        <f>(S64-Z64)/Z64%-0.005</f>
        <v>20.174499242888263</v>
      </c>
      <c r="AB64" s="885">
        <f>(S64-(H64*AB$1/10))/(H64*AB$1/10)*100</f>
        <v>17.084170594975106</v>
      </c>
      <c r="AC64" s="886"/>
      <c r="AD64" s="887">
        <f>S64/H64*10</f>
        <v>10.455616434131276</v>
      </c>
    </row>
    <row r="65" spans="1:30" ht="14.1" customHeight="1" thickBot="1" x14ac:dyDescent="0.25">
      <c r="A65" s="279"/>
      <c r="B65" s="280"/>
      <c r="C65" s="280"/>
      <c r="D65" s="280"/>
      <c r="E65" s="280"/>
      <c r="F65" s="281"/>
      <c r="G65" s="281"/>
      <c r="H65" s="829"/>
      <c r="I65" s="307"/>
      <c r="J65" s="307"/>
      <c r="K65" s="307"/>
      <c r="L65" s="307"/>
      <c r="M65" s="307"/>
      <c r="N65" s="307"/>
      <c r="O65" s="740"/>
      <c r="P65" s="1030"/>
      <c r="Q65" s="697"/>
      <c r="R65" s="176"/>
      <c r="S65" s="1091"/>
      <c r="T65" s="881"/>
      <c r="U65" s="882"/>
      <c r="V65" s="883"/>
      <c r="W65" s="883"/>
      <c r="X65" s="883"/>
      <c r="Y65" s="883"/>
      <c r="Z65" s="883"/>
      <c r="AA65" s="884"/>
      <c r="AB65" s="885"/>
      <c r="AC65" s="886"/>
      <c r="AD65" s="887"/>
    </row>
    <row r="66" spans="1:30" ht="14.1" customHeight="1" thickBot="1" x14ac:dyDescent="0.25">
      <c r="A66" s="253" t="s">
        <v>79</v>
      </c>
      <c r="B66" s="254"/>
      <c r="C66" s="254"/>
      <c r="D66" s="254"/>
      <c r="E66" s="254" t="s">
        <v>39</v>
      </c>
      <c r="F66" s="195">
        <f>F59+F64</f>
        <v>1246662</v>
      </c>
      <c r="G66" s="195">
        <f>G59+G64</f>
        <v>3022023.7784579992</v>
      </c>
      <c r="H66" s="823">
        <f>H59+H64</f>
        <v>2357.87</v>
      </c>
      <c r="I66" s="254"/>
      <c r="J66" s="308"/>
      <c r="K66" s="308"/>
      <c r="L66" s="308"/>
      <c r="M66" s="308"/>
      <c r="N66" s="308"/>
      <c r="O66" s="741"/>
      <c r="P66" s="143"/>
      <c r="Q66" s="686">
        <f>Q59+Q64</f>
        <v>456.06431492969983</v>
      </c>
      <c r="R66" s="971">
        <f>R59+R64</f>
        <v>2168.2971500000003</v>
      </c>
      <c r="S66" s="1101">
        <f>S59+S64</f>
        <v>2624.3614649297001</v>
      </c>
      <c r="T66" s="881"/>
      <c r="U66" s="882"/>
      <c r="V66" s="883"/>
      <c r="W66" s="883"/>
      <c r="X66" s="883"/>
      <c r="Y66" s="883"/>
      <c r="Z66" s="883"/>
      <c r="AA66" s="884"/>
      <c r="AB66" s="885"/>
      <c r="AC66" s="886"/>
      <c r="AD66" s="887"/>
    </row>
    <row r="67" spans="1:30" ht="14.1" customHeight="1" thickBot="1" x14ac:dyDescent="0.25">
      <c r="A67" s="309"/>
      <c r="B67" s="295"/>
      <c r="C67" s="295"/>
      <c r="D67" s="251"/>
      <c r="E67" s="251"/>
      <c r="F67" s="194"/>
      <c r="G67" s="194"/>
      <c r="H67" s="824"/>
      <c r="I67" s="255"/>
      <c r="J67" s="465"/>
      <c r="K67" s="465"/>
      <c r="L67" s="465"/>
      <c r="M67" s="255"/>
      <c r="N67" s="255"/>
      <c r="O67" s="732"/>
      <c r="P67" s="187"/>
      <c r="Q67" s="691"/>
      <c r="R67" s="139"/>
      <c r="S67" s="1091"/>
      <c r="T67" s="881"/>
      <c r="U67" s="882"/>
      <c r="V67" s="883"/>
      <c r="W67" s="883"/>
      <c r="X67" s="883"/>
      <c r="Y67" s="883"/>
      <c r="Z67" s="883"/>
      <c r="AA67" s="884"/>
      <c r="AB67" s="885"/>
      <c r="AC67" s="886"/>
      <c r="AD67" s="887"/>
    </row>
    <row r="68" spans="1:30" ht="14.1" customHeight="1" thickBot="1" x14ac:dyDescent="0.25">
      <c r="A68" s="309"/>
      <c r="B68" s="295"/>
      <c r="C68" s="295"/>
      <c r="D68" s="251"/>
      <c r="E68" s="251"/>
      <c r="F68" s="194"/>
      <c r="G68" s="194"/>
      <c r="H68" s="824"/>
      <c r="I68" s="255"/>
      <c r="J68" s="255"/>
      <c r="K68" s="255"/>
      <c r="L68" s="255"/>
      <c r="M68" s="255"/>
      <c r="N68" s="255"/>
      <c r="O68" s="732"/>
      <c r="P68" s="187"/>
      <c r="Q68" s="691"/>
      <c r="R68" s="139"/>
      <c r="S68" s="1091"/>
      <c r="T68" s="881"/>
      <c r="U68" s="882"/>
      <c r="V68" s="883"/>
      <c r="W68" s="883"/>
      <c r="X68" s="883"/>
      <c r="Y68" s="883"/>
      <c r="Z68" s="883"/>
      <c r="AA68" s="884"/>
      <c r="AB68" s="885"/>
      <c r="AC68" s="886"/>
      <c r="AD68" s="887"/>
    </row>
    <row r="69" spans="1:30" ht="14.1" customHeight="1" thickBot="1" x14ac:dyDescent="0.25">
      <c r="A69" s="283">
        <v>10</v>
      </c>
      <c r="B69" s="260" t="s">
        <v>80</v>
      </c>
      <c r="C69" s="260" t="s">
        <v>81</v>
      </c>
      <c r="D69" s="255"/>
      <c r="E69" s="260" t="s">
        <v>10</v>
      </c>
      <c r="F69" s="259">
        <f>'BESCOM D-22(Current Tariff)'!I68</f>
        <v>981853</v>
      </c>
      <c r="G69" s="259">
        <f>'BESCOM D-22(Current Tariff)'!J68</f>
        <v>6008940.3600000003</v>
      </c>
      <c r="H69" s="836"/>
      <c r="I69" s="260" t="s">
        <v>82</v>
      </c>
      <c r="J69" s="261">
        <v>0</v>
      </c>
      <c r="K69" s="261"/>
      <c r="L69" s="261">
        <f>J69+K69</f>
        <v>0</v>
      </c>
      <c r="M69" s="260"/>
      <c r="N69" s="260"/>
      <c r="O69" s="738"/>
      <c r="P69" s="1021"/>
      <c r="Q69" s="1034"/>
      <c r="R69" s="1022"/>
      <c r="S69" s="1093"/>
      <c r="T69" s="881"/>
      <c r="U69" s="882"/>
      <c r="V69" s="883"/>
      <c r="W69" s="883"/>
      <c r="X69" s="883"/>
      <c r="Y69" s="883"/>
      <c r="Z69" s="883"/>
      <c r="AA69" s="884"/>
      <c r="AB69" s="885"/>
      <c r="AC69" s="886"/>
      <c r="AD69" s="887"/>
    </row>
    <row r="70" spans="1:30" ht="14.1" customHeight="1" x14ac:dyDescent="0.2">
      <c r="A70" s="285"/>
      <c r="B70" s="267"/>
      <c r="C70" s="267"/>
      <c r="D70" s="264"/>
      <c r="E70" s="267"/>
      <c r="F70" s="266"/>
      <c r="G70" s="266"/>
      <c r="H70" s="827">
        <f>'BESCOM D-22(Current Tariff)'!K69</f>
        <v>7147.62</v>
      </c>
      <c r="I70" s="269"/>
      <c r="J70" s="269"/>
      <c r="K70" s="269"/>
      <c r="L70" s="269"/>
      <c r="M70" s="268"/>
      <c r="N70" s="268">
        <f>'BESCOM D-22(Current Tariff)'!O69</f>
        <v>4.55</v>
      </c>
      <c r="O70" s="744">
        <v>0</v>
      </c>
      <c r="P70" s="1008">
        <f>N70+O70</f>
        <v>4.55</v>
      </c>
      <c r="Q70" s="636"/>
      <c r="R70" s="1018">
        <f>H70*P70/10</f>
        <v>3252.1670999999997</v>
      </c>
      <c r="S70" s="1091"/>
      <c r="T70" s="881"/>
      <c r="U70" s="882"/>
      <c r="V70" s="883"/>
      <c r="W70" s="883"/>
      <c r="X70" s="883"/>
      <c r="Y70" s="883"/>
      <c r="Z70" s="883"/>
      <c r="AA70" s="884"/>
      <c r="AB70" s="885"/>
      <c r="AC70" s="886"/>
      <c r="AD70" s="887"/>
    </row>
    <row r="71" spans="1:30" ht="14.1" customHeight="1" x14ac:dyDescent="0.2">
      <c r="A71" s="388"/>
      <c r="B71" s="389"/>
      <c r="C71" s="389"/>
      <c r="D71" s="274" t="s">
        <v>49</v>
      </c>
      <c r="E71" s="398" t="s">
        <v>10</v>
      </c>
      <c r="F71" s="399">
        <f>F69</f>
        <v>981853</v>
      </c>
      <c r="G71" s="399">
        <f>G69</f>
        <v>6008940.3600000003</v>
      </c>
      <c r="H71" s="841">
        <f>H70</f>
        <v>7147.62</v>
      </c>
      <c r="I71" s="400"/>
      <c r="J71" s="400"/>
      <c r="K71" s="400"/>
      <c r="L71" s="400"/>
      <c r="M71" s="400"/>
      <c r="N71" s="400"/>
      <c r="O71" s="745"/>
      <c r="P71" s="1015"/>
      <c r="Q71" s="984">
        <f>Q69</f>
        <v>0</v>
      </c>
      <c r="R71" s="985">
        <f>R70</f>
        <v>3252.1670999999997</v>
      </c>
      <c r="S71" s="1091">
        <f>SUM(Q71:R71)</f>
        <v>3252.1670999999997</v>
      </c>
      <c r="T71" s="881">
        <f>'BESCOM D-22(Current Tariff)'!R70</f>
        <v>3252.1670999999997</v>
      </c>
      <c r="U71" s="882">
        <f>S71-T71</f>
        <v>0</v>
      </c>
      <c r="V71" s="883">
        <f>U71/H71*10</f>
        <v>0</v>
      </c>
      <c r="W71" s="883">
        <f>U71/T71%</f>
        <v>0</v>
      </c>
      <c r="X71" s="883">
        <f>H71*X$4/10</f>
        <v>6218.4293999999991</v>
      </c>
      <c r="Y71" s="883">
        <f>(T71-X71)/X71%</f>
        <v>-47.701149425287355</v>
      </c>
      <c r="Z71" s="883">
        <f>H71*Z$4/10</f>
        <v>6218.4293999999991</v>
      </c>
      <c r="AA71" s="884">
        <f>(S71-Z71)/Z71%</f>
        <v>-47.701149425287355</v>
      </c>
      <c r="AB71" s="885">
        <f>(S71-(H71*AB$1/10))/(H71*AB$1/10)*100</f>
        <v>-49.048152295632704</v>
      </c>
      <c r="AC71" s="886"/>
      <c r="AD71" s="887">
        <f>S71/H71*10</f>
        <v>4.55</v>
      </c>
    </row>
    <row r="72" spans="1:30" ht="14.1" customHeight="1" thickBot="1" x14ac:dyDescent="0.25">
      <c r="A72" s="406"/>
      <c r="B72" s="407"/>
      <c r="C72" s="407"/>
      <c r="D72" s="408"/>
      <c r="E72" s="408"/>
      <c r="F72" s="409"/>
      <c r="G72" s="409"/>
      <c r="H72" s="842"/>
      <c r="I72" s="410"/>
      <c r="J72" s="410"/>
      <c r="K72" s="410"/>
      <c r="L72" s="410"/>
      <c r="M72" s="410"/>
      <c r="N72" s="410"/>
      <c r="O72" s="746"/>
      <c r="P72" s="1035"/>
      <c r="Q72" s="986"/>
      <c r="R72" s="987"/>
      <c r="S72" s="1100"/>
      <c r="T72" s="881"/>
      <c r="U72" s="882"/>
      <c r="V72" s="883"/>
      <c r="W72" s="883"/>
      <c r="X72" s="883"/>
      <c r="Y72" s="883"/>
      <c r="Z72" s="883"/>
      <c r="AA72" s="884"/>
      <c r="AB72" s="885"/>
      <c r="AC72" s="886"/>
      <c r="AD72" s="887"/>
    </row>
    <row r="73" spans="1:30" ht="14.1" customHeight="1" thickBot="1" x14ac:dyDescent="0.25">
      <c r="A73" s="401" t="s">
        <v>84</v>
      </c>
      <c r="B73" s="402"/>
      <c r="C73" s="402"/>
      <c r="D73" s="394"/>
      <c r="E73" s="394"/>
      <c r="F73" s="403">
        <f>F71</f>
        <v>981853</v>
      </c>
      <c r="G73" s="403">
        <f>G71</f>
        <v>6008940.3600000003</v>
      </c>
      <c r="H73" s="843">
        <f>H71</f>
        <v>7147.62</v>
      </c>
      <c r="I73" s="404"/>
      <c r="J73" s="404"/>
      <c r="K73" s="404"/>
      <c r="L73" s="404"/>
      <c r="M73" s="404"/>
      <c r="N73" s="404"/>
      <c r="O73" s="747"/>
      <c r="P73" s="1036"/>
      <c r="Q73" s="988">
        <f>Q71</f>
        <v>0</v>
      </c>
      <c r="R73" s="983">
        <f>R71</f>
        <v>3252.1670999999997</v>
      </c>
      <c r="S73" s="1100"/>
      <c r="T73" s="881"/>
      <c r="U73" s="882"/>
      <c r="V73" s="883"/>
      <c r="W73" s="883"/>
      <c r="X73" s="883"/>
      <c r="Y73" s="883"/>
      <c r="Z73" s="883"/>
      <c r="AA73" s="884"/>
      <c r="AB73" s="885"/>
      <c r="AC73" s="886"/>
      <c r="AD73" s="887"/>
    </row>
    <row r="74" spans="1:30" ht="14.1" customHeight="1" thickBot="1" x14ac:dyDescent="0.25">
      <c r="A74" s="303"/>
      <c r="B74" s="304"/>
      <c r="C74" s="304"/>
      <c r="D74" s="280"/>
      <c r="E74" s="280"/>
      <c r="F74" s="281"/>
      <c r="G74" s="281"/>
      <c r="H74" s="829"/>
      <c r="I74" s="280"/>
      <c r="J74" s="305"/>
      <c r="K74" s="305"/>
      <c r="L74" s="305"/>
      <c r="M74" s="305"/>
      <c r="N74" s="305"/>
      <c r="O74" s="739"/>
      <c r="P74" s="176"/>
      <c r="Q74" s="990"/>
      <c r="R74" s="176"/>
      <c r="S74" s="1091"/>
      <c r="T74" s="881"/>
      <c r="U74" s="882"/>
      <c r="V74" s="883"/>
      <c r="W74" s="883"/>
      <c r="X74" s="883"/>
      <c r="Y74" s="883"/>
      <c r="Z74" s="883"/>
      <c r="AA74" s="884"/>
      <c r="AB74" s="885"/>
      <c r="AC74" s="886"/>
      <c r="AD74" s="887"/>
    </row>
    <row r="75" spans="1:30" ht="14.1" customHeight="1" x14ac:dyDescent="0.2">
      <c r="A75" s="416">
        <v>12</v>
      </c>
      <c r="B75" s="417" t="s">
        <v>8</v>
      </c>
      <c r="C75" s="417" t="s">
        <v>85</v>
      </c>
      <c r="D75" s="405"/>
      <c r="E75" s="417" t="s">
        <v>10</v>
      </c>
      <c r="F75" s="418">
        <f>'BESCOM D-22(Current Tariff)'!I73</f>
        <v>240</v>
      </c>
      <c r="G75" s="418">
        <f>'BESCOM D-22(Current Tariff)'!J73</f>
        <v>3864.0000000000005</v>
      </c>
      <c r="H75" s="844"/>
      <c r="I75" s="417" t="s">
        <v>82</v>
      </c>
      <c r="J75" s="419">
        <v>110</v>
      </c>
      <c r="K75" s="419"/>
      <c r="L75" s="261">
        <f>J75+K75</f>
        <v>110</v>
      </c>
      <c r="M75" s="417"/>
      <c r="N75" s="417"/>
      <c r="O75" s="748"/>
      <c r="P75" s="1037"/>
      <c r="Q75" s="1038">
        <f>(G75*L75*12)/(10^7)</f>
        <v>0.51004800000000006</v>
      </c>
      <c r="R75" s="1039"/>
      <c r="S75" s="1100"/>
      <c r="T75" s="881"/>
      <c r="U75" s="882"/>
      <c r="V75" s="883"/>
      <c r="W75" s="883"/>
      <c r="X75" s="883"/>
      <c r="Y75" s="883"/>
      <c r="Z75" s="883"/>
      <c r="AA75" s="884"/>
      <c r="AB75" s="885"/>
      <c r="AC75" s="886"/>
      <c r="AD75" s="887"/>
    </row>
    <row r="76" spans="1:30" ht="14.1" customHeight="1" x14ac:dyDescent="0.2">
      <c r="A76" s="411"/>
      <c r="B76" s="412"/>
      <c r="C76" s="412"/>
      <c r="D76" s="280"/>
      <c r="E76" s="412"/>
      <c r="F76" s="413"/>
      <c r="G76" s="413"/>
      <c r="H76" s="845">
        <f>'BESCOM D-22(Current Tariff)'!K74</f>
        <v>1.87</v>
      </c>
      <c r="I76" s="414"/>
      <c r="J76" s="414"/>
      <c r="K76" s="414"/>
      <c r="L76" s="414"/>
      <c r="M76" s="415"/>
      <c r="N76" s="415">
        <f>'BESCOM D-22(Current Tariff)'!O74</f>
        <v>3.9</v>
      </c>
      <c r="O76" s="749">
        <v>0</v>
      </c>
      <c r="P76" s="1019">
        <f>N76+O76</f>
        <v>3.9</v>
      </c>
      <c r="Q76" s="1040"/>
      <c r="R76" s="1041">
        <f>H76*P76/10</f>
        <v>0.72930000000000006</v>
      </c>
      <c r="S76" s="1091"/>
      <c r="T76" s="881"/>
      <c r="U76" s="882"/>
      <c r="V76" s="883"/>
      <c r="W76" s="883"/>
      <c r="X76" s="883"/>
      <c r="Y76" s="883"/>
      <c r="Z76" s="883"/>
      <c r="AA76" s="884"/>
      <c r="AB76" s="885"/>
      <c r="AC76" s="886"/>
      <c r="AD76" s="887"/>
    </row>
    <row r="77" spans="1:30" ht="14.1" customHeight="1" thickBot="1" x14ac:dyDescent="0.25">
      <c r="A77" s="287"/>
      <c r="B77" s="288"/>
      <c r="C77" s="288"/>
      <c r="D77" s="274" t="s">
        <v>49</v>
      </c>
      <c r="E77" s="289" t="s">
        <v>10</v>
      </c>
      <c r="F77" s="277">
        <f>F75</f>
        <v>240</v>
      </c>
      <c r="G77" s="277">
        <f>G75</f>
        <v>3864.0000000000005</v>
      </c>
      <c r="H77" s="828">
        <f>H76</f>
        <v>1.87</v>
      </c>
      <c r="I77" s="278"/>
      <c r="J77" s="278"/>
      <c r="K77" s="278"/>
      <c r="L77" s="278"/>
      <c r="M77" s="278"/>
      <c r="N77" s="278"/>
      <c r="O77" s="736"/>
      <c r="P77" s="1020"/>
      <c r="Q77" s="637">
        <f>Q75</f>
        <v>0.51004800000000006</v>
      </c>
      <c r="R77" s="976">
        <f>R76</f>
        <v>0.72930000000000006</v>
      </c>
      <c r="S77" s="1091">
        <f>SUM(Q77:R77)</f>
        <v>1.2393480000000001</v>
      </c>
      <c r="T77" s="881">
        <f>'BESCOM D-22(Current Tariff)'!R75</f>
        <v>1.2393480000000001</v>
      </c>
      <c r="U77" s="882">
        <f>S77-T77</f>
        <v>0</v>
      </c>
      <c r="V77" s="883">
        <f>U77/H77*10</f>
        <v>0</v>
      </c>
      <c r="W77" s="883">
        <f>U77/T77%</f>
        <v>0</v>
      </c>
      <c r="X77" s="883">
        <f>H77*X$4/10</f>
        <v>1.6268999999999998</v>
      </c>
      <c r="Y77" s="883">
        <f>(T77-X77)/X77%</f>
        <v>-23.821501014198766</v>
      </c>
      <c r="Z77" s="883">
        <f>H77*Z$4/10</f>
        <v>1.6268999999999998</v>
      </c>
      <c r="AA77" s="884">
        <f>(S77-Z77)/Z77%</f>
        <v>-23.821501014198766</v>
      </c>
      <c r="AB77" s="885">
        <f>(S77-(H77*AB$1/10))/(H77*AB$1/10)*100</f>
        <v>-25.783545220999937</v>
      </c>
      <c r="AC77" s="886"/>
      <c r="AD77" s="887">
        <f>S77/H77*10</f>
        <v>6.6275294117647068</v>
      </c>
    </row>
    <row r="78" spans="1:30" ht="14.1" customHeight="1" x14ac:dyDescent="0.2">
      <c r="A78" s="250"/>
      <c r="B78" s="251"/>
      <c r="C78" s="251"/>
      <c r="D78" s="295"/>
      <c r="E78" s="251"/>
      <c r="F78" s="313"/>
      <c r="G78" s="313"/>
      <c r="H78" s="846"/>
      <c r="I78" s="255"/>
      <c r="J78" s="255"/>
      <c r="K78" s="255"/>
      <c r="L78" s="255"/>
      <c r="M78" s="255"/>
      <c r="N78" s="255"/>
      <c r="O78" s="732"/>
      <c r="P78" s="187"/>
      <c r="Q78" s="989"/>
      <c r="R78" s="139"/>
      <c r="S78" s="1091"/>
      <c r="T78" s="881"/>
      <c r="U78" s="882"/>
      <c r="V78" s="883"/>
      <c r="W78" s="883"/>
      <c r="X78" s="883"/>
      <c r="Y78" s="883"/>
      <c r="Z78" s="883"/>
      <c r="AA78" s="884"/>
      <c r="AB78" s="885"/>
      <c r="AC78" s="886"/>
      <c r="AD78" s="887"/>
    </row>
    <row r="79" spans="1:30" ht="14.1" customHeight="1" x14ac:dyDescent="0.2">
      <c r="A79" s="297" t="s">
        <v>86</v>
      </c>
      <c r="B79" s="298"/>
      <c r="C79" s="298"/>
      <c r="D79" s="298"/>
      <c r="E79" s="298" t="s">
        <v>39</v>
      </c>
      <c r="F79" s="299">
        <f>F77</f>
        <v>240</v>
      </c>
      <c r="G79" s="299">
        <f>G77</f>
        <v>3864.0000000000005</v>
      </c>
      <c r="H79" s="837">
        <f>H77</f>
        <v>1.87</v>
      </c>
      <c r="I79" s="298"/>
      <c r="J79" s="302"/>
      <c r="K79" s="302"/>
      <c r="L79" s="302"/>
      <c r="M79" s="302"/>
      <c r="N79" s="302"/>
      <c r="O79" s="302"/>
      <c r="P79" s="171"/>
      <c r="Q79" s="617">
        <f>Q77</f>
        <v>0.51004800000000006</v>
      </c>
      <c r="R79" s="171">
        <f>R77</f>
        <v>0.72930000000000006</v>
      </c>
      <c r="S79" s="1098"/>
      <c r="T79" s="881"/>
      <c r="U79" s="882"/>
      <c r="V79" s="883"/>
      <c r="W79" s="883"/>
      <c r="X79" s="883"/>
      <c r="Y79" s="883"/>
      <c r="Z79" s="883"/>
      <c r="AA79" s="884"/>
      <c r="AB79" s="885"/>
      <c r="AC79" s="886"/>
      <c r="AD79" s="887"/>
    </row>
    <row r="80" spans="1:30" ht="14.1" customHeight="1" thickBot="1" x14ac:dyDescent="0.25">
      <c r="A80" s="303"/>
      <c r="B80" s="304"/>
      <c r="C80" s="304"/>
      <c r="D80" s="304"/>
      <c r="E80" s="304"/>
      <c r="F80" s="306"/>
      <c r="G80" s="306"/>
      <c r="H80" s="838"/>
      <c r="I80" s="307"/>
      <c r="J80" s="307"/>
      <c r="K80" s="307"/>
      <c r="L80" s="307"/>
      <c r="M80" s="307"/>
      <c r="N80" s="307"/>
      <c r="O80" s="740"/>
      <c r="P80" s="1030"/>
      <c r="Q80" s="990"/>
      <c r="R80" s="176"/>
      <c r="S80" s="1091"/>
      <c r="T80" s="881"/>
      <c r="U80" s="882"/>
      <c r="V80" s="883"/>
      <c r="W80" s="883"/>
      <c r="X80" s="883"/>
      <c r="Y80" s="883"/>
      <c r="Z80" s="883"/>
      <c r="AA80" s="884"/>
      <c r="AB80" s="885"/>
      <c r="AC80" s="886"/>
      <c r="AD80" s="887"/>
    </row>
    <row r="81" spans="1:30" ht="14.1" customHeight="1" thickBot="1" x14ac:dyDescent="0.25">
      <c r="A81" s="283">
        <v>13</v>
      </c>
      <c r="B81" s="260" t="s">
        <v>434</v>
      </c>
      <c r="C81" s="255" t="s">
        <v>88</v>
      </c>
      <c r="D81" s="255"/>
      <c r="E81" s="260" t="s">
        <v>10</v>
      </c>
      <c r="F81" s="259">
        <f>'BESCOM D-22(Current Tariff)'!I79</f>
        <v>1964</v>
      </c>
      <c r="G81" s="259">
        <f>'BESCOM D-22(Current Tariff)'!J79</f>
        <v>16694</v>
      </c>
      <c r="H81" s="836"/>
      <c r="I81" s="260" t="s">
        <v>82</v>
      </c>
      <c r="J81" s="261">
        <v>100</v>
      </c>
      <c r="K81" s="261"/>
      <c r="L81" s="261">
        <f>J81+K81</f>
        <v>100</v>
      </c>
      <c r="M81" s="260"/>
      <c r="N81" s="260"/>
      <c r="O81" s="733"/>
      <c r="P81" s="1021"/>
      <c r="Q81" s="1034">
        <f>(G81*L81*12)/(10^7)</f>
        <v>2.0032800000000002</v>
      </c>
      <c r="R81" s="1022"/>
      <c r="S81" s="1093"/>
      <c r="T81" s="881"/>
      <c r="U81" s="882"/>
      <c r="V81" s="883"/>
      <c r="W81" s="883"/>
      <c r="X81" s="883"/>
      <c r="Y81" s="883"/>
      <c r="Z81" s="883"/>
      <c r="AA81" s="884"/>
      <c r="AB81" s="885"/>
      <c r="AC81" s="886"/>
      <c r="AD81" s="887"/>
    </row>
    <row r="82" spans="1:30" ht="14.1" customHeight="1" x14ac:dyDescent="0.2">
      <c r="A82" s="285"/>
      <c r="B82" s="267"/>
      <c r="C82" s="264" t="s">
        <v>184</v>
      </c>
      <c r="D82" s="264"/>
      <c r="E82" s="267"/>
      <c r="F82" s="266"/>
      <c r="G82" s="266"/>
      <c r="H82" s="827">
        <f>'BESCOM D-22(Current Tariff)'!K80</f>
        <v>6.06</v>
      </c>
      <c r="I82" s="269"/>
      <c r="J82" s="269"/>
      <c r="K82" s="269"/>
      <c r="L82" s="269"/>
      <c r="M82" s="268"/>
      <c r="N82" s="268">
        <f>'BESCOM D-22(Current Tariff)'!O80</f>
        <v>3.9</v>
      </c>
      <c r="O82" s="738">
        <v>0</v>
      </c>
      <c r="P82" s="1008">
        <f>N82+O82</f>
        <v>3.9</v>
      </c>
      <c r="Q82" s="636"/>
      <c r="R82" s="1018">
        <f>H82*P82/10</f>
        <v>2.3633999999999995</v>
      </c>
      <c r="S82" s="1091"/>
      <c r="T82" s="881"/>
      <c r="U82" s="882"/>
      <c r="V82" s="883"/>
      <c r="W82" s="883"/>
      <c r="X82" s="883"/>
      <c r="Y82" s="883"/>
      <c r="Z82" s="883"/>
      <c r="AA82" s="884"/>
      <c r="AB82" s="885"/>
      <c r="AC82" s="886"/>
      <c r="AD82" s="887"/>
    </row>
    <row r="83" spans="1:30" ht="14.1" customHeight="1" thickBot="1" x14ac:dyDescent="0.25">
      <c r="A83" s="287"/>
      <c r="B83" s="288"/>
      <c r="C83" s="264" t="s">
        <v>183</v>
      </c>
      <c r="D83" s="274" t="s">
        <v>49</v>
      </c>
      <c r="E83" s="289" t="s">
        <v>10</v>
      </c>
      <c r="F83" s="277">
        <f>F81</f>
        <v>1964</v>
      </c>
      <c r="G83" s="277">
        <f>G81</f>
        <v>16694</v>
      </c>
      <c r="H83" s="828">
        <f>H82</f>
        <v>6.06</v>
      </c>
      <c r="I83" s="278"/>
      <c r="J83" s="278"/>
      <c r="K83" s="278"/>
      <c r="L83" s="278"/>
      <c r="M83" s="278"/>
      <c r="N83" s="278"/>
      <c r="O83" s="736"/>
      <c r="P83" s="1020"/>
      <c r="Q83" s="637">
        <f>Q81</f>
        <v>2.0032800000000002</v>
      </c>
      <c r="R83" s="976">
        <f>R82</f>
        <v>2.3633999999999995</v>
      </c>
      <c r="S83" s="1091">
        <f>SUM(Q83:R83)</f>
        <v>4.3666799999999997</v>
      </c>
      <c r="T83" s="881">
        <f>'BESCOM D-22(Current Tariff)'!R81</f>
        <v>4.3666799999999997</v>
      </c>
      <c r="U83" s="882">
        <f>S83-T83</f>
        <v>0</v>
      </c>
      <c r="V83" s="883">
        <f>U83/H83*10</f>
        <v>0</v>
      </c>
      <c r="W83" s="883">
        <f>U83/T83%</f>
        <v>0</v>
      </c>
      <c r="X83" s="883">
        <f>H83*X$4/10</f>
        <v>5.2721999999999998</v>
      </c>
      <c r="Y83" s="883">
        <f>(T83-X83)/X83%</f>
        <v>-17.175372709684765</v>
      </c>
      <c r="Z83" s="883">
        <f>H83*Z$4/10</f>
        <v>5.2721999999999998</v>
      </c>
      <c r="AA83" s="884">
        <f>(S83-Z83)/Z83%</f>
        <v>-17.175372709684765</v>
      </c>
      <c r="AB83" s="885">
        <f>(S83-(H83*AB$1/10))/(H83*AB$1/10)*100</f>
        <v>-19.308593793309893</v>
      </c>
      <c r="AC83" s="886"/>
      <c r="AD83" s="887">
        <f>S83/H83*10</f>
        <v>7.2057425742574255</v>
      </c>
    </row>
    <row r="84" spans="1:30" ht="14.1" customHeight="1" thickBot="1" x14ac:dyDescent="0.25">
      <c r="A84" s="250"/>
      <c r="B84" s="251"/>
      <c r="C84" s="251"/>
      <c r="D84" s="251"/>
      <c r="E84" s="251"/>
      <c r="F84" s="194"/>
      <c r="G84" s="194"/>
      <c r="H84" s="824"/>
      <c r="I84" s="255"/>
      <c r="J84" s="255"/>
      <c r="K84" s="255"/>
      <c r="L84" s="255"/>
      <c r="M84" s="255"/>
      <c r="N84" s="255"/>
      <c r="O84" s="732"/>
      <c r="P84" s="187"/>
      <c r="Q84" s="989"/>
      <c r="R84" s="139"/>
      <c r="S84" s="1091"/>
      <c r="T84" s="881"/>
      <c r="U84" s="882"/>
      <c r="V84" s="883"/>
      <c r="W84" s="883"/>
      <c r="X84" s="883"/>
      <c r="Y84" s="883"/>
      <c r="Z84" s="883"/>
      <c r="AA84" s="884"/>
      <c r="AB84" s="885"/>
      <c r="AC84" s="886"/>
      <c r="AD84" s="887"/>
    </row>
    <row r="85" spans="1:30" ht="14.1" customHeight="1" x14ac:dyDescent="0.2">
      <c r="A85" s="250"/>
      <c r="B85" s="251"/>
      <c r="C85" s="251"/>
      <c r="D85" s="251"/>
      <c r="E85" s="251"/>
      <c r="F85" s="194"/>
      <c r="G85" s="194"/>
      <c r="H85" s="824"/>
      <c r="I85" s="255"/>
      <c r="J85" s="255"/>
      <c r="K85" s="255"/>
      <c r="L85" s="255"/>
      <c r="M85" s="255"/>
      <c r="N85" s="255"/>
      <c r="O85" s="732"/>
      <c r="P85" s="187"/>
      <c r="Q85" s="989"/>
      <c r="R85" s="139"/>
      <c r="S85" s="1091"/>
      <c r="T85" s="881"/>
      <c r="U85" s="882"/>
      <c r="V85" s="883"/>
      <c r="W85" s="883"/>
      <c r="X85" s="883"/>
      <c r="Y85" s="883"/>
      <c r="Z85" s="883"/>
      <c r="AA85" s="884"/>
      <c r="AB85" s="885"/>
      <c r="AC85" s="886"/>
      <c r="AD85" s="887"/>
    </row>
    <row r="86" spans="1:30" ht="14.1" customHeight="1" x14ac:dyDescent="0.2">
      <c r="A86" s="297" t="s">
        <v>89</v>
      </c>
      <c r="B86" s="298"/>
      <c r="C86" s="298"/>
      <c r="D86" s="298"/>
      <c r="E86" s="298" t="s">
        <v>39</v>
      </c>
      <c r="F86" s="299">
        <f>F83</f>
        <v>1964</v>
      </c>
      <c r="G86" s="299">
        <f t="shared" ref="G86:S86" si="0">G83</f>
        <v>16694</v>
      </c>
      <c r="H86" s="299">
        <f t="shared" si="0"/>
        <v>6.06</v>
      </c>
      <c r="I86" s="299">
        <f t="shared" si="0"/>
        <v>0</v>
      </c>
      <c r="J86" s="299">
        <f t="shared" si="0"/>
        <v>0</v>
      </c>
      <c r="K86" s="299"/>
      <c r="L86" s="299"/>
      <c r="M86" s="299">
        <f t="shared" si="0"/>
        <v>0</v>
      </c>
      <c r="N86" s="299">
        <f t="shared" si="0"/>
        <v>0</v>
      </c>
      <c r="O86" s="299">
        <f t="shared" si="0"/>
        <v>0</v>
      </c>
      <c r="P86" s="114">
        <f t="shared" si="0"/>
        <v>0</v>
      </c>
      <c r="Q86" s="865">
        <f t="shared" si="0"/>
        <v>2.0032800000000002</v>
      </c>
      <c r="R86" s="865">
        <f t="shared" si="0"/>
        <v>2.3633999999999995</v>
      </c>
      <c r="S86" s="1102">
        <f t="shared" si="0"/>
        <v>4.3666799999999997</v>
      </c>
      <c r="T86" s="881">
        <f>'BESCOM D-22(Current Tariff)'!R84</f>
        <v>4.3666799999999997</v>
      </c>
      <c r="U86" s="882">
        <f>S86-T86</f>
        <v>0</v>
      </c>
      <c r="V86" s="883">
        <f>U86/H86*10</f>
        <v>0</v>
      </c>
      <c r="W86" s="883">
        <f>U86/T86%</f>
        <v>0</v>
      </c>
      <c r="X86" s="883">
        <f>H86*X$4/10</f>
        <v>5.2721999999999998</v>
      </c>
      <c r="Y86" s="883">
        <f>(T86-X86)/X86%</f>
        <v>-17.175372709684765</v>
      </c>
      <c r="Z86" s="883">
        <f>H86*Z$4/10</f>
        <v>5.2721999999999998</v>
      </c>
      <c r="AA86" s="884">
        <f>(S86-Z86)/Z86%</f>
        <v>-17.175372709684765</v>
      </c>
      <c r="AB86" s="885">
        <f>(S86-(H86*AB$1/10))/(H86*AB$1/10)*100</f>
        <v>-19.308593793309893</v>
      </c>
      <c r="AC86" s="886"/>
      <c r="AD86" s="887">
        <f>S86/H86*10</f>
        <v>7.2057425742574255</v>
      </c>
    </row>
    <row r="87" spans="1:30" ht="14.1" customHeight="1" thickBot="1" x14ac:dyDescent="0.25">
      <c r="A87" s="303"/>
      <c r="B87" s="304"/>
      <c r="C87" s="304"/>
      <c r="D87" s="304"/>
      <c r="E87" s="304"/>
      <c r="F87" s="306"/>
      <c r="G87" s="306"/>
      <c r="H87" s="838"/>
      <c r="I87" s="307"/>
      <c r="J87" s="307"/>
      <c r="K87" s="307"/>
      <c r="L87" s="307"/>
      <c r="M87" s="307"/>
      <c r="N87" s="307"/>
      <c r="O87" s="740"/>
      <c r="P87" s="1030"/>
      <c r="Q87" s="990"/>
      <c r="R87" s="176"/>
      <c r="S87" s="1091"/>
      <c r="T87" s="881"/>
      <c r="U87" s="882"/>
      <c r="V87" s="883"/>
      <c r="W87" s="883"/>
      <c r="X87" s="883"/>
      <c r="Y87" s="883"/>
      <c r="Z87" s="883"/>
      <c r="AA87" s="884"/>
      <c r="AB87" s="885"/>
      <c r="AC87" s="886"/>
      <c r="AD87" s="887"/>
    </row>
    <row r="88" spans="1:30" ht="14.1" customHeight="1" thickBot="1" x14ac:dyDescent="0.25">
      <c r="A88" s="253" t="s">
        <v>90</v>
      </c>
      <c r="B88" s="254"/>
      <c r="C88" s="254"/>
      <c r="D88" s="254"/>
      <c r="E88" s="254" t="s">
        <v>39</v>
      </c>
      <c r="F88" s="195">
        <f>SUM(F73,F79,F86)</f>
        <v>984057</v>
      </c>
      <c r="G88" s="195">
        <f>SUM(G73,G79,G86)</f>
        <v>6029498.3600000003</v>
      </c>
      <c r="H88" s="823">
        <f>SUM(H73,H79,H86)</f>
        <v>7155.55</v>
      </c>
      <c r="I88" s="254"/>
      <c r="J88" s="308"/>
      <c r="K88" s="308"/>
      <c r="L88" s="308"/>
      <c r="M88" s="308"/>
      <c r="N88" s="308"/>
      <c r="O88" s="741"/>
      <c r="P88" s="143"/>
      <c r="Q88" s="686">
        <f>SUM(Q73,Q79,Q86)</f>
        <v>2.5133280000000005</v>
      </c>
      <c r="R88" s="971">
        <f>SUM(R73,R79,R86)</f>
        <v>3255.2597999999998</v>
      </c>
      <c r="S88" s="1101">
        <f>S86+S77+S71</f>
        <v>3257.7731279999998</v>
      </c>
      <c r="T88" s="881"/>
      <c r="U88" s="882"/>
      <c r="V88" s="883"/>
      <c r="W88" s="883"/>
      <c r="X88" s="883"/>
      <c r="Y88" s="883"/>
      <c r="Z88" s="883"/>
      <c r="AA88" s="884"/>
      <c r="AB88" s="885"/>
      <c r="AC88" s="886"/>
      <c r="AD88" s="887"/>
    </row>
    <row r="89" spans="1:30" ht="14.1" customHeight="1" thickBot="1" x14ac:dyDescent="0.25">
      <c r="A89" s="309"/>
      <c r="B89" s="295"/>
      <c r="C89" s="295"/>
      <c r="D89" s="295"/>
      <c r="E89" s="295"/>
      <c r="F89" s="313"/>
      <c r="G89" s="313"/>
      <c r="H89" s="846"/>
      <c r="I89" s="251"/>
      <c r="J89" s="282"/>
      <c r="K89" s="282"/>
      <c r="L89" s="1139"/>
      <c r="M89" s="797"/>
      <c r="N89" s="255"/>
      <c r="O89" s="732"/>
      <c r="P89" s="187"/>
      <c r="Q89" s="691"/>
      <c r="R89" s="139"/>
      <c r="S89" s="1091"/>
      <c r="T89" s="881"/>
      <c r="U89" s="882"/>
      <c r="V89" s="883"/>
      <c r="W89" s="883"/>
      <c r="X89" s="883"/>
      <c r="Y89" s="883"/>
      <c r="Z89" s="883"/>
      <c r="AA89" s="884"/>
      <c r="AB89" s="885"/>
      <c r="AC89" s="886"/>
      <c r="AD89" s="887"/>
    </row>
    <row r="90" spans="1:30" ht="14.1" customHeight="1" x14ac:dyDescent="0.2">
      <c r="A90" s="283">
        <v>14</v>
      </c>
      <c r="B90" s="260" t="s">
        <v>9</v>
      </c>
      <c r="C90" s="260" t="s">
        <v>91</v>
      </c>
      <c r="D90" s="78" t="s">
        <v>92</v>
      </c>
      <c r="E90" s="260" t="s">
        <v>10</v>
      </c>
      <c r="F90" s="574">
        <f>'BESCOM D-22(Current Tariff)'!I88</f>
        <v>30614.432499999999</v>
      </c>
      <c r="G90" s="574">
        <f>'BESCOM D-22(Current Tariff)'!J88</f>
        <v>122457.73</v>
      </c>
      <c r="H90" s="836"/>
      <c r="I90" s="260" t="s">
        <v>82</v>
      </c>
      <c r="J90" s="579">
        <v>90</v>
      </c>
      <c r="K90" s="1136"/>
      <c r="L90" s="580">
        <f>J90+K90</f>
        <v>90</v>
      </c>
      <c r="M90" s="1138"/>
      <c r="N90" s="261"/>
      <c r="O90" s="750"/>
      <c r="P90" s="1010"/>
      <c r="Q90" s="1011">
        <f>(MAX(F90,G90)*L90*12)/(10^7)</f>
        <v>13.225434839999998</v>
      </c>
      <c r="R90" s="1022"/>
      <c r="S90" s="1093"/>
      <c r="T90" s="881"/>
      <c r="U90" s="882"/>
      <c r="V90" s="883"/>
      <c r="W90" s="883"/>
      <c r="X90" s="883"/>
      <c r="Y90" s="883"/>
      <c r="Z90" s="883"/>
      <c r="AA90" s="884"/>
      <c r="AB90" s="885"/>
      <c r="AC90" s="886"/>
      <c r="AD90" s="887"/>
    </row>
    <row r="91" spans="1:30" ht="14.1" customHeight="1" x14ac:dyDescent="0.2">
      <c r="A91" s="285"/>
      <c r="B91" s="267"/>
      <c r="C91" s="267" t="s">
        <v>93</v>
      </c>
      <c r="D91" s="147" t="s">
        <v>94</v>
      </c>
      <c r="E91" s="267" t="s">
        <v>10</v>
      </c>
      <c r="F91" s="575">
        <f>'BESCOM D-22(Current Tariff)'!I89</f>
        <v>71810.164000000004</v>
      </c>
      <c r="G91" s="575">
        <f>'BESCOM D-22(Current Tariff)'!J89</f>
        <v>1256677.8700000001</v>
      </c>
      <c r="H91" s="827"/>
      <c r="I91" s="578" t="s">
        <v>82</v>
      </c>
      <c r="J91" s="580">
        <v>100</v>
      </c>
      <c r="K91" s="580"/>
      <c r="L91" s="580">
        <f>J91+K91</f>
        <v>100</v>
      </c>
      <c r="M91" s="577"/>
      <c r="N91" s="269"/>
      <c r="O91" s="734"/>
      <c r="P91" s="1013"/>
      <c r="Q91" s="994">
        <f>(G91*L91)*12/10000000</f>
        <v>150.80134440000003</v>
      </c>
      <c r="R91" s="1018"/>
      <c r="S91" s="1091"/>
      <c r="T91" s="881"/>
      <c r="U91" s="882"/>
      <c r="V91" s="883"/>
      <c r="W91" s="883"/>
      <c r="X91" s="883"/>
      <c r="Y91" s="883"/>
      <c r="Z91" s="883"/>
      <c r="AA91" s="884"/>
      <c r="AB91" s="885"/>
      <c r="AC91" s="886"/>
      <c r="AD91" s="887"/>
    </row>
    <row r="92" spans="1:30" ht="14.1" customHeight="1" x14ac:dyDescent="0.2">
      <c r="A92" s="285"/>
      <c r="B92" s="267"/>
      <c r="C92" s="267"/>
      <c r="D92" s="147" t="s">
        <v>95</v>
      </c>
      <c r="E92" s="267" t="s">
        <v>10</v>
      </c>
      <c r="F92" s="575">
        <f>'BESCOM D-22(Current Tariff)'!I90</f>
        <v>15396.3845</v>
      </c>
      <c r="G92" s="575">
        <f>'BESCOM D-22(Current Tariff)'!J90</f>
        <v>862197.53200000001</v>
      </c>
      <c r="H92" s="827"/>
      <c r="I92" s="578" t="s">
        <v>82</v>
      </c>
      <c r="J92" s="580">
        <v>125</v>
      </c>
      <c r="K92" s="580"/>
      <c r="L92" s="580">
        <f>J92+K92</f>
        <v>125</v>
      </c>
      <c r="M92" s="577"/>
      <c r="N92" s="269"/>
      <c r="O92" s="734"/>
      <c r="P92" s="1013"/>
      <c r="Q92" s="994">
        <f>G92*L92*12/(10^7)</f>
        <v>129.32962979999999</v>
      </c>
      <c r="R92" s="1018"/>
      <c r="S92" s="1091"/>
      <c r="T92" s="881"/>
      <c r="U92" s="882"/>
      <c r="V92" s="883"/>
      <c r="W92" s="883"/>
      <c r="X92" s="883"/>
      <c r="Y92" s="883"/>
      <c r="Z92" s="883"/>
      <c r="AA92" s="884"/>
      <c r="AB92" s="885"/>
      <c r="AC92" s="886"/>
      <c r="AD92" s="887"/>
    </row>
    <row r="93" spans="1:30" ht="14.1" customHeight="1" x14ac:dyDescent="0.2">
      <c r="A93" s="285"/>
      <c r="B93" s="267"/>
      <c r="C93" s="267"/>
      <c r="D93" s="147" t="s">
        <v>420</v>
      </c>
      <c r="E93" s="267" t="s">
        <v>10</v>
      </c>
      <c r="F93" s="575">
        <f>'BESCOM D-22(Current Tariff)'!I91</f>
        <v>951.12800000000004</v>
      </c>
      <c r="G93" s="575">
        <f>'BESCOM D-22(Current Tariff)'!J91</f>
        <v>90357.16</v>
      </c>
      <c r="H93" s="827"/>
      <c r="I93" s="578" t="s">
        <v>82</v>
      </c>
      <c r="J93" s="580">
        <v>190</v>
      </c>
      <c r="K93" s="580"/>
      <c r="L93" s="580">
        <f>J93+K93</f>
        <v>190</v>
      </c>
      <c r="M93" s="577"/>
      <c r="N93" s="269"/>
      <c r="O93" s="734"/>
      <c r="P93" s="1013"/>
      <c r="Q93" s="994">
        <f>G93*L93*12/(10^7)</f>
        <v>20.60143248</v>
      </c>
      <c r="R93" s="1018"/>
      <c r="S93" s="1091"/>
      <c r="T93" s="881"/>
      <c r="U93" s="882"/>
      <c r="V93" s="883"/>
      <c r="W93" s="883"/>
      <c r="X93" s="883"/>
      <c r="Y93" s="883"/>
      <c r="Z93" s="883"/>
      <c r="AA93" s="884"/>
      <c r="AB93" s="885"/>
      <c r="AC93" s="886"/>
      <c r="AD93" s="887"/>
    </row>
    <row r="94" spans="1:30" ht="14.1" customHeight="1" x14ac:dyDescent="0.2">
      <c r="A94" s="285"/>
      <c r="B94" s="267"/>
      <c r="C94" s="267"/>
      <c r="D94" s="642" t="s">
        <v>446</v>
      </c>
      <c r="E94" s="267" t="s">
        <v>10</v>
      </c>
      <c r="F94" s="575">
        <f>'BESCOM D-22(Current Tariff)'!I92</f>
        <v>118.89100000000001</v>
      </c>
      <c r="G94" s="575">
        <f>'BESCOM D-22(Current Tariff)'!J92</f>
        <v>17239.195</v>
      </c>
      <c r="H94" s="827"/>
      <c r="I94" s="267" t="s">
        <v>82</v>
      </c>
      <c r="J94" s="573">
        <v>225</v>
      </c>
      <c r="K94" s="1137"/>
      <c r="L94" s="580">
        <f>J94+K94</f>
        <v>225</v>
      </c>
      <c r="M94" s="577"/>
      <c r="N94" s="269"/>
      <c r="O94" s="734"/>
      <c r="P94" s="1013"/>
      <c r="Q94" s="994">
        <f>G94*L94*12/(10^7)</f>
        <v>4.65458265</v>
      </c>
      <c r="R94" s="1018"/>
      <c r="S94" s="1091"/>
      <c r="T94" s="881"/>
      <c r="U94" s="882"/>
      <c r="V94" s="883"/>
      <c r="W94" s="883"/>
      <c r="X94" s="883"/>
      <c r="Y94" s="883"/>
      <c r="Z94" s="883"/>
      <c r="AA94" s="884"/>
      <c r="AB94" s="885"/>
      <c r="AC94" s="886"/>
      <c r="AD94" s="887"/>
    </row>
    <row r="95" spans="1:30" ht="14.1" customHeight="1" thickBot="1" x14ac:dyDescent="0.25">
      <c r="A95" s="285"/>
      <c r="B95" s="267"/>
      <c r="C95" s="267"/>
      <c r="D95" s="147" t="s">
        <v>97</v>
      </c>
      <c r="E95" s="267"/>
      <c r="F95" s="266"/>
      <c r="G95" s="266"/>
      <c r="H95" s="827"/>
      <c r="I95" s="267"/>
      <c r="J95" s="269"/>
      <c r="K95" s="269"/>
      <c r="L95" s="414"/>
      <c r="M95" s="269"/>
      <c r="N95" s="269"/>
      <c r="O95" s="734"/>
      <c r="P95" s="1013"/>
      <c r="Q95" s="994"/>
      <c r="R95" s="1018"/>
      <c r="S95" s="1091"/>
      <c r="T95" s="881"/>
      <c r="U95" s="882"/>
      <c r="V95" s="883"/>
      <c r="W95" s="883"/>
      <c r="X95" s="883"/>
      <c r="Y95" s="883"/>
      <c r="Z95" s="883"/>
      <c r="AA95" s="884"/>
      <c r="AB95" s="885"/>
      <c r="AC95" s="886"/>
      <c r="AD95" s="887"/>
    </row>
    <row r="96" spans="1:30" ht="14.1" customHeight="1" thickBot="1" x14ac:dyDescent="0.25">
      <c r="A96" s="285"/>
      <c r="B96" s="267"/>
      <c r="C96" s="267"/>
      <c r="D96" s="147" t="s">
        <v>311</v>
      </c>
      <c r="E96" s="267"/>
      <c r="F96" s="266"/>
      <c r="G96" s="266"/>
      <c r="H96" s="827">
        <f>'BESCOM D-22(Current Tariff)'!K93</f>
        <v>178.04</v>
      </c>
      <c r="I96" s="269"/>
      <c r="J96" s="269"/>
      <c r="K96" s="269"/>
      <c r="L96" s="269"/>
      <c r="M96" s="268" t="s">
        <v>98</v>
      </c>
      <c r="N96" s="268">
        <f>'BESCOM D-22(Current Tariff)'!O93</f>
        <v>6.05</v>
      </c>
      <c r="O96" s="738">
        <v>0</v>
      </c>
      <c r="P96" s="1008">
        <f>N96+O96</f>
        <v>6.05</v>
      </c>
      <c r="Q96" s="994"/>
      <c r="R96" s="1018">
        <f>H96*P96/10</f>
        <v>107.71419999999998</v>
      </c>
      <c r="S96" s="1091"/>
      <c r="T96" s="881"/>
      <c r="U96" s="882"/>
      <c r="V96" s="883"/>
      <c r="W96" s="883"/>
      <c r="X96" s="883"/>
      <c r="Y96" s="883"/>
      <c r="Z96" s="883"/>
      <c r="AA96" s="884"/>
      <c r="AB96" s="885"/>
      <c r="AC96" s="886"/>
      <c r="AD96" s="887"/>
    </row>
    <row r="97" spans="1:30" ht="14.1" customHeight="1" x14ac:dyDescent="0.2">
      <c r="A97" s="285"/>
      <c r="B97" s="267"/>
      <c r="C97" s="267"/>
      <c r="D97" s="264" t="s">
        <v>311</v>
      </c>
      <c r="E97" s="267"/>
      <c r="F97" s="266"/>
      <c r="G97" s="266"/>
      <c r="H97" s="827">
        <f>'BESCOM D-22(Current Tariff)'!K94</f>
        <v>712.16000000000008</v>
      </c>
      <c r="I97" s="269"/>
      <c r="J97" s="269"/>
      <c r="K97" s="269"/>
      <c r="L97" s="269"/>
      <c r="M97" s="268" t="s">
        <v>310</v>
      </c>
      <c r="N97" s="268">
        <f>'BESCOM D-22(Current Tariff)'!O94</f>
        <v>7.35</v>
      </c>
      <c r="O97" s="738">
        <v>0</v>
      </c>
      <c r="P97" s="1008">
        <f>N97+O97</f>
        <v>7.35</v>
      </c>
      <c r="Q97" s="994"/>
      <c r="R97" s="1018">
        <f>H97*P97/10</f>
        <v>523.43759999999997</v>
      </c>
      <c r="S97" s="1091"/>
      <c r="T97" s="881"/>
      <c r="U97" s="882"/>
      <c r="V97" s="883"/>
      <c r="W97" s="883"/>
      <c r="X97" s="883"/>
      <c r="Y97" s="883"/>
      <c r="Z97" s="883"/>
      <c r="AA97" s="884"/>
      <c r="AB97" s="885"/>
      <c r="AC97" s="886"/>
      <c r="AD97" s="887"/>
    </row>
    <row r="98" spans="1:30" ht="14.1" customHeight="1" x14ac:dyDescent="0.2">
      <c r="A98" s="285"/>
      <c r="B98" s="267"/>
      <c r="C98" s="267"/>
      <c r="D98" s="264"/>
      <c r="E98" s="267"/>
      <c r="F98" s="266"/>
      <c r="G98" s="266"/>
      <c r="H98" s="827"/>
      <c r="I98" s="269"/>
      <c r="J98" s="269"/>
      <c r="K98" s="269"/>
      <c r="L98" s="269"/>
      <c r="M98" s="268"/>
      <c r="N98" s="268"/>
      <c r="O98" s="738"/>
      <c r="P98" s="189"/>
      <c r="Q98" s="994"/>
      <c r="R98" s="1018"/>
      <c r="S98" s="1091"/>
      <c r="T98" s="881"/>
      <c r="U98" s="882"/>
      <c r="V98" s="883"/>
      <c r="W98" s="883"/>
      <c r="X98" s="883"/>
      <c r="Y98" s="898"/>
      <c r="Z98" s="898"/>
      <c r="AA98" s="899"/>
      <c r="AB98" s="900"/>
      <c r="AC98" s="901"/>
      <c r="AD98" s="887"/>
    </row>
    <row r="99" spans="1:30" ht="14.1" customHeight="1" thickBot="1" x14ac:dyDescent="0.25">
      <c r="A99" s="287"/>
      <c r="B99" s="288"/>
      <c r="C99" s="288"/>
      <c r="D99" s="274" t="s">
        <v>49</v>
      </c>
      <c r="E99" s="289" t="s">
        <v>10</v>
      </c>
      <c r="F99" s="277">
        <f>SUM(F90:F94)</f>
        <v>118891</v>
      </c>
      <c r="G99" s="277">
        <f>SUM(G90:G94)</f>
        <v>2348929.4870000002</v>
      </c>
      <c r="H99" s="828">
        <f>SUM(H96:H98)</f>
        <v>890.2</v>
      </c>
      <c r="I99" s="400"/>
      <c r="J99" s="400"/>
      <c r="K99" s="400"/>
      <c r="L99" s="400"/>
      <c r="M99" s="278"/>
      <c r="N99" s="278"/>
      <c r="O99" s="736"/>
      <c r="P99" s="1020"/>
      <c r="Q99" s="974">
        <f>SUM(Q90:Q94)</f>
        <v>318.61242417</v>
      </c>
      <c r="R99" s="976">
        <f>SUM(R96:R98)</f>
        <v>631.15179999999998</v>
      </c>
      <c r="S99" s="1091">
        <f>SUM(Q99:R99)</f>
        <v>949.76422417000003</v>
      </c>
      <c r="T99" s="881">
        <f>'BESCOM D-22(Current Tariff)'!R96</f>
        <v>949.76422417000003</v>
      </c>
      <c r="U99" s="902">
        <f>S99-T99</f>
        <v>0</v>
      </c>
      <c r="V99" s="883">
        <f>U99/H99*10</f>
        <v>0</v>
      </c>
      <c r="W99" s="883">
        <f>U99/T99%</f>
        <v>0</v>
      </c>
      <c r="X99" s="883">
        <f>H99*X$4/10</f>
        <v>774.47399999999993</v>
      </c>
      <c r="Y99" s="898">
        <f>(T99-X99)/X99%</f>
        <v>22.633454986222922</v>
      </c>
      <c r="Z99" s="898">
        <f>H99*Z$4/10</f>
        <v>774.47399999999993</v>
      </c>
      <c r="AA99" s="899">
        <f>(S99-Z99)/Z99%</f>
        <v>22.633454986222922</v>
      </c>
      <c r="AB99" s="900">
        <f>(S99-(H99*AB$1/10))/(H99*AB$1/10)*100</f>
        <v>19.47492255096746</v>
      </c>
      <c r="AC99" s="901"/>
      <c r="AD99" s="887">
        <f>S99/H99*10</f>
        <v>10.669110583801393</v>
      </c>
    </row>
    <row r="100" spans="1:30" ht="14.1" customHeight="1" thickBot="1" x14ac:dyDescent="0.25">
      <c r="A100" s="250"/>
      <c r="B100" s="251"/>
      <c r="C100" s="251"/>
      <c r="D100" s="251"/>
      <c r="E100" s="251"/>
      <c r="F100" s="194"/>
      <c r="G100" s="194"/>
      <c r="H100" s="824"/>
      <c r="I100" s="1141"/>
      <c r="J100" s="1133"/>
      <c r="K100" s="1133"/>
      <c r="L100" s="1131"/>
      <c r="M100" s="797"/>
      <c r="N100" s="255"/>
      <c r="O100" s="732"/>
      <c r="P100" s="187"/>
      <c r="Q100" s="691"/>
      <c r="R100" s="139"/>
      <c r="S100" s="1091"/>
      <c r="T100" s="881"/>
      <c r="U100" s="902"/>
      <c r="V100" s="883"/>
      <c r="W100" s="883"/>
      <c r="X100" s="883"/>
      <c r="Y100" s="898"/>
      <c r="Z100" s="898"/>
      <c r="AA100" s="899"/>
      <c r="AB100" s="900"/>
      <c r="AC100" s="901"/>
      <c r="AD100" s="887"/>
    </row>
    <row r="101" spans="1:30" ht="14.1" customHeight="1" x14ac:dyDescent="0.2">
      <c r="A101" s="283">
        <v>15</v>
      </c>
      <c r="B101" s="260" t="s">
        <v>11</v>
      </c>
      <c r="C101" s="260" t="s">
        <v>103</v>
      </c>
      <c r="D101" s="78" t="s">
        <v>92</v>
      </c>
      <c r="E101" s="260" t="s">
        <v>10</v>
      </c>
      <c r="F101" s="574">
        <f>'BESCOM D-22(Current Tariff)'!I98</f>
        <v>57304.979999999996</v>
      </c>
      <c r="G101" s="574">
        <f>'BESCOM D-22(Current Tariff)'!J98</f>
        <v>200567.43</v>
      </c>
      <c r="H101" s="836"/>
      <c r="I101" s="1140" t="s">
        <v>82</v>
      </c>
      <c r="J101" s="1134">
        <v>80</v>
      </c>
      <c r="K101" s="1134"/>
      <c r="L101" s="580">
        <f>J101+K101</f>
        <v>80</v>
      </c>
      <c r="M101" s="796"/>
      <c r="N101" s="260"/>
      <c r="O101" s="733"/>
      <c r="P101" s="1021"/>
      <c r="Q101" s="1011">
        <f>(MAX(F101,G101)*L101*12)/(10^7)</f>
        <v>19.254473279999999</v>
      </c>
      <c r="R101" s="1022"/>
      <c r="S101" s="1093"/>
      <c r="T101" s="881"/>
      <c r="U101" s="902"/>
      <c r="V101" s="883"/>
      <c r="W101" s="883"/>
      <c r="X101" s="883"/>
      <c r="Y101" s="898"/>
      <c r="Z101" s="898"/>
      <c r="AA101" s="899"/>
      <c r="AB101" s="900"/>
      <c r="AC101" s="901"/>
      <c r="AD101" s="887"/>
    </row>
    <row r="102" spans="1:30" ht="14.1" customHeight="1" x14ac:dyDescent="0.2">
      <c r="A102" s="285"/>
      <c r="B102" s="267"/>
      <c r="C102" s="267" t="s">
        <v>104</v>
      </c>
      <c r="D102" s="147" t="s">
        <v>94</v>
      </c>
      <c r="E102" s="267" t="s">
        <v>10</v>
      </c>
      <c r="F102" s="575">
        <f>'BESCOM D-22(Current Tariff)'!I99</f>
        <v>54927.18</v>
      </c>
      <c r="G102" s="575">
        <f>'BESCOM D-22(Current Tariff)'!J99</f>
        <v>825639.00471360004</v>
      </c>
      <c r="H102" s="827"/>
      <c r="I102" s="576" t="s">
        <v>82</v>
      </c>
      <c r="J102" s="1134">
        <v>95</v>
      </c>
      <c r="K102" s="1134"/>
      <c r="L102" s="580">
        <f>J102+K102</f>
        <v>95</v>
      </c>
      <c r="M102" s="577"/>
      <c r="N102" s="269"/>
      <c r="O102" s="734"/>
      <c r="P102" s="1013"/>
      <c r="Q102" s="994">
        <f>G102*L102*12/(10^7)</f>
        <v>94.122846537350412</v>
      </c>
      <c r="R102" s="1018"/>
      <c r="S102" s="1091"/>
      <c r="T102" s="881"/>
      <c r="U102" s="902"/>
      <c r="V102" s="883"/>
      <c r="W102" s="883"/>
      <c r="X102" s="883"/>
      <c r="Y102" s="898"/>
      <c r="Z102" s="898"/>
      <c r="AA102" s="899"/>
      <c r="AB102" s="900"/>
      <c r="AC102" s="901"/>
      <c r="AD102" s="887"/>
    </row>
    <row r="103" spans="1:30" ht="14.1" customHeight="1" x14ac:dyDescent="0.2">
      <c r="A103" s="285"/>
      <c r="B103" s="267"/>
      <c r="C103" s="314" t="s">
        <v>9</v>
      </c>
      <c r="D103" s="147" t="s">
        <v>95</v>
      </c>
      <c r="E103" s="267" t="s">
        <v>10</v>
      </c>
      <c r="F103" s="575">
        <f>'BESCOM D-22(Current Tariff)'!I100</f>
        <v>6182.28</v>
      </c>
      <c r="G103" s="575">
        <f>'BESCOM D-22(Current Tariff)'!J100</f>
        <v>370936.8</v>
      </c>
      <c r="H103" s="827"/>
      <c r="I103" s="576" t="s">
        <v>82</v>
      </c>
      <c r="J103" s="1134">
        <v>120</v>
      </c>
      <c r="K103" s="1134"/>
      <c r="L103" s="580">
        <f>J103+K103</f>
        <v>120</v>
      </c>
      <c r="M103" s="577"/>
      <c r="N103" s="269"/>
      <c r="O103" s="734"/>
      <c r="P103" s="1013"/>
      <c r="Q103" s="994">
        <f>G103*L103*12/(10^7)</f>
        <v>53.414899200000001</v>
      </c>
      <c r="R103" s="1018"/>
      <c r="S103" s="1091"/>
      <c r="T103" s="881"/>
      <c r="U103" s="902"/>
      <c r="V103" s="883"/>
      <c r="W103" s="883"/>
      <c r="X103" s="883"/>
      <c r="Y103" s="898"/>
      <c r="Z103" s="898"/>
      <c r="AA103" s="899"/>
      <c r="AB103" s="900"/>
      <c r="AC103" s="901"/>
      <c r="AD103" s="887"/>
    </row>
    <row r="104" spans="1:30" ht="14.1" customHeight="1" x14ac:dyDescent="0.2">
      <c r="A104" s="285"/>
      <c r="B104" s="267"/>
      <c r="C104" s="267"/>
      <c r="D104" s="147" t="s">
        <v>420</v>
      </c>
      <c r="E104" s="267" t="s">
        <v>10</v>
      </c>
      <c r="F104" s="575">
        <f>'BESCOM D-22(Current Tariff)'!I101</f>
        <v>405.56000000000404</v>
      </c>
      <c r="G104" s="575">
        <f>'BESCOM D-22(Current Tariff)'!J101</f>
        <v>37311.520000000368</v>
      </c>
      <c r="H104" s="827"/>
      <c r="I104" s="576" t="s">
        <v>82</v>
      </c>
      <c r="J104" s="1134">
        <v>175</v>
      </c>
      <c r="K104" s="1134"/>
      <c r="L104" s="580">
        <f>J104+K104</f>
        <v>175</v>
      </c>
      <c r="M104" s="577"/>
      <c r="N104" s="269"/>
      <c r="O104" s="734"/>
      <c r="P104" s="1013"/>
      <c r="Q104" s="994">
        <f>G104*L104*12/(10^7)</f>
        <v>7.8354192000000777</v>
      </c>
      <c r="R104" s="1018"/>
      <c r="S104" s="1091"/>
      <c r="T104" s="881"/>
      <c r="U104" s="902"/>
      <c r="V104" s="883"/>
      <c r="W104" s="883"/>
      <c r="X104" s="883"/>
      <c r="Y104" s="898"/>
      <c r="Z104" s="898"/>
      <c r="AA104" s="899"/>
      <c r="AB104" s="900"/>
      <c r="AC104" s="901"/>
      <c r="AD104" s="887"/>
    </row>
    <row r="105" spans="1:30" ht="14.1" customHeight="1" x14ac:dyDescent="0.2">
      <c r="A105" s="285"/>
      <c r="B105" s="267"/>
      <c r="C105" s="267"/>
      <c r="D105" s="642" t="s">
        <v>446</v>
      </c>
      <c r="E105" s="267" t="s">
        <v>10</v>
      </c>
      <c r="F105" s="575">
        <f>'BESCOM D-22(Current Tariff)'!I102</f>
        <v>70</v>
      </c>
      <c r="G105" s="575">
        <f>'BESCOM D-22(Current Tariff)'!J102</f>
        <v>11550</v>
      </c>
      <c r="H105" s="827"/>
      <c r="I105" s="576" t="s">
        <v>82</v>
      </c>
      <c r="J105" s="1135">
        <v>210</v>
      </c>
      <c r="K105" s="1135"/>
      <c r="L105" s="580">
        <f>J105+K105</f>
        <v>210</v>
      </c>
      <c r="M105" s="577"/>
      <c r="N105" s="269"/>
      <c r="O105" s="734"/>
      <c r="P105" s="1013"/>
      <c r="Q105" s="994">
        <f>G105*L105*12/(10^7)</f>
        <v>2.9106000000000001</v>
      </c>
      <c r="R105" s="1018"/>
      <c r="S105" s="1091"/>
      <c r="T105" s="881"/>
      <c r="U105" s="902"/>
      <c r="V105" s="883"/>
      <c r="W105" s="883"/>
      <c r="X105" s="883"/>
      <c r="Y105" s="898"/>
      <c r="Z105" s="898"/>
      <c r="AA105" s="899"/>
      <c r="AB105" s="900"/>
      <c r="AC105" s="901"/>
      <c r="AD105" s="887"/>
    </row>
    <row r="106" spans="1:30" ht="14.1" customHeight="1" thickBot="1" x14ac:dyDescent="0.25">
      <c r="A106" s="285"/>
      <c r="B106" s="267"/>
      <c r="C106" s="267"/>
      <c r="D106" s="264"/>
      <c r="E106" s="267"/>
      <c r="F106" s="266"/>
      <c r="G106" s="266"/>
      <c r="H106" s="827"/>
      <c r="I106" s="1132"/>
      <c r="J106" s="448"/>
      <c r="K106" s="448"/>
      <c r="L106" s="448"/>
      <c r="M106" s="577"/>
      <c r="N106" s="269"/>
      <c r="O106" s="734"/>
      <c r="P106" s="1013"/>
      <c r="Q106" s="994"/>
      <c r="R106" s="1018"/>
      <c r="S106" s="1091"/>
      <c r="T106" s="881"/>
      <c r="U106" s="902"/>
      <c r="V106" s="883"/>
      <c r="W106" s="883"/>
      <c r="X106" s="883"/>
      <c r="Y106" s="898"/>
      <c r="Z106" s="898"/>
      <c r="AA106" s="899"/>
      <c r="AB106" s="900"/>
      <c r="AC106" s="901"/>
      <c r="AD106" s="887"/>
    </row>
    <row r="107" spans="1:30" ht="14.1" customHeight="1" thickBot="1" x14ac:dyDescent="0.25">
      <c r="A107" s="285"/>
      <c r="B107" s="267"/>
      <c r="C107" s="267"/>
      <c r="D107" s="264" t="s">
        <v>97</v>
      </c>
      <c r="E107" s="267"/>
      <c r="F107" s="266"/>
      <c r="G107" s="266"/>
      <c r="H107" s="827">
        <f>'BESCOM D-22(Current Tariff)'!K103</f>
        <v>79.623699999999999</v>
      </c>
      <c r="I107" s="1132"/>
      <c r="J107" s="448"/>
      <c r="K107" s="448"/>
      <c r="L107" s="448"/>
      <c r="M107" s="817" t="s">
        <v>98</v>
      </c>
      <c r="N107" s="268">
        <f>'BESCOM D-22(Current Tariff)'!O103</f>
        <v>5.75</v>
      </c>
      <c r="O107" s="738">
        <v>0</v>
      </c>
      <c r="P107" s="1008">
        <f>N107+O107</f>
        <v>5.75</v>
      </c>
      <c r="Q107" s="994"/>
      <c r="R107" s="1018">
        <f>H107*P107/10</f>
        <v>45.783627500000001</v>
      </c>
      <c r="S107" s="1091"/>
      <c r="T107" s="881"/>
      <c r="U107" s="902"/>
      <c r="V107" s="883"/>
      <c r="W107" s="883"/>
      <c r="X107" s="883"/>
      <c r="Y107" s="898"/>
      <c r="Z107" s="898"/>
      <c r="AA107" s="899"/>
      <c r="AB107" s="900"/>
      <c r="AC107" s="901"/>
      <c r="AD107" s="887"/>
    </row>
    <row r="108" spans="1:30" ht="14.1" customHeight="1" thickBot="1" x14ac:dyDescent="0.25">
      <c r="A108" s="285"/>
      <c r="B108" s="267"/>
      <c r="C108" s="267"/>
      <c r="D108" s="264" t="s">
        <v>99</v>
      </c>
      <c r="E108" s="267"/>
      <c r="F108" s="266"/>
      <c r="G108" s="266"/>
      <c r="H108" s="827">
        <f>'BESCOM D-22(Current Tariff)'!K104</f>
        <v>41.5428</v>
      </c>
      <c r="I108" s="269"/>
      <c r="J108" s="414"/>
      <c r="K108" s="414"/>
      <c r="L108" s="414"/>
      <c r="M108" s="268" t="s">
        <v>100</v>
      </c>
      <c r="N108" s="268">
        <f>'BESCOM D-22(Current Tariff)'!O104</f>
        <v>6.7</v>
      </c>
      <c r="O108" s="738">
        <v>0</v>
      </c>
      <c r="P108" s="1008">
        <f>N108+O108</f>
        <v>6.7</v>
      </c>
      <c r="Q108" s="994"/>
      <c r="R108" s="1018">
        <f>H108*P108/10</f>
        <v>27.833676000000004</v>
      </c>
      <c r="S108" s="1091"/>
      <c r="T108" s="881"/>
      <c r="U108" s="902"/>
      <c r="V108" s="883"/>
      <c r="W108" s="883"/>
      <c r="X108" s="883"/>
      <c r="Y108" s="898"/>
      <c r="Z108" s="898"/>
      <c r="AA108" s="899"/>
      <c r="AB108" s="900"/>
      <c r="AC108" s="901"/>
      <c r="AD108" s="887"/>
    </row>
    <row r="109" spans="1:30" ht="14.1" customHeight="1" x14ac:dyDescent="0.2">
      <c r="A109" s="285"/>
      <c r="B109" s="267"/>
      <c r="C109" s="267"/>
      <c r="D109" s="264" t="s">
        <v>101</v>
      </c>
      <c r="E109" s="267"/>
      <c r="F109" s="266"/>
      <c r="G109" s="266"/>
      <c r="H109" s="827">
        <f>'BESCOM D-22(Current Tariff)'!K105</f>
        <v>225.02350000000001</v>
      </c>
      <c r="I109" s="269"/>
      <c r="J109" s="269"/>
      <c r="K109" s="269"/>
      <c r="L109" s="269"/>
      <c r="M109" s="268" t="s">
        <v>102</v>
      </c>
      <c r="N109" s="268">
        <f>'BESCOM D-22(Current Tariff)'!O105</f>
        <v>7</v>
      </c>
      <c r="O109" s="738">
        <v>0</v>
      </c>
      <c r="P109" s="1008">
        <f>N109+O109</f>
        <v>7</v>
      </c>
      <c r="Q109" s="994"/>
      <c r="R109" s="1018">
        <f>H109*P109/10</f>
        <v>157.51645000000002</v>
      </c>
      <c r="S109" s="1091"/>
      <c r="T109" s="881"/>
      <c r="U109" s="902"/>
      <c r="V109" s="883"/>
      <c r="W109" s="883"/>
      <c r="X109" s="883"/>
      <c r="Y109" s="898"/>
      <c r="Z109" s="898"/>
      <c r="AA109" s="899"/>
      <c r="AB109" s="900"/>
      <c r="AC109" s="901"/>
      <c r="AD109" s="887"/>
    </row>
    <row r="110" spans="1:30" ht="14.1" customHeight="1" thickBot="1" x14ac:dyDescent="0.25">
      <c r="A110" s="287"/>
      <c r="B110" s="288"/>
      <c r="C110" s="288"/>
      <c r="D110" s="274" t="s">
        <v>49</v>
      </c>
      <c r="E110" s="289" t="s">
        <v>10</v>
      </c>
      <c r="F110" s="277">
        <f>SUM(F101:F109)</f>
        <v>118890</v>
      </c>
      <c r="G110" s="277">
        <f>SUM(G101:G105)</f>
        <v>1446004.7547136005</v>
      </c>
      <c r="H110" s="828">
        <f>SUM(H107:H109)</f>
        <v>346.19</v>
      </c>
      <c r="I110" s="278"/>
      <c r="J110" s="278"/>
      <c r="K110" s="278"/>
      <c r="L110" s="278"/>
      <c r="M110" s="315"/>
      <c r="N110" s="315"/>
      <c r="O110" s="751"/>
      <c r="P110" s="159"/>
      <c r="Q110" s="974">
        <f>SUM(Q101:Q105)</f>
        <v>177.53823821735048</v>
      </c>
      <c r="R110" s="976">
        <f>SUM(R107:R109)</f>
        <v>231.13375350000001</v>
      </c>
      <c r="S110" s="1091">
        <f>SUM(Q110:R110)</f>
        <v>408.67199171735047</v>
      </c>
      <c r="T110" s="881">
        <f>'BESCOM D-22(Current Tariff)'!R106</f>
        <v>408.67199171735047</v>
      </c>
      <c r="U110" s="902">
        <f>S110-T110</f>
        <v>0</v>
      </c>
      <c r="V110" s="883">
        <f>U110/H110*10</f>
        <v>0</v>
      </c>
      <c r="W110" s="883">
        <f>U110/T110%</f>
        <v>0</v>
      </c>
      <c r="X110" s="883">
        <f>H110*X$4/10</f>
        <v>301.18529999999998</v>
      </c>
      <c r="Y110" s="898">
        <f>(T110-X110)/X110%</f>
        <v>35.687894368467013</v>
      </c>
      <c r="Z110" s="898">
        <f>H110*Z$4/10</f>
        <v>301.18529999999998</v>
      </c>
      <c r="AA110" s="903">
        <f>(S110-Z110)/Z110%</f>
        <v>35.687894368467013</v>
      </c>
      <c r="AB110" s="900">
        <f>(S110-(H110*AB$1/10))/(H110*AB$1/10)*100</f>
        <v>32.19313337129487</v>
      </c>
      <c r="AC110" s="901"/>
      <c r="AD110" s="887">
        <f>S110/H110*10</f>
        <v>11.804846810056631</v>
      </c>
    </row>
    <row r="111" spans="1:30" ht="14.1" customHeight="1" thickBot="1" x14ac:dyDescent="0.25">
      <c r="A111" s="250"/>
      <c r="B111" s="251"/>
      <c r="C111" s="251"/>
      <c r="D111" s="251"/>
      <c r="E111" s="251"/>
      <c r="F111" s="194"/>
      <c r="G111" s="194"/>
      <c r="H111" s="824"/>
      <c r="I111" s="255"/>
      <c r="J111" s="255"/>
      <c r="K111" s="255"/>
      <c r="L111" s="255"/>
      <c r="M111" s="255"/>
      <c r="N111" s="255"/>
      <c r="O111" s="732"/>
      <c r="P111" s="187"/>
      <c r="Q111" s="691"/>
      <c r="R111" s="139"/>
      <c r="S111" s="1091"/>
      <c r="T111" s="881"/>
      <c r="U111" s="902"/>
      <c r="V111" s="883"/>
      <c r="W111" s="883"/>
      <c r="X111" s="883"/>
      <c r="Y111" s="883"/>
      <c r="Z111" s="883"/>
      <c r="AA111" s="884"/>
      <c r="AB111" s="885"/>
      <c r="AC111" s="886"/>
      <c r="AD111" s="887"/>
    </row>
    <row r="112" spans="1:30" ht="14.1" customHeight="1" thickBot="1" x14ac:dyDescent="0.25">
      <c r="A112" s="253" t="s">
        <v>105</v>
      </c>
      <c r="B112" s="254"/>
      <c r="C112" s="254"/>
      <c r="D112" s="254"/>
      <c r="E112" s="254" t="s">
        <v>39</v>
      </c>
      <c r="F112" s="195">
        <f>'BESCOM D-22(Current Tariff)'!I108</f>
        <v>237781</v>
      </c>
      <c r="G112" s="195">
        <f>(G110+G99)</f>
        <v>3794934.2417136007</v>
      </c>
      <c r="H112" s="823">
        <f>H110+H99</f>
        <v>1236.3900000000001</v>
      </c>
      <c r="I112" s="254"/>
      <c r="J112" s="308"/>
      <c r="K112" s="308"/>
      <c r="L112" s="308"/>
      <c r="M112" s="308"/>
      <c r="N112" s="308"/>
      <c r="O112" s="741"/>
      <c r="P112" s="143"/>
      <c r="Q112" s="972">
        <f>SUM(Q99,Q110)</f>
        <v>496.15066238735051</v>
      </c>
      <c r="R112" s="143">
        <f>SUM(R99,R110)</f>
        <v>862.28555349999999</v>
      </c>
      <c r="S112" s="1092">
        <f>SUM(S99,S110)</f>
        <v>1358.4362158873505</v>
      </c>
      <c r="T112" s="881"/>
      <c r="U112" s="882"/>
      <c r="V112" s="883"/>
      <c r="W112" s="883"/>
      <c r="X112" s="883"/>
      <c r="Y112" s="883"/>
      <c r="Z112" s="883"/>
      <c r="AA112" s="884"/>
      <c r="AB112" s="885"/>
      <c r="AC112" s="886"/>
      <c r="AD112" s="887"/>
    </row>
    <row r="113" spans="1:31" ht="14.1" customHeight="1" thickBot="1" x14ac:dyDescent="0.25">
      <c r="A113" s="250"/>
      <c r="B113" s="251"/>
      <c r="C113" s="251"/>
      <c r="D113" s="251"/>
      <c r="E113" s="251"/>
      <c r="F113" s="194"/>
      <c r="G113" s="194"/>
      <c r="H113" s="824"/>
      <c r="I113" s="255"/>
      <c r="J113" s="255"/>
      <c r="K113" s="255"/>
      <c r="L113" s="255"/>
      <c r="M113" s="255"/>
      <c r="N113" s="255"/>
      <c r="O113" s="732"/>
      <c r="P113" s="187"/>
      <c r="Q113" s="691"/>
      <c r="R113" s="139"/>
      <c r="S113" s="1091"/>
      <c r="T113" s="881"/>
      <c r="U113" s="882"/>
      <c r="V113" s="883"/>
      <c r="W113" s="883"/>
      <c r="X113" s="883"/>
      <c r="Y113" s="883"/>
      <c r="Z113" s="883"/>
      <c r="AA113" s="884"/>
      <c r="AB113" s="885"/>
      <c r="AC113" s="886"/>
      <c r="AD113" s="887"/>
    </row>
    <row r="114" spans="1:31" ht="14.1" customHeight="1" thickBot="1" x14ac:dyDescent="0.25">
      <c r="A114" s="283">
        <v>16</v>
      </c>
      <c r="B114" s="260" t="s">
        <v>395</v>
      </c>
      <c r="C114" s="260" t="s">
        <v>13</v>
      </c>
      <c r="D114" s="255"/>
      <c r="E114" s="260" t="s">
        <v>10</v>
      </c>
      <c r="F114" s="259">
        <f>'BESCOM D-22(Current Tariff)'!I110</f>
        <v>93553</v>
      </c>
      <c r="G114" s="259">
        <f>'BESCOM D-22(Current Tariff)'!J110</f>
        <v>888753.5</v>
      </c>
      <c r="H114" s="836"/>
      <c r="I114" s="260" t="s">
        <v>82</v>
      </c>
      <c r="J114" s="261">
        <v>110</v>
      </c>
      <c r="K114" s="261"/>
      <c r="L114" s="261">
        <f>J114+K114</f>
        <v>110</v>
      </c>
      <c r="M114" s="260"/>
      <c r="N114" s="260"/>
      <c r="O114" s="733">
        <v>0</v>
      </c>
      <c r="P114" s="1021"/>
      <c r="Q114" s="1011">
        <f>(MAX(F114,G114)*L114*12)/(10^7)</f>
        <v>117.315462</v>
      </c>
      <c r="R114" s="1022"/>
      <c r="S114" s="1093"/>
      <c r="T114" s="881"/>
      <c r="U114" s="882"/>
      <c r="V114" s="883"/>
      <c r="W114" s="883"/>
      <c r="X114" s="883"/>
      <c r="Y114" s="883"/>
      <c r="Z114" s="883"/>
      <c r="AA114" s="884"/>
      <c r="AB114" s="885"/>
      <c r="AC114" s="886"/>
      <c r="AD114" s="887"/>
    </row>
    <row r="115" spans="1:31" ht="14.1" customHeight="1" x14ac:dyDescent="0.2">
      <c r="A115" s="285"/>
      <c r="B115" s="267"/>
      <c r="C115" s="267"/>
      <c r="D115" s="264"/>
      <c r="E115" s="267"/>
      <c r="F115" s="259">
        <f>'BESCOM D-22(Current Tariff)'!I111</f>
        <v>50</v>
      </c>
      <c r="G115" s="259">
        <f>'BESCOM D-22(Current Tariff)'!J111</f>
        <v>6000</v>
      </c>
      <c r="H115" s="827">
        <f>'BESCOM D-22(Current Tariff)'!K111</f>
        <v>1515.82</v>
      </c>
      <c r="I115" s="269" t="s">
        <v>441</v>
      </c>
      <c r="J115" s="269">
        <v>215</v>
      </c>
      <c r="K115" s="269"/>
      <c r="L115" s="261">
        <f>J115+K115</f>
        <v>215</v>
      </c>
      <c r="M115" s="268"/>
      <c r="N115" s="268">
        <f>'BESCOM D-22(Current Tariff)'!O111</f>
        <v>5</v>
      </c>
      <c r="O115" s="738">
        <v>0</v>
      </c>
      <c r="P115" s="1008">
        <f>N115+O115</f>
        <v>5</v>
      </c>
      <c r="Q115" s="1011">
        <f>(MAX(F115,G115)*L115*12)/(10^7)</f>
        <v>1.548</v>
      </c>
      <c r="R115" s="1018">
        <f>H115*P115/10</f>
        <v>757.91</v>
      </c>
      <c r="S115" s="1091"/>
      <c r="T115" s="881"/>
      <c r="U115" s="882"/>
      <c r="V115" s="883"/>
      <c r="W115" s="883"/>
      <c r="X115" s="883"/>
      <c r="Y115" s="883"/>
      <c r="Z115" s="883"/>
      <c r="AA115" s="884"/>
      <c r="AB115" s="885"/>
      <c r="AC115" s="886"/>
      <c r="AD115" s="887"/>
    </row>
    <row r="116" spans="1:31" ht="14.1" customHeight="1" thickBot="1" x14ac:dyDescent="0.25">
      <c r="A116" s="287"/>
      <c r="B116" s="288"/>
      <c r="C116" s="288"/>
      <c r="D116" s="274" t="s">
        <v>49</v>
      </c>
      <c r="E116" s="289" t="s">
        <v>10</v>
      </c>
      <c r="F116" s="277">
        <f>F114+F115</f>
        <v>93603</v>
      </c>
      <c r="G116" s="277">
        <f>G114+G115</f>
        <v>894753.5</v>
      </c>
      <c r="H116" s="828">
        <f>H115</f>
        <v>1515.82</v>
      </c>
      <c r="I116" s="278"/>
      <c r="J116" s="278"/>
      <c r="K116" s="278"/>
      <c r="L116" s="278"/>
      <c r="M116" s="278"/>
      <c r="N116" s="278"/>
      <c r="O116" s="736"/>
      <c r="P116" s="1020"/>
      <c r="Q116" s="974">
        <f>Q114+Q115</f>
        <v>118.863462</v>
      </c>
      <c r="R116" s="976">
        <f>R115</f>
        <v>757.91</v>
      </c>
      <c r="S116" s="1091">
        <f>SUM(Q116:R116)</f>
        <v>876.77346199999999</v>
      </c>
      <c r="T116" s="881">
        <f>'BESCOM D-22(Current Tariff)'!R112</f>
        <v>876.77346199999999</v>
      </c>
      <c r="U116" s="902">
        <f>S116-T116</f>
        <v>0</v>
      </c>
      <c r="V116" s="883">
        <f>U116/H116*10</f>
        <v>0</v>
      </c>
      <c r="W116" s="883">
        <f>U116/T116%</f>
        <v>0</v>
      </c>
      <c r="X116" s="883">
        <f>H116*X$4/10</f>
        <v>1318.7633999999998</v>
      </c>
      <c r="Y116" s="883">
        <f>(T116-X116)/X116%</f>
        <v>-33.515484127023839</v>
      </c>
      <c r="Z116" s="883">
        <f>H116*Z$4/10</f>
        <v>1318.7633999999998</v>
      </c>
      <c r="AA116" s="884">
        <f>(S116-Z116)/Z116%</f>
        <v>-33.515484127023839</v>
      </c>
      <c r="AB116" s="885">
        <f>(S116-(H116*AB$1/10))/(H116*AB$1/10)*100</f>
        <v>-35.227851277167673</v>
      </c>
      <c r="AC116" s="886"/>
      <c r="AD116" s="887">
        <f>S116/H116*10</f>
        <v>5.7841528809489251</v>
      </c>
    </row>
    <row r="117" spans="1:31" ht="14.1" customHeight="1" thickBot="1" x14ac:dyDescent="0.25">
      <c r="A117" s="250"/>
      <c r="B117" s="251"/>
      <c r="C117" s="251"/>
      <c r="D117" s="251"/>
      <c r="E117" s="251"/>
      <c r="F117" s="194"/>
      <c r="G117" s="194"/>
      <c r="H117" s="824"/>
      <c r="I117" s="255"/>
      <c r="J117" s="255"/>
      <c r="K117" s="255"/>
      <c r="L117" s="255"/>
      <c r="M117" s="255"/>
      <c r="N117" s="255"/>
      <c r="O117" s="732"/>
      <c r="P117" s="187"/>
      <c r="Q117" s="691"/>
      <c r="R117" s="139"/>
      <c r="S117" s="1091"/>
      <c r="T117" s="881"/>
      <c r="U117" s="902"/>
      <c r="V117" s="883"/>
      <c r="W117" s="883"/>
      <c r="X117" s="883"/>
      <c r="Y117" s="883"/>
      <c r="Z117" s="883"/>
      <c r="AA117" s="884"/>
      <c r="AB117" s="885"/>
      <c r="AC117" s="886"/>
      <c r="AD117" s="887"/>
    </row>
    <row r="118" spans="1:31" ht="14.1" customHeight="1" x14ac:dyDescent="0.2">
      <c r="A118" s="283">
        <v>17</v>
      </c>
      <c r="B118" s="260" t="s">
        <v>396</v>
      </c>
      <c r="C118" s="260" t="s">
        <v>106</v>
      </c>
      <c r="D118" s="255"/>
      <c r="E118" s="260" t="s">
        <v>39</v>
      </c>
      <c r="F118" s="259">
        <f>'BESCOM D-22(Current Tariff)'!I114</f>
        <v>77350</v>
      </c>
      <c r="G118" s="259">
        <f>'BESCOM D-22(Current Tariff)'!J114</f>
        <v>232050</v>
      </c>
      <c r="H118" s="836"/>
      <c r="I118" s="260" t="s">
        <v>82</v>
      </c>
      <c r="J118" s="261">
        <v>125</v>
      </c>
      <c r="K118" s="261"/>
      <c r="L118" s="261">
        <f>J118+K118</f>
        <v>125</v>
      </c>
      <c r="M118" s="260"/>
      <c r="N118" s="260"/>
      <c r="O118" s="733"/>
      <c r="P118" s="1042"/>
      <c r="Q118" s="1011">
        <f>(MAX(F118,G118)*L118*12)/(10^7)</f>
        <v>34.807499999999997</v>
      </c>
      <c r="R118" s="1022"/>
      <c r="S118" s="1093"/>
      <c r="T118" s="881"/>
      <c r="U118" s="902"/>
      <c r="V118" s="883"/>
      <c r="W118" s="883"/>
      <c r="X118" s="883"/>
      <c r="Y118" s="883"/>
      <c r="Z118" s="883"/>
      <c r="AA118" s="884"/>
      <c r="AB118" s="885"/>
      <c r="AC118" s="886"/>
      <c r="AD118" s="887"/>
    </row>
    <row r="119" spans="1:31" ht="14.1" customHeight="1" x14ac:dyDescent="0.2">
      <c r="A119" s="285"/>
      <c r="B119" s="267"/>
      <c r="C119" s="267"/>
      <c r="D119" s="264"/>
      <c r="E119" s="267" t="s">
        <v>403</v>
      </c>
      <c r="F119" s="266"/>
      <c r="G119" s="266"/>
      <c r="H119" s="827">
        <f>'BESCOM D-22(Current Tariff)'!K115</f>
        <v>573.71</v>
      </c>
      <c r="I119" s="269"/>
      <c r="J119" s="269"/>
      <c r="K119" s="269"/>
      <c r="L119" s="269"/>
      <c r="M119" s="268"/>
      <c r="N119" s="268">
        <f>'BESCOM D-22(Current Tariff)'!O115</f>
        <v>6.7</v>
      </c>
      <c r="O119" s="735">
        <v>0</v>
      </c>
      <c r="P119" s="1043">
        <f>N119+O119</f>
        <v>6.7</v>
      </c>
      <c r="Q119" s="1017"/>
      <c r="R119" s="1018">
        <f>H119*P119/10</f>
        <v>384.38570000000004</v>
      </c>
      <c r="S119" s="1091"/>
      <c r="T119" s="881"/>
      <c r="U119" s="902"/>
      <c r="V119" s="883"/>
      <c r="W119" s="883"/>
      <c r="X119" s="883"/>
      <c r="Y119" s="883"/>
      <c r="Z119" s="883"/>
      <c r="AA119" s="884"/>
      <c r="AB119" s="885"/>
      <c r="AC119" s="886"/>
      <c r="AD119" s="887"/>
    </row>
    <row r="120" spans="1:31" ht="14.1" customHeight="1" x14ac:dyDescent="0.2">
      <c r="A120" s="388"/>
      <c r="B120" s="389"/>
      <c r="C120" s="389"/>
      <c r="D120" s="264"/>
      <c r="E120" s="389"/>
      <c r="F120" s="390"/>
      <c r="G120" s="390"/>
      <c r="H120" s="839"/>
      <c r="I120" s="400"/>
      <c r="J120" s="400"/>
      <c r="K120" s="400"/>
      <c r="L120" s="400"/>
      <c r="M120" s="391" t="s">
        <v>429</v>
      </c>
      <c r="N120" s="268">
        <f>'BESCOM D-22(Current Tariff)'!O116</f>
        <v>5.65</v>
      </c>
      <c r="O120" s="752">
        <v>0</v>
      </c>
      <c r="P120" s="1043">
        <f>N120+O120</f>
        <v>5.65</v>
      </c>
      <c r="Q120" s="1044"/>
      <c r="R120" s="985"/>
      <c r="S120" s="1091"/>
      <c r="T120" s="881"/>
      <c r="U120" s="902"/>
      <c r="V120" s="883"/>
      <c r="W120" s="883"/>
      <c r="X120" s="883"/>
      <c r="Y120" s="883"/>
      <c r="Z120" s="883"/>
      <c r="AA120" s="884"/>
      <c r="AB120" s="885"/>
      <c r="AC120" s="886"/>
      <c r="AD120" s="887"/>
    </row>
    <row r="121" spans="1:31" ht="14.1" customHeight="1" thickBot="1" x14ac:dyDescent="0.25">
      <c r="A121" s="287"/>
      <c r="B121" s="389"/>
      <c r="C121" s="389"/>
      <c r="D121" s="274" t="s">
        <v>49</v>
      </c>
      <c r="E121" s="398" t="s">
        <v>39</v>
      </c>
      <c r="F121" s="449">
        <f>F118</f>
        <v>77350</v>
      </c>
      <c r="G121" s="449">
        <f>G118</f>
        <v>232050</v>
      </c>
      <c r="H121" s="847">
        <f>H119</f>
        <v>573.71</v>
      </c>
      <c r="I121" s="400"/>
      <c r="J121" s="400"/>
      <c r="K121" s="400"/>
      <c r="L121" s="400"/>
      <c r="M121" s="400"/>
      <c r="N121" s="400"/>
      <c r="O121" s="753"/>
      <c r="P121" s="1045"/>
      <c r="Q121" s="1046">
        <f>Q118</f>
        <v>34.807499999999997</v>
      </c>
      <c r="R121" s="985">
        <f>R119</f>
        <v>384.38570000000004</v>
      </c>
      <c r="S121" s="1091">
        <f>SUM(Q121:R121)</f>
        <v>419.19320000000005</v>
      </c>
      <c r="T121" s="881">
        <f>'BESCOM D-22(Current Tariff)'!R116</f>
        <v>419.19320000000005</v>
      </c>
      <c r="U121" s="902">
        <f>S121-T121</f>
        <v>0</v>
      </c>
      <c r="V121" s="883">
        <f>U121/H121*10</f>
        <v>0</v>
      </c>
      <c r="W121" s="883">
        <f>U121/T121%</f>
        <v>0</v>
      </c>
      <c r="X121" s="883">
        <f>H121*X$4/10</f>
        <v>499.1277</v>
      </c>
      <c r="Y121" s="883">
        <f>(T121-X121)/X121%</f>
        <v>-16.014839488972452</v>
      </c>
      <c r="Z121" s="883">
        <f>H121*Z$4/10</f>
        <v>499.1277</v>
      </c>
      <c r="AA121" s="884">
        <f>(S121-Z121)/Z121%</f>
        <v>-16.014839488972452</v>
      </c>
      <c r="AB121" s="885">
        <f>(S121-(H121*AB$1/10))/(H121*AB$1/10)*100</f>
        <v>-18.177951125874621</v>
      </c>
      <c r="AC121" s="886"/>
      <c r="AD121" s="887">
        <f>S121/H121*10</f>
        <v>7.3067089644593963</v>
      </c>
    </row>
    <row r="122" spans="1:31" ht="14.1" customHeight="1" thickBot="1" x14ac:dyDescent="0.25">
      <c r="A122" s="250"/>
      <c r="B122" s="472"/>
      <c r="C122" s="466"/>
      <c r="D122" s="466"/>
      <c r="E122" s="466"/>
      <c r="F122" s="466"/>
      <c r="G122" s="466"/>
      <c r="H122" s="848"/>
      <c r="I122" s="511"/>
      <c r="J122" s="511"/>
      <c r="K122" s="511"/>
      <c r="L122" s="511"/>
      <c r="M122" s="511"/>
      <c r="N122" s="511"/>
      <c r="O122" s="799"/>
      <c r="P122" s="1047"/>
      <c r="Q122" s="1048"/>
      <c r="R122" s="1047"/>
      <c r="S122" s="1103"/>
      <c r="T122" s="888"/>
      <c r="U122" s="904"/>
      <c r="V122" s="890"/>
      <c r="W122" s="890"/>
      <c r="X122" s="890"/>
      <c r="Y122" s="890"/>
      <c r="Z122" s="890"/>
      <c r="AA122" s="905"/>
      <c r="AB122" s="906"/>
      <c r="AC122" s="907"/>
      <c r="AD122" s="908"/>
    </row>
    <row r="123" spans="1:31" ht="14.1" customHeight="1" thickBot="1" x14ac:dyDescent="0.25">
      <c r="A123" s="250">
        <v>18</v>
      </c>
      <c r="B123" s="280" t="s">
        <v>397</v>
      </c>
      <c r="C123" s="280" t="s">
        <v>398</v>
      </c>
      <c r="D123" s="304"/>
      <c r="E123" t="s">
        <v>39</v>
      </c>
      <c r="F123" s="477">
        <f>'BESCOM D-22(Current Tariff)'!I118</f>
        <v>88</v>
      </c>
      <c r="G123" s="477">
        <f>'BESCOM D-22(Current Tariff)'!J118</f>
        <v>1320</v>
      </c>
      <c r="H123" s="849">
        <f>'BESCOM D-22(Current Tariff)'!K118</f>
        <v>0</v>
      </c>
      <c r="I123" s="469" t="s">
        <v>399</v>
      </c>
      <c r="J123" s="510">
        <v>70</v>
      </c>
      <c r="K123" s="510"/>
      <c r="L123" s="261">
        <f>J123+K123</f>
        <v>70</v>
      </c>
      <c r="M123" s="469"/>
      <c r="N123" s="510">
        <f>'BESCOM D-22(Current Tariff)'!O118</f>
        <v>5</v>
      </c>
      <c r="O123" s="802">
        <v>0</v>
      </c>
      <c r="P123" s="1049">
        <f>O123+N123</f>
        <v>5</v>
      </c>
      <c r="Q123" s="704">
        <f>G123*12*L123/10000000</f>
        <v>0.11088000000000001</v>
      </c>
      <c r="R123" s="368">
        <f>H123*P123/10</f>
        <v>0</v>
      </c>
      <c r="S123" s="1104"/>
      <c r="T123" s="909"/>
      <c r="U123" s="909"/>
      <c r="V123" s="883"/>
      <c r="W123" s="883"/>
      <c r="X123" s="883"/>
      <c r="Y123" s="883"/>
      <c r="Z123" s="883"/>
      <c r="AA123" s="883"/>
      <c r="AB123" s="885"/>
      <c r="AC123" s="880"/>
      <c r="AD123" s="887"/>
      <c r="AE123" s="354"/>
    </row>
    <row r="124" spans="1:31" ht="26.25" customHeight="1" thickBot="1" x14ac:dyDescent="0.25">
      <c r="A124" s="467"/>
      <c r="B124" s="467"/>
      <c r="C124" s="467"/>
      <c r="D124" s="468"/>
      <c r="E124" s="468" t="s">
        <v>403</v>
      </c>
      <c r="F124" s="450">
        <f>'BESCOM D-22(Current Tariff)'!I119</f>
        <v>0</v>
      </c>
      <c r="G124" s="450">
        <f>'BESCOM D-22(Current Tariff)'!J119</f>
        <v>0</v>
      </c>
      <c r="H124" s="850">
        <f>'BESCOM D-22(Current Tariff)'!K119</f>
        <v>0.3</v>
      </c>
      <c r="I124" s="798" t="s">
        <v>449</v>
      </c>
      <c r="J124" s="510">
        <v>200</v>
      </c>
      <c r="K124" s="510"/>
      <c r="L124" s="261">
        <f>J124+K124</f>
        <v>200</v>
      </c>
      <c r="M124" s="469"/>
      <c r="N124" s="510">
        <f>'BESCOM D-22(Current Tariff)'!O119</f>
        <v>5</v>
      </c>
      <c r="O124" s="802">
        <v>0</v>
      </c>
      <c r="P124" s="1049">
        <f>O124+N124</f>
        <v>5</v>
      </c>
      <c r="Q124" s="704">
        <f>G124*12*L124/10000000</f>
        <v>0</v>
      </c>
      <c r="R124" s="368">
        <f>H124*P124/10</f>
        <v>0.15</v>
      </c>
      <c r="S124" s="1104"/>
      <c r="T124" s="909"/>
      <c r="U124" s="909"/>
      <c r="V124" s="883"/>
      <c r="W124" s="883"/>
      <c r="X124" s="883"/>
      <c r="Y124" s="883"/>
      <c r="Z124" s="883"/>
      <c r="AA124" s="883"/>
      <c r="AB124" s="885"/>
      <c r="AC124" s="880"/>
      <c r="AD124" s="887"/>
      <c r="AE124" s="354"/>
    </row>
    <row r="125" spans="1:31" ht="14.1" customHeight="1" thickBot="1" x14ac:dyDescent="0.25">
      <c r="A125" s="478"/>
      <c r="B125" s="478"/>
      <c r="C125" s="478"/>
      <c r="D125" s="479" t="s">
        <v>49</v>
      </c>
      <c r="E125" s="479"/>
      <c r="F125" s="480">
        <f>F123</f>
        <v>88</v>
      </c>
      <c r="G125" s="480"/>
      <c r="H125" s="851"/>
      <c r="I125" s="469" t="s">
        <v>450</v>
      </c>
      <c r="J125" s="803">
        <v>200</v>
      </c>
      <c r="K125" s="803"/>
      <c r="L125" s="261">
        <f>J125+K125</f>
        <v>200</v>
      </c>
      <c r="M125" s="352"/>
      <c r="N125" s="352"/>
      <c r="O125" s="804"/>
      <c r="P125" s="1051"/>
      <c r="Q125" s="1052">
        <f>Q123+Q124</f>
        <v>0.11088000000000001</v>
      </c>
      <c r="R125" s="1051">
        <f>R124+R123</f>
        <v>0.15</v>
      </c>
      <c r="S125" s="1104">
        <f>Q125+R125</f>
        <v>0.26088</v>
      </c>
      <c r="T125" s="909">
        <f>'BESCOM D-22(Current Tariff)'!R121</f>
        <v>0.26088</v>
      </c>
      <c r="U125" s="910">
        <f>S125-T125</f>
        <v>0</v>
      </c>
      <c r="V125" s="883"/>
      <c r="W125" s="883"/>
      <c r="X125" s="883"/>
      <c r="Y125" s="883"/>
      <c r="Z125" s="883"/>
      <c r="AA125" s="883"/>
      <c r="AB125" s="885"/>
      <c r="AC125" s="880"/>
      <c r="AD125" s="887"/>
      <c r="AE125" s="354"/>
    </row>
    <row r="126" spans="1:31" ht="14.1" customHeight="1" thickBot="1" x14ac:dyDescent="0.25">
      <c r="A126" s="475"/>
      <c r="B126" s="466"/>
      <c r="C126" s="466"/>
      <c r="D126" s="466"/>
      <c r="E126" s="475"/>
      <c r="F126" s="466">
        <f>F123+F124</f>
        <v>88</v>
      </c>
      <c r="G126" s="466">
        <f>G123+G124</f>
        <v>1320</v>
      </c>
      <c r="H126" s="852">
        <f>H123+H124</f>
        <v>0.3</v>
      </c>
      <c r="I126" s="800"/>
      <c r="J126" s="800"/>
      <c r="K126" s="800"/>
      <c r="L126" s="800"/>
      <c r="M126" s="800"/>
      <c r="N126" s="800"/>
      <c r="O126" s="801"/>
      <c r="P126" s="1053"/>
      <c r="Q126" s="1054"/>
      <c r="R126" s="1053"/>
      <c r="S126" s="1105"/>
      <c r="T126" s="901"/>
      <c r="U126" s="911"/>
      <c r="V126" s="876"/>
      <c r="W126" s="912"/>
      <c r="X126" s="912"/>
      <c r="Y126" s="912"/>
      <c r="Z126" s="912"/>
      <c r="AA126" s="912"/>
      <c r="AB126" s="912"/>
      <c r="AC126" s="879"/>
      <c r="AD126" s="913"/>
    </row>
    <row r="127" spans="1:31" ht="14.1" customHeight="1" thickBot="1" x14ac:dyDescent="0.25">
      <c r="A127" s="279"/>
      <c r="B127" s="280"/>
      <c r="C127" s="280"/>
      <c r="D127" s="304"/>
      <c r="E127" s="304"/>
      <c r="F127" s="306"/>
      <c r="G127" s="306"/>
      <c r="H127" s="838"/>
      <c r="I127" s="307"/>
      <c r="J127" s="307"/>
      <c r="K127" s="307"/>
      <c r="L127" s="307"/>
      <c r="M127" s="307"/>
      <c r="N127" s="307"/>
      <c r="O127" s="740"/>
      <c r="P127" s="1030"/>
      <c r="Q127" s="697"/>
      <c r="R127" s="176"/>
      <c r="S127" s="1091"/>
      <c r="T127" s="901"/>
      <c r="U127" s="909"/>
      <c r="V127" s="883"/>
      <c r="W127" s="883"/>
      <c r="X127" s="883"/>
      <c r="Y127" s="883"/>
      <c r="Z127" s="883"/>
      <c r="AA127" s="883"/>
      <c r="AB127" s="885"/>
      <c r="AC127" s="886"/>
      <c r="AD127" s="887"/>
    </row>
    <row r="128" spans="1:31" ht="14.1" customHeight="1" thickBot="1" x14ac:dyDescent="0.25">
      <c r="A128" s="253" t="s">
        <v>107</v>
      </c>
      <c r="B128" s="254"/>
      <c r="C128" s="254"/>
      <c r="D128" s="254"/>
      <c r="E128" s="254" t="s">
        <v>39</v>
      </c>
      <c r="F128" s="195">
        <f>SUM(F116,F121,F125)</f>
        <v>171041</v>
      </c>
      <c r="G128" s="195">
        <f>G116+G121+G126</f>
        <v>1128123.5</v>
      </c>
      <c r="H128" s="823">
        <f>SUM(H116,H121,H126)</f>
        <v>2089.83</v>
      </c>
      <c r="I128" s="254"/>
      <c r="J128" s="308"/>
      <c r="K128" s="308"/>
      <c r="L128" s="308"/>
      <c r="M128" s="308"/>
      <c r="N128" s="308"/>
      <c r="O128" s="741"/>
      <c r="P128" s="143"/>
      <c r="Q128" s="972">
        <f>SUM(Q116,Q121,Q125)</f>
        <v>153.78184200000001</v>
      </c>
      <c r="R128" s="143">
        <f>SUM(R116,R121,R125)</f>
        <v>1142.4457000000002</v>
      </c>
      <c r="S128" s="1092">
        <f>SUM(S116,S121,S125)</f>
        <v>1296.2275420000001</v>
      </c>
      <c r="T128" s="914">
        <f>SUM(T116,T121,T125)</f>
        <v>1296.2275420000001</v>
      </c>
      <c r="U128" s="909"/>
      <c r="V128" s="909"/>
      <c r="W128" s="909"/>
      <c r="X128" s="909"/>
      <c r="Y128" s="909"/>
      <c r="Z128" s="909"/>
      <c r="AA128" s="909"/>
      <c r="AB128" s="909"/>
      <c r="AC128" s="915"/>
      <c r="AD128" s="887"/>
    </row>
    <row r="129" spans="1:30" ht="14.1" customHeight="1" thickBot="1" x14ac:dyDescent="0.25">
      <c r="A129" s="250"/>
      <c r="B129" s="251"/>
      <c r="C129" s="251"/>
      <c r="D129" s="295"/>
      <c r="E129" s="295"/>
      <c r="F129" s="313"/>
      <c r="G129" s="313"/>
      <c r="H129" s="846"/>
      <c r="I129" s="255"/>
      <c r="J129" s="255"/>
      <c r="K129" s="255"/>
      <c r="L129" s="255"/>
      <c r="M129" s="255"/>
      <c r="N129" s="255"/>
      <c r="O129" s="732"/>
      <c r="P129" s="187"/>
      <c r="Q129" s="691"/>
      <c r="R129" s="139"/>
      <c r="S129" s="1091"/>
      <c r="T129" s="881"/>
      <c r="U129" s="902"/>
      <c r="V129" s="883"/>
      <c r="W129" s="883"/>
      <c r="X129" s="883"/>
      <c r="Y129" s="883"/>
      <c r="Z129" s="883"/>
      <c r="AA129" s="883"/>
      <c r="AB129" s="885"/>
      <c r="AC129" s="886"/>
      <c r="AD129" s="887"/>
    </row>
    <row r="130" spans="1:30" ht="14.1" customHeight="1" x14ac:dyDescent="0.2">
      <c r="A130" s="283">
        <v>18</v>
      </c>
      <c r="B130" s="260" t="s">
        <v>15</v>
      </c>
      <c r="C130" s="260" t="s">
        <v>108</v>
      </c>
      <c r="D130" s="255" t="s">
        <v>109</v>
      </c>
      <c r="E130" s="260" t="s">
        <v>39</v>
      </c>
      <c r="F130" s="259">
        <f>'BESCOM D-22(Current Tariff)'!I125</f>
        <v>943763</v>
      </c>
      <c r="G130" s="259">
        <f>'BESCOM D-22(Current Tariff)'!J125</f>
        <v>2831289</v>
      </c>
      <c r="H130" s="836"/>
      <c r="I130" s="260" t="s">
        <v>110</v>
      </c>
      <c r="J130" s="261">
        <v>275</v>
      </c>
      <c r="K130" s="261"/>
      <c r="L130" s="261">
        <f>J130+K130</f>
        <v>275</v>
      </c>
      <c r="M130" s="260"/>
      <c r="N130" s="260"/>
      <c r="O130" s="733"/>
      <c r="P130" s="1021"/>
      <c r="Q130" s="1055">
        <f>IF((G130*$L$130*4)/(10^7)&gt;($H$132*$N$132/10),(G130*4*$L$130)/(10^7),0)</f>
        <v>311.44179000000003</v>
      </c>
      <c r="R130" s="1022"/>
      <c r="S130" s="1093"/>
      <c r="T130" s="881"/>
      <c r="U130" s="902"/>
      <c r="V130" s="883"/>
      <c r="W130" s="883"/>
      <c r="X130" s="883"/>
      <c r="Y130" s="883"/>
      <c r="Z130" s="883"/>
      <c r="AA130" s="884"/>
      <c r="AB130" s="885"/>
      <c r="AC130" s="886"/>
      <c r="AD130" s="887"/>
    </row>
    <row r="131" spans="1:30" ht="14.1" customHeight="1" thickBot="1" x14ac:dyDescent="0.25">
      <c r="A131" s="285"/>
      <c r="B131" s="267"/>
      <c r="C131" s="267"/>
      <c r="D131" s="264" t="s">
        <v>96</v>
      </c>
      <c r="E131" s="267" t="s">
        <v>14</v>
      </c>
      <c r="F131" s="266">
        <f>'BESCOM D-22(Current Tariff)'!I126</f>
        <v>0</v>
      </c>
      <c r="G131" s="266">
        <f>'BESCOM D-22(Current Tariff)'!J126</f>
        <v>0</v>
      </c>
      <c r="H131" s="827"/>
      <c r="I131" s="267"/>
      <c r="J131" s="268"/>
      <c r="K131" s="268"/>
      <c r="L131" s="268"/>
      <c r="M131" s="269"/>
      <c r="N131" s="269"/>
      <c r="O131" s="734"/>
      <c r="P131" s="1013"/>
      <c r="Q131" s="1031"/>
      <c r="R131" s="1018"/>
      <c r="S131" s="1091"/>
      <c r="T131" s="881"/>
      <c r="U131" s="902"/>
      <c r="V131" s="883"/>
      <c r="W131" s="883"/>
      <c r="X131" s="883"/>
      <c r="Y131" s="883"/>
      <c r="Z131" s="883"/>
      <c r="AA131" s="884"/>
      <c r="AB131" s="885"/>
      <c r="AC131" s="886"/>
      <c r="AD131" s="887"/>
    </row>
    <row r="132" spans="1:30" ht="14.1" customHeight="1" thickBot="1" x14ac:dyDescent="0.25">
      <c r="A132" s="285"/>
      <c r="B132" s="267"/>
      <c r="C132" s="267"/>
      <c r="D132" s="264" t="s">
        <v>111</v>
      </c>
      <c r="E132" s="267"/>
      <c r="F132" s="266"/>
      <c r="G132" s="266"/>
      <c r="H132" s="827">
        <f>'BESCOM D-22(Current Tariff)'!K127</f>
        <v>223.5</v>
      </c>
      <c r="I132" s="269"/>
      <c r="J132" s="269"/>
      <c r="K132" s="269"/>
      <c r="L132" s="269"/>
      <c r="M132" s="268"/>
      <c r="N132" s="268">
        <f>'BESCOM D-22(Current Tariff)'!O127</f>
        <v>11.2</v>
      </c>
      <c r="O132" s="738">
        <v>0</v>
      </c>
      <c r="P132" s="1008">
        <f>N132+O132</f>
        <v>11.2</v>
      </c>
      <c r="Q132" s="994"/>
      <c r="R132" s="1018">
        <v>0</v>
      </c>
      <c r="S132" s="1091"/>
      <c r="T132" s="881"/>
      <c r="U132" s="902"/>
      <c r="V132" s="883"/>
      <c r="W132" s="883"/>
      <c r="X132" s="883"/>
      <c r="Y132" s="883"/>
      <c r="Z132" s="883"/>
      <c r="AA132" s="884"/>
      <c r="AB132" s="885"/>
      <c r="AC132" s="886"/>
      <c r="AD132" s="887"/>
    </row>
    <row r="133" spans="1:30" ht="14.1" customHeight="1" x14ac:dyDescent="0.2">
      <c r="A133" s="285"/>
      <c r="B133" s="267"/>
      <c r="C133" s="267"/>
      <c r="D133" s="264" t="s">
        <v>96</v>
      </c>
      <c r="E133" s="267"/>
      <c r="F133" s="266"/>
      <c r="G133" s="266"/>
      <c r="H133" s="827"/>
      <c r="I133" s="269"/>
      <c r="J133" s="269"/>
      <c r="K133" s="269"/>
      <c r="L133" s="269"/>
      <c r="M133" s="268"/>
      <c r="N133" s="268">
        <v>11.2</v>
      </c>
      <c r="O133" s="738">
        <v>0</v>
      </c>
      <c r="P133" s="1008">
        <f>N133+O133</f>
        <v>11.2</v>
      </c>
      <c r="Q133" s="994"/>
      <c r="R133" s="1018">
        <f>H133*P133/10</f>
        <v>0</v>
      </c>
      <c r="S133" s="1091"/>
      <c r="T133" s="881"/>
      <c r="U133" s="902"/>
      <c r="V133" s="883"/>
      <c r="W133" s="883"/>
      <c r="X133" s="883"/>
      <c r="Y133" s="883"/>
      <c r="Z133" s="883"/>
      <c r="AA133" s="884"/>
      <c r="AB133" s="885"/>
      <c r="AC133" s="886"/>
      <c r="AD133" s="887"/>
    </row>
    <row r="134" spans="1:30" ht="14.1" customHeight="1" thickBot="1" x14ac:dyDescent="0.25">
      <c r="A134" s="388"/>
      <c r="B134" s="389"/>
      <c r="C134" s="389"/>
      <c r="D134" s="274" t="s">
        <v>49</v>
      </c>
      <c r="E134" s="398" t="s">
        <v>39</v>
      </c>
      <c r="F134" s="449">
        <f>SUM(F130:F131)</f>
        <v>943763</v>
      </c>
      <c r="G134" s="449">
        <f>SUM(G130:G131)</f>
        <v>2831289</v>
      </c>
      <c r="H134" s="847">
        <f>SUM(H132:H133)</f>
        <v>223.5</v>
      </c>
      <c r="I134" s="278"/>
      <c r="J134" s="278"/>
      <c r="K134" s="278"/>
      <c r="L134" s="278"/>
      <c r="M134" s="278"/>
      <c r="N134" s="278"/>
      <c r="O134" s="736"/>
      <c r="P134" s="1020"/>
      <c r="Q134" s="974">
        <f>SUM(Q130:Q131)</f>
        <v>311.44179000000003</v>
      </c>
      <c r="R134" s="976">
        <f>SUM(R132:R133)</f>
        <v>0</v>
      </c>
      <c r="S134" s="1091">
        <f>SUM(Q134:R134)</f>
        <v>311.44179000000003</v>
      </c>
      <c r="T134" s="881">
        <f>'BESCOM D-22(Current Tariff)'!R129</f>
        <v>311.44179000000003</v>
      </c>
      <c r="U134" s="902">
        <f>S134-T134</f>
        <v>0</v>
      </c>
      <c r="V134" s="883">
        <f>U134/H134*10</f>
        <v>0</v>
      </c>
      <c r="W134" s="883">
        <f>U134/T134%</f>
        <v>0</v>
      </c>
      <c r="X134" s="883">
        <f>H134*X$4/10</f>
        <v>194.44499999999999</v>
      </c>
      <c r="Y134" s="883">
        <f>(T134-X134)/X134%</f>
        <v>60.169605801126302</v>
      </c>
      <c r="Z134" s="883">
        <f>H134*Z$4/10</f>
        <v>194.44499999999999</v>
      </c>
      <c r="AA134" s="884">
        <f>(S134-Z134)/Z134%</f>
        <v>60.169605801126302</v>
      </c>
      <c r="AB134" s="885">
        <f>(S134-(H134*AB$1/10))/(H134*AB$1/10)*100</f>
        <v>56.044296805128646</v>
      </c>
      <c r="AC134" s="886"/>
      <c r="AD134" s="887">
        <f>S134/H134*10</f>
        <v>13.934755704697988</v>
      </c>
    </row>
    <row r="135" spans="1:30" ht="14.1" customHeight="1" x14ac:dyDescent="0.2">
      <c r="A135" s="805"/>
      <c r="B135" s="459" t="s">
        <v>370</v>
      </c>
      <c r="C135" s="1537" t="s">
        <v>458</v>
      </c>
      <c r="D135" s="806"/>
      <c r="E135" s="807" t="s">
        <v>39</v>
      </c>
      <c r="F135" s="872">
        <f>'BESCOM D-22(Current Tariff)'!I130</f>
        <v>4429</v>
      </c>
      <c r="G135" s="808">
        <f>'BESCOM D-22(Current Tariff)'!J130</f>
        <v>18823.25</v>
      </c>
      <c r="H135" s="866"/>
      <c r="I135" s="448"/>
      <c r="J135" s="452">
        <v>150</v>
      </c>
      <c r="K135" s="452"/>
      <c r="L135" s="261">
        <f>J135+K135</f>
        <v>150</v>
      </c>
      <c r="M135" s="307"/>
      <c r="N135" s="307"/>
      <c r="O135" s="740"/>
      <c r="P135" s="1030"/>
      <c r="Q135" s="697">
        <f>G135*12*L135/10000000</f>
        <v>3.388185</v>
      </c>
      <c r="R135" s="176"/>
      <c r="S135" s="1091"/>
      <c r="T135" s="881"/>
      <c r="U135" s="902"/>
      <c r="V135" s="883"/>
      <c r="W135" s="883"/>
      <c r="X135" s="883"/>
      <c r="Y135" s="883"/>
      <c r="Z135" s="883"/>
      <c r="AA135" s="884"/>
      <c r="AB135" s="885"/>
      <c r="AC135" s="886"/>
      <c r="AD135" s="887"/>
    </row>
    <row r="136" spans="1:30" ht="18" customHeight="1" x14ac:dyDescent="0.2">
      <c r="A136" s="809"/>
      <c r="B136" s="174"/>
      <c r="C136" s="1538"/>
      <c r="D136" s="443"/>
      <c r="E136" s="447"/>
      <c r="F136" s="450"/>
      <c r="G136" s="810"/>
      <c r="H136" s="867">
        <f>'BESCOM D-22(Current Tariff)'!K130</f>
        <v>0.85</v>
      </c>
      <c r="I136" s="448"/>
      <c r="J136" s="307"/>
      <c r="K136" s="307"/>
      <c r="L136" s="307"/>
      <c r="M136" s="307"/>
      <c r="N136" s="452">
        <v>11.2</v>
      </c>
      <c r="O136" s="754">
        <v>0</v>
      </c>
      <c r="P136" s="1056">
        <f>N136+O136</f>
        <v>11.2</v>
      </c>
      <c r="Q136" s="697"/>
      <c r="R136" s="176">
        <f>H136*N136/10</f>
        <v>0.95199999999999996</v>
      </c>
      <c r="S136" s="1091"/>
      <c r="T136" s="881"/>
      <c r="U136" s="902"/>
      <c r="V136" s="883"/>
      <c r="W136" s="883"/>
      <c r="X136" s="883"/>
      <c r="Y136" s="883"/>
      <c r="Z136" s="883"/>
      <c r="AA136" s="884"/>
      <c r="AB136" s="885"/>
      <c r="AC136" s="886"/>
      <c r="AD136" s="887"/>
    </row>
    <row r="137" spans="1:30" ht="14.1" customHeight="1" x14ac:dyDescent="0.2">
      <c r="A137" s="809"/>
      <c r="B137" s="280"/>
      <c r="C137" s="1538"/>
      <c r="D137" s="447"/>
      <c r="E137" s="447"/>
      <c r="F137" s="450"/>
      <c r="G137" s="810"/>
      <c r="H137" s="868"/>
      <c r="I137" s="448"/>
      <c r="J137" s="307"/>
      <c r="K137" s="307"/>
      <c r="L137" s="307"/>
      <c r="M137" s="307"/>
      <c r="N137" s="307"/>
      <c r="O137" s="740"/>
      <c r="P137" s="1030"/>
      <c r="Q137" s="697"/>
      <c r="R137" s="176"/>
      <c r="S137" s="1091"/>
      <c r="T137" s="881"/>
      <c r="U137" s="902"/>
      <c r="V137" s="883"/>
      <c r="W137" s="883"/>
      <c r="X137" s="883"/>
      <c r="Y137" s="883"/>
      <c r="Z137" s="883"/>
      <c r="AA137" s="884"/>
      <c r="AB137" s="885"/>
      <c r="AC137" s="886"/>
      <c r="AD137" s="887"/>
    </row>
    <row r="138" spans="1:30" ht="14.1" customHeight="1" thickBot="1" x14ac:dyDescent="0.25">
      <c r="A138" s="811"/>
      <c r="B138" s="792"/>
      <c r="C138" s="1539"/>
      <c r="D138" s="791"/>
      <c r="E138" s="791"/>
      <c r="F138" s="812">
        <f>SUM(F135:F137)</f>
        <v>4429</v>
      </c>
      <c r="G138" s="813">
        <f>SUM(G135:G137)</f>
        <v>18823.25</v>
      </c>
      <c r="H138" s="869">
        <f>SUM(H135:H137)</f>
        <v>0.85</v>
      </c>
      <c r="I138" s="448"/>
      <c r="J138" s="307"/>
      <c r="K138" s="307"/>
      <c r="L138" s="307"/>
      <c r="M138" s="307"/>
      <c r="N138" s="307"/>
      <c r="O138" s="740"/>
      <c r="P138" s="1030"/>
      <c r="Q138" s="697">
        <f>SUM(Q135:Q137)</f>
        <v>3.388185</v>
      </c>
      <c r="R138" s="991">
        <f>SUM(R135:R137)</f>
        <v>0.95199999999999996</v>
      </c>
      <c r="S138" s="1091">
        <f>R138+Q138</f>
        <v>4.340185</v>
      </c>
      <c r="T138" s="881">
        <f>'BESCOM D-22(Current Tariff)'!R133</f>
        <v>4.340185</v>
      </c>
      <c r="U138" s="902">
        <f>S138-T138</f>
        <v>0</v>
      </c>
      <c r="V138" s="883">
        <f>U138/H138*10</f>
        <v>0</v>
      </c>
      <c r="W138" s="883">
        <f>U138/T138%</f>
        <v>0</v>
      </c>
      <c r="X138" s="883">
        <f>H138*X$4/10</f>
        <v>0.73949999999999994</v>
      </c>
      <c r="Y138" s="883">
        <f>(T138-X138)/X138%</f>
        <v>486.90804597701151</v>
      </c>
      <c r="Z138" s="883">
        <f>H138*Z$4/10</f>
        <v>0.73949999999999994</v>
      </c>
      <c r="AA138" s="884">
        <f>(S138-Z138)/Z138%</f>
        <v>486.90804597701151</v>
      </c>
      <c r="AB138" s="885">
        <f>(S138-(H138*AB$1/10))/(H138*AB$1/10)*100</f>
        <v>471.79171332586787</v>
      </c>
      <c r="AC138" s="886"/>
      <c r="AD138" s="887">
        <f>S138/H138*10</f>
        <v>51.061000000000007</v>
      </c>
    </row>
    <row r="139" spans="1:30" ht="14.1" customHeight="1" thickBot="1" x14ac:dyDescent="0.25">
      <c r="A139" s="279"/>
      <c r="B139" s="280"/>
      <c r="C139" s="280"/>
      <c r="D139" s="304"/>
      <c r="E139" s="304"/>
      <c r="F139" s="306"/>
      <c r="G139" s="306"/>
      <c r="H139" s="838"/>
      <c r="I139" s="255"/>
      <c r="J139" s="255"/>
      <c r="K139" s="255"/>
      <c r="L139" s="255"/>
      <c r="M139" s="255"/>
      <c r="N139" s="255"/>
      <c r="O139" s="732"/>
      <c r="P139" s="187"/>
      <c r="Q139" s="691"/>
      <c r="R139" s="139"/>
      <c r="S139" s="1091"/>
      <c r="T139" s="881"/>
      <c r="U139" s="901"/>
      <c r="V139" s="883"/>
      <c r="W139" s="883"/>
      <c r="X139" s="883"/>
      <c r="Y139" s="883"/>
      <c r="Z139" s="883"/>
      <c r="AA139" s="884"/>
      <c r="AB139" s="885"/>
      <c r="AC139" s="886"/>
      <c r="AD139" s="887"/>
    </row>
    <row r="140" spans="1:30" ht="14.1" customHeight="1" thickBot="1" x14ac:dyDescent="0.25">
      <c r="A140" s="253" t="s">
        <v>112</v>
      </c>
      <c r="B140" s="254"/>
      <c r="C140" s="254"/>
      <c r="D140" s="254"/>
      <c r="E140" s="254" t="s">
        <v>39</v>
      </c>
      <c r="F140" s="195">
        <f>F134+F138</f>
        <v>948192</v>
      </c>
      <c r="G140" s="195">
        <f>G134+G138</f>
        <v>2850112.25</v>
      </c>
      <c r="H140" s="823">
        <f>H134+H138</f>
        <v>224.35</v>
      </c>
      <c r="I140" s="254"/>
      <c r="J140" s="308"/>
      <c r="K140" s="308"/>
      <c r="L140" s="308"/>
      <c r="M140" s="308"/>
      <c r="N140" s="308"/>
      <c r="O140" s="741"/>
      <c r="P140" s="143"/>
      <c r="Q140" s="972">
        <f>Q134+Q138</f>
        <v>314.82997500000005</v>
      </c>
      <c r="R140" s="973">
        <f>R134+R138</f>
        <v>0.95199999999999996</v>
      </c>
      <c r="S140" s="1092">
        <f>S134+S138</f>
        <v>315.78197500000005</v>
      </c>
      <c r="T140" s="881"/>
      <c r="U140" s="902"/>
      <c r="V140" s="883"/>
      <c r="W140" s="883"/>
      <c r="X140" s="883"/>
      <c r="Y140" s="883"/>
      <c r="Z140" s="883"/>
      <c r="AA140" s="884"/>
      <c r="AB140" s="885"/>
      <c r="AC140" s="886"/>
      <c r="AD140" s="887"/>
    </row>
    <row r="141" spans="1:30" ht="14.1" customHeight="1" thickBot="1" x14ac:dyDescent="0.25">
      <c r="A141" s="309"/>
      <c r="B141" s="295"/>
      <c r="C141" s="295"/>
      <c r="D141" s="295"/>
      <c r="E141" s="295"/>
      <c r="F141" s="313"/>
      <c r="G141" s="313"/>
      <c r="H141" s="846"/>
      <c r="I141" s="255"/>
      <c r="J141" s="255"/>
      <c r="K141" s="255"/>
      <c r="L141" s="255"/>
      <c r="M141" s="255"/>
      <c r="N141" s="255"/>
      <c r="O141" s="732"/>
      <c r="P141" s="187"/>
      <c r="Q141" s="691"/>
      <c r="R141" s="139"/>
      <c r="S141" s="1106"/>
      <c r="T141" s="901"/>
      <c r="U141" s="916"/>
      <c r="V141" s="890"/>
      <c r="W141" s="889"/>
      <c r="X141" s="890"/>
      <c r="Y141" s="890"/>
      <c r="Z141" s="890"/>
      <c r="AA141" s="905"/>
      <c r="AB141" s="906"/>
      <c r="AC141" s="907"/>
      <c r="AD141" s="887"/>
    </row>
    <row r="142" spans="1:30" ht="24" customHeight="1" thickBot="1" x14ac:dyDescent="0.25">
      <c r="A142" s="316" t="s">
        <v>113</v>
      </c>
      <c r="B142" s="317"/>
      <c r="C142" s="318"/>
      <c r="D142" s="318"/>
      <c r="E142" s="318"/>
      <c r="F142" s="319">
        <f>SUM(F9,F53,F66,F88,F112,F128,F140)</f>
        <v>13545434</v>
      </c>
      <c r="G142" s="319">
        <f>SUM(G9,G53,G66,G88,G112,G128,G140)</f>
        <v>34142073.731631607</v>
      </c>
      <c r="H142" s="853">
        <f>SUM(H9,H53,H66,H88,H112,H128,H140)</f>
        <v>20997.93</v>
      </c>
      <c r="I142" s="318" t="s">
        <v>418</v>
      </c>
      <c r="J142" s="320"/>
      <c r="K142" s="320"/>
      <c r="L142" s="320"/>
      <c r="M142" s="320"/>
      <c r="N142" s="320"/>
      <c r="O142" s="755"/>
      <c r="P142" s="992"/>
      <c r="Q142" s="1118">
        <f>SUM(Q9,Q53,Q66,Q88,Q112,Q128,Q140)</f>
        <v>3636.6581162088501</v>
      </c>
      <c r="R142" s="1058">
        <f>SUM(R9,R53,R66,R88,R112,R128,R140)</f>
        <v>12539.0573162285</v>
      </c>
      <c r="S142" s="1107">
        <f>SUM(S9,S53,S66,S88,S112,S128,S140)</f>
        <v>16175.715432437351</v>
      </c>
      <c r="T142" s="917">
        <f>'BESCOM D-22(Current Tariff)'!R136</f>
        <v>16175.715432437351</v>
      </c>
      <c r="U142" s="918">
        <f>S142-T142</f>
        <v>0</v>
      </c>
      <c r="V142" s="919">
        <f>U142/H142*10</f>
        <v>0</v>
      </c>
      <c r="W142" s="920">
        <f>U142/T142%</f>
        <v>0</v>
      </c>
      <c r="X142" s="917">
        <f>H142*X$4/10</f>
        <v>18268.199099999998</v>
      </c>
      <c r="Y142" s="921">
        <f>(T142-X142)/X142%</f>
        <v>-11.454241636564202</v>
      </c>
      <c r="Z142" s="922">
        <f>H142*Z$4/10</f>
        <v>18268.199099999998</v>
      </c>
      <c r="AA142" s="921">
        <f>(S142-Z142)/Z142%</f>
        <v>-11.454241636564202</v>
      </c>
      <c r="AB142" s="923">
        <f>(S142-(H142*AB$1/10))/(H142*AB$1/10)*100</f>
        <v>-13.734815480191337</v>
      </c>
      <c r="AC142" s="924"/>
      <c r="AD142" s="887">
        <f>S142/H142*10</f>
        <v>7.7034809776189137</v>
      </c>
    </row>
    <row r="143" spans="1:30" ht="14.1" customHeight="1" thickBot="1" x14ac:dyDescent="0.25">
      <c r="A143" s="309"/>
      <c r="B143" s="304"/>
      <c r="C143" s="304"/>
      <c r="D143" s="280"/>
      <c r="E143" s="280"/>
      <c r="F143" s="281"/>
      <c r="G143" s="281"/>
      <c r="H143" s="829"/>
      <c r="I143" s="307"/>
      <c r="J143" s="307"/>
      <c r="K143" s="307"/>
      <c r="L143" s="307"/>
      <c r="M143" s="307"/>
      <c r="N143" s="307"/>
      <c r="O143" s="740"/>
      <c r="P143" s="1030"/>
      <c r="Q143" s="697"/>
      <c r="R143" s="176"/>
      <c r="S143" s="1106"/>
      <c r="T143" s="914"/>
      <c r="U143" s="925"/>
      <c r="V143" s="926"/>
      <c r="W143" s="927"/>
      <c r="X143" s="926"/>
      <c r="Y143" s="926"/>
      <c r="Z143" s="926"/>
      <c r="AA143" s="928"/>
      <c r="AB143" s="913"/>
      <c r="AC143" s="929"/>
      <c r="AD143" s="887"/>
    </row>
    <row r="144" spans="1:30" ht="14.1" customHeight="1" thickBot="1" x14ac:dyDescent="0.25">
      <c r="A144" s="283">
        <v>1</v>
      </c>
      <c r="B144" s="260" t="s">
        <v>16</v>
      </c>
      <c r="C144" s="260" t="s">
        <v>114</v>
      </c>
      <c r="D144" s="255"/>
      <c r="E144" s="260" t="s">
        <v>115</v>
      </c>
      <c r="F144" s="259">
        <f>'BESCOM D-22(Current Tariff)'!I138</f>
        <v>301</v>
      </c>
      <c r="G144" s="259">
        <f>'BESCOM D-22(Current Tariff)'!J138</f>
        <v>225750</v>
      </c>
      <c r="H144" s="836"/>
      <c r="I144" s="260" t="s">
        <v>116</v>
      </c>
      <c r="J144" s="261">
        <v>250</v>
      </c>
      <c r="K144" s="261"/>
      <c r="L144" s="261">
        <f>J144+K144</f>
        <v>250</v>
      </c>
      <c r="M144" s="260"/>
      <c r="N144" s="260"/>
      <c r="O144" s="733"/>
      <c r="P144" s="1021"/>
      <c r="Q144" s="1011">
        <f>(G144*85/100*L144*12)/(10^7)</f>
        <v>57.566249999999997</v>
      </c>
      <c r="R144" s="1022"/>
      <c r="S144" s="1093"/>
      <c r="T144" s="914"/>
      <c r="U144" s="930"/>
      <c r="V144" s="931"/>
      <c r="W144" s="932"/>
      <c r="X144" s="931"/>
      <c r="Y144" s="931"/>
      <c r="Z144" s="931"/>
      <c r="AA144" s="933"/>
      <c r="AB144" s="887"/>
      <c r="AC144" s="934"/>
      <c r="AD144" s="887"/>
    </row>
    <row r="145" spans="1:30" ht="14.1" customHeight="1" x14ac:dyDescent="0.2">
      <c r="A145" s="285"/>
      <c r="B145" s="267"/>
      <c r="C145" s="267" t="s">
        <v>117</v>
      </c>
      <c r="D145" s="264"/>
      <c r="E145" s="267"/>
      <c r="F145" s="266"/>
      <c r="G145" s="266"/>
      <c r="H145" s="827">
        <f>'BESCOM D-22(Current Tariff)'!K139</f>
        <v>871.81</v>
      </c>
      <c r="I145" s="267"/>
      <c r="J145" s="268"/>
      <c r="K145" s="268"/>
      <c r="L145" s="268"/>
      <c r="M145" s="268"/>
      <c r="N145" s="268">
        <f>'BESCOM D-22(Current Tariff)'!O139</f>
        <v>5.6</v>
      </c>
      <c r="O145" s="738">
        <v>0</v>
      </c>
      <c r="P145" s="1008">
        <f>N145+O145</f>
        <v>5.6</v>
      </c>
      <c r="Q145" s="994"/>
      <c r="R145" s="1018">
        <f>H145*P145/10</f>
        <v>488.21359999999993</v>
      </c>
      <c r="S145" s="1091"/>
      <c r="T145" s="914"/>
      <c r="U145" s="930"/>
      <c r="V145" s="931"/>
      <c r="W145" s="932"/>
      <c r="X145" s="931"/>
      <c r="Y145" s="931"/>
      <c r="Z145" s="931"/>
      <c r="AA145" s="933"/>
      <c r="AB145" s="887"/>
      <c r="AC145" s="934"/>
      <c r="AD145" s="887"/>
    </row>
    <row r="146" spans="1:30" ht="14.1" customHeight="1" thickBot="1" x14ac:dyDescent="0.25">
      <c r="A146" s="287"/>
      <c r="B146" s="288"/>
      <c r="C146" s="288" t="s">
        <v>118</v>
      </c>
      <c r="D146" s="274" t="s">
        <v>49</v>
      </c>
      <c r="E146" s="289" t="s">
        <v>115</v>
      </c>
      <c r="F146" s="277">
        <f>F144</f>
        <v>301</v>
      </c>
      <c r="G146" s="277">
        <f>G144</f>
        <v>225750</v>
      </c>
      <c r="H146" s="828">
        <f>H145</f>
        <v>871.81</v>
      </c>
      <c r="I146" s="278"/>
      <c r="J146" s="278"/>
      <c r="K146" s="278"/>
      <c r="L146" s="278"/>
      <c r="M146" s="278"/>
      <c r="N146" s="278"/>
      <c r="O146" s="736"/>
      <c r="P146" s="1020"/>
      <c r="Q146" s="974">
        <f>Q144</f>
        <v>57.566249999999997</v>
      </c>
      <c r="R146" s="976">
        <f>R145</f>
        <v>488.21359999999993</v>
      </c>
      <c r="S146" s="1091">
        <f>SUM(Q146:R146)</f>
        <v>545.7798499999999</v>
      </c>
      <c r="T146" s="914">
        <f>'BESCOM D-22(Current Tariff)'!R140</f>
        <v>545.7798499999999</v>
      </c>
      <c r="U146" s="930">
        <f>S146-T146</f>
        <v>0</v>
      </c>
      <c r="V146" s="931">
        <f>U146/H146*10</f>
        <v>0</v>
      </c>
      <c r="W146" s="932">
        <f>U146/T146%</f>
        <v>0</v>
      </c>
      <c r="X146" s="931">
        <f>H146*X$4/10</f>
        <v>758.47469999999987</v>
      </c>
      <c r="Y146" s="931">
        <f>(T146-X146)/X146%</f>
        <v>-28.042444922684965</v>
      </c>
      <c r="Z146" s="931">
        <f>H146*Z$4/10</f>
        <v>758.47469999999987</v>
      </c>
      <c r="AA146" s="933">
        <f>(S146-Z146)/Z146%</f>
        <v>-28.042444922684965</v>
      </c>
      <c r="AB146" s="887">
        <f>(S146-(H146*AB$2/10))/(H146*AB$2/10)*100</f>
        <v>-23.280547895509709</v>
      </c>
      <c r="AC146" s="934">
        <f>(T146-(H146*AB$3/10))/(H146*AB$3/10)*100</f>
        <v>-20.655167405241983</v>
      </c>
      <c r="AD146" s="887">
        <f>S146/H146*10</f>
        <v>6.2603072917264075</v>
      </c>
    </row>
    <row r="147" spans="1:30" ht="14.1" customHeight="1" thickBot="1" x14ac:dyDescent="0.25">
      <c r="A147" s="250"/>
      <c r="B147" s="251"/>
      <c r="C147" s="251"/>
      <c r="D147" s="295"/>
      <c r="E147" s="295"/>
      <c r="F147" s="313"/>
      <c r="G147" s="313"/>
      <c r="H147" s="846"/>
      <c r="I147" s="255"/>
      <c r="J147" s="255"/>
      <c r="K147" s="255"/>
      <c r="L147" s="255"/>
      <c r="M147" s="255"/>
      <c r="N147" s="255"/>
      <c r="O147" s="732"/>
      <c r="P147" s="187"/>
      <c r="Q147" s="691"/>
      <c r="R147" s="139"/>
      <c r="S147" s="1091"/>
      <c r="T147" s="914"/>
      <c r="U147" s="930"/>
      <c r="V147" s="931"/>
      <c r="W147" s="932"/>
      <c r="X147" s="931"/>
      <c r="Y147" s="931"/>
      <c r="Z147" s="931"/>
      <c r="AA147" s="933"/>
      <c r="AB147" s="887"/>
      <c r="AC147" s="934"/>
      <c r="AD147" s="887"/>
    </row>
    <row r="148" spans="1:30" ht="14.1" customHeight="1" thickBot="1" x14ac:dyDescent="0.25">
      <c r="A148" s="253" t="s">
        <v>119</v>
      </c>
      <c r="B148" s="254"/>
      <c r="C148" s="254"/>
      <c r="D148" s="254"/>
      <c r="E148" s="254" t="s">
        <v>39</v>
      </c>
      <c r="F148" s="195">
        <f>F146</f>
        <v>301</v>
      </c>
      <c r="G148" s="195">
        <f>G146</f>
        <v>225750</v>
      </c>
      <c r="H148" s="823">
        <f>H146</f>
        <v>871.81</v>
      </c>
      <c r="I148" s="254"/>
      <c r="J148" s="308"/>
      <c r="K148" s="308"/>
      <c r="L148" s="308"/>
      <c r="M148" s="308"/>
      <c r="N148" s="308"/>
      <c r="O148" s="741"/>
      <c r="P148" s="143"/>
      <c r="Q148" s="972">
        <f>Q146</f>
        <v>57.566249999999997</v>
      </c>
      <c r="R148" s="143">
        <f>R146</f>
        <v>488.21359999999993</v>
      </c>
      <c r="S148" s="1092">
        <f>S146</f>
        <v>545.7798499999999</v>
      </c>
      <c r="T148" s="914"/>
      <c r="U148" s="930"/>
      <c r="V148" s="931"/>
      <c r="W148" s="932"/>
      <c r="X148" s="931"/>
      <c r="Y148" s="931"/>
      <c r="Z148" s="931"/>
      <c r="AA148" s="933"/>
      <c r="AB148" s="887"/>
      <c r="AC148" s="934"/>
      <c r="AD148" s="887"/>
    </row>
    <row r="149" spans="1:30" ht="14.1" customHeight="1" thickBot="1" x14ac:dyDescent="0.25">
      <c r="A149" s="250"/>
      <c r="B149" s="251"/>
      <c r="C149" s="251"/>
      <c r="D149" s="251"/>
      <c r="E149" s="251"/>
      <c r="F149" s="194"/>
      <c r="G149" s="194"/>
      <c r="H149" s="824"/>
      <c r="I149" s="251"/>
      <c r="J149" s="282"/>
      <c r="K149" s="282"/>
      <c r="L149" s="282"/>
      <c r="M149" s="255"/>
      <c r="N149" s="255"/>
      <c r="O149" s="732"/>
      <c r="P149" s="187"/>
      <c r="Q149" s="691"/>
      <c r="R149" s="139"/>
      <c r="S149" s="1100"/>
      <c r="T149" s="914"/>
      <c r="U149" s="930"/>
      <c r="V149" s="931"/>
      <c r="W149" s="932"/>
      <c r="X149" s="931"/>
      <c r="Y149" s="931"/>
      <c r="Z149" s="931"/>
      <c r="AA149" s="933"/>
      <c r="AB149" s="887"/>
      <c r="AC149" s="934"/>
      <c r="AD149" s="887"/>
    </row>
    <row r="150" spans="1:30" ht="14.1" customHeight="1" x14ac:dyDescent="0.2">
      <c r="A150" s="283">
        <v>2</v>
      </c>
      <c r="B150" s="260" t="s">
        <v>120</v>
      </c>
      <c r="C150" s="1570" t="s">
        <v>382</v>
      </c>
      <c r="D150" s="255"/>
      <c r="E150" s="260" t="s">
        <v>115</v>
      </c>
      <c r="F150" s="259">
        <f>'BESCOM D-22(Current Tariff)'!I144</f>
        <v>4499</v>
      </c>
      <c r="G150" s="570">
        <f>'BESCOM D-22(Current Tariff)'!J144</f>
        <v>2361975</v>
      </c>
      <c r="H150" s="836"/>
      <c r="I150" s="260" t="s">
        <v>116</v>
      </c>
      <c r="J150" s="261">
        <v>275</v>
      </c>
      <c r="K150" s="261"/>
      <c r="L150" s="261">
        <f>J150+K150</f>
        <v>275</v>
      </c>
      <c r="M150" s="260"/>
      <c r="N150" s="260"/>
      <c r="O150" s="733"/>
      <c r="P150" s="1021"/>
      <c r="Q150" s="1011">
        <f>(G150*85/100*L150*12)/(10^7)</f>
        <v>662.53398749999997</v>
      </c>
      <c r="R150" s="1057"/>
      <c r="S150" s="1100"/>
      <c r="T150" s="914"/>
      <c r="U150" s="930"/>
      <c r="V150" s="931"/>
      <c r="W150" s="932"/>
      <c r="X150" s="931"/>
      <c r="Y150" s="931"/>
      <c r="Z150" s="931"/>
      <c r="AA150" s="933"/>
      <c r="AB150" s="887"/>
      <c r="AC150" s="934"/>
      <c r="AD150" s="887"/>
    </row>
    <row r="151" spans="1:30" ht="14.1" customHeight="1" thickBot="1" x14ac:dyDescent="0.25">
      <c r="A151" s="285"/>
      <c r="B151" s="267"/>
      <c r="C151" s="1571"/>
      <c r="D151" s="264"/>
      <c r="E151" s="267"/>
      <c r="F151" s="266"/>
      <c r="G151" s="266"/>
      <c r="H151" s="827"/>
      <c r="I151" s="269"/>
      <c r="J151" s="269"/>
      <c r="K151" s="269"/>
      <c r="L151" s="269"/>
      <c r="M151" s="269"/>
      <c r="N151" s="269"/>
      <c r="O151" s="734"/>
      <c r="P151" s="1013"/>
      <c r="Q151" s="994"/>
      <c r="R151" s="1057"/>
      <c r="S151" s="1100"/>
      <c r="T151" s="914"/>
      <c r="U151" s="930"/>
      <c r="V151" s="931"/>
      <c r="W151" s="932"/>
      <c r="X151" s="931"/>
      <c r="Y151" s="931"/>
      <c r="Z151" s="931"/>
      <c r="AA151" s="933"/>
      <c r="AB151" s="887"/>
      <c r="AC151" s="934"/>
      <c r="AD151" s="887"/>
    </row>
    <row r="152" spans="1:30" ht="14.1" customHeight="1" thickBot="1" x14ac:dyDescent="0.25">
      <c r="A152" s="285"/>
      <c r="B152" s="267"/>
      <c r="C152" s="267"/>
      <c r="D152" s="264" t="s">
        <v>122</v>
      </c>
      <c r="E152" s="267"/>
      <c r="F152" s="266"/>
      <c r="G152" s="266"/>
      <c r="H152" s="827">
        <f>'BESCOM D-22(Current Tariff)'!K146</f>
        <v>987.2879999999999</v>
      </c>
      <c r="I152" s="269"/>
      <c r="J152" s="271"/>
      <c r="K152" s="271"/>
      <c r="L152" s="271"/>
      <c r="M152" s="268" t="s">
        <v>122</v>
      </c>
      <c r="N152" s="268">
        <f>'BESCOM D-22(Current Tariff)'!O146</f>
        <v>7.5</v>
      </c>
      <c r="O152" s="738">
        <v>0</v>
      </c>
      <c r="P152" s="1008">
        <f>N152+O152</f>
        <v>7.5</v>
      </c>
      <c r="Q152" s="994"/>
      <c r="R152" s="996">
        <f>H152*P152/10</f>
        <v>740.46599999999989</v>
      </c>
      <c r="S152" s="1100"/>
      <c r="T152" s="914"/>
      <c r="U152" s="930"/>
      <c r="V152" s="931"/>
      <c r="W152" s="932"/>
      <c r="X152" s="931"/>
      <c r="Y152" s="931"/>
      <c r="Z152" s="931"/>
      <c r="AA152" s="933"/>
      <c r="AB152" s="887"/>
      <c r="AC152" s="934"/>
      <c r="AD152" s="887"/>
    </row>
    <row r="153" spans="1:30" ht="14.1" customHeight="1" x14ac:dyDescent="0.2">
      <c r="A153" s="285"/>
      <c r="B153" s="267"/>
      <c r="C153" s="267"/>
      <c r="D153" s="264" t="s">
        <v>123</v>
      </c>
      <c r="E153" s="267"/>
      <c r="F153" s="266"/>
      <c r="G153" s="266"/>
      <c r="H153" s="827">
        <f>'BESCOM D-22(Current Tariff)'!K147</f>
        <v>1480.9319999999998</v>
      </c>
      <c r="I153" s="269"/>
      <c r="J153" s="271"/>
      <c r="K153" s="271"/>
      <c r="L153" s="271"/>
      <c r="M153" s="268" t="s">
        <v>123</v>
      </c>
      <c r="N153" s="268">
        <f>'BESCOM D-22(Current Tariff)'!O147</f>
        <v>7.8</v>
      </c>
      <c r="O153" s="738">
        <v>0</v>
      </c>
      <c r="P153" s="1008">
        <f>N153+O153</f>
        <v>7.8</v>
      </c>
      <c r="Q153" s="994"/>
      <c r="R153" s="996">
        <f>H153*P153/10</f>
        <v>1155.1269599999998</v>
      </c>
      <c r="S153" s="1100"/>
      <c r="T153" s="914"/>
      <c r="U153" s="930"/>
      <c r="V153" s="931"/>
      <c r="W153" s="932"/>
      <c r="X153" s="931"/>
      <c r="Y153" s="931"/>
      <c r="Z153" s="931"/>
      <c r="AA153" s="933"/>
      <c r="AB153" s="887"/>
      <c r="AC153" s="934"/>
      <c r="AD153" s="887"/>
    </row>
    <row r="154" spans="1:30" ht="14.1" customHeight="1" thickBot="1" x14ac:dyDescent="0.25">
      <c r="A154" s="287"/>
      <c r="B154" s="288"/>
      <c r="C154" s="288"/>
      <c r="D154" s="274" t="s">
        <v>49</v>
      </c>
      <c r="E154" s="289" t="s">
        <v>115</v>
      </c>
      <c r="F154" s="277">
        <f>'BESCOM D-22(Current Tariff)'!I148</f>
        <v>4499</v>
      </c>
      <c r="G154" s="277">
        <f>G150</f>
        <v>2361975</v>
      </c>
      <c r="H154" s="828">
        <f>SUM(H152:H153)</f>
        <v>2468.2199999999998</v>
      </c>
      <c r="I154" s="278"/>
      <c r="J154" s="278"/>
      <c r="K154" s="278"/>
      <c r="L154" s="278"/>
      <c r="M154" s="278"/>
      <c r="N154" s="278"/>
      <c r="O154" s="736"/>
      <c r="P154" s="1020"/>
      <c r="Q154" s="974">
        <f>Q150</f>
        <v>662.53398749999997</v>
      </c>
      <c r="R154" s="996">
        <f>SUM(R152:R153)</f>
        <v>1895.5929599999997</v>
      </c>
      <c r="S154" s="1100">
        <f>SUM(Q154:R154)</f>
        <v>2558.1269474999999</v>
      </c>
      <c r="T154" s="914">
        <f>'BESCOM D-22(Current Tariff)'!R148</f>
        <v>2558.1269474999999</v>
      </c>
      <c r="U154" s="930">
        <f>S154-T154</f>
        <v>0</v>
      </c>
      <c r="V154" s="931">
        <f>U154/H154*10</f>
        <v>0</v>
      </c>
      <c r="W154" s="932">
        <f>U154/T154%</f>
        <v>0</v>
      </c>
      <c r="X154" s="931">
        <f>H154*X$4/10</f>
        <v>2147.3513999999996</v>
      </c>
      <c r="Y154" s="931">
        <f>(T154-X154)/X154%</f>
        <v>19.129405066166647</v>
      </c>
      <c r="Z154" s="931">
        <f>H154*Z$4/10</f>
        <v>2147.3513999999996</v>
      </c>
      <c r="AA154" s="933">
        <f>(S154-Z154)/Z154%</f>
        <v>19.129405066166647</v>
      </c>
      <c r="AB154" s="887">
        <f>(S154-(H154*AB$2/10))/(H154*AB$2/10)*100</f>
        <v>27.01296863672178</v>
      </c>
      <c r="AC154" s="934">
        <f>(T154-(H154*AB$3/10))/(H154*AB$3/10)*100</f>
        <v>31.359420034936591</v>
      </c>
      <c r="AD154" s="887">
        <f>S154/H154*10</f>
        <v>10.364258240756497</v>
      </c>
    </row>
    <row r="155" spans="1:30" ht="14.1" customHeight="1" thickBot="1" x14ac:dyDescent="0.25">
      <c r="A155" s="250"/>
      <c r="B155" s="251"/>
      <c r="C155" s="251"/>
      <c r="D155" s="251"/>
      <c r="E155" s="251"/>
      <c r="F155" s="194"/>
      <c r="G155" s="194"/>
      <c r="H155" s="824"/>
      <c r="I155" s="255"/>
      <c r="J155" s="255"/>
      <c r="K155" s="255"/>
      <c r="L155" s="255"/>
      <c r="M155" s="255"/>
      <c r="N155" s="255"/>
      <c r="O155" s="732"/>
      <c r="P155" s="187"/>
      <c r="Q155" s="691"/>
      <c r="R155" s="993"/>
      <c r="S155" s="1100"/>
      <c r="T155" s="914"/>
      <c r="U155" s="930"/>
      <c r="V155" s="931"/>
      <c r="W155" s="932"/>
      <c r="X155" s="931"/>
      <c r="Y155" s="931"/>
      <c r="Z155" s="931"/>
      <c r="AA155" s="933"/>
      <c r="AB155" s="887"/>
      <c r="AC155" s="934"/>
      <c r="AD155" s="887"/>
    </row>
    <row r="156" spans="1:30" ht="14.1" customHeight="1" x14ac:dyDescent="0.2">
      <c r="A156" s="283">
        <v>3</v>
      </c>
      <c r="B156" s="260" t="s">
        <v>124</v>
      </c>
      <c r="C156" s="1570" t="s">
        <v>383</v>
      </c>
      <c r="D156" s="255"/>
      <c r="E156" s="260" t="s">
        <v>115</v>
      </c>
      <c r="F156" s="259">
        <f>'BESCOM D-22(Current Tariff)'!I150</f>
        <v>3681</v>
      </c>
      <c r="G156" s="570">
        <f>'BESCOM D-22(Current Tariff)'!J150</f>
        <v>1674855</v>
      </c>
      <c r="H156" s="836"/>
      <c r="I156" s="260" t="s">
        <v>116</v>
      </c>
      <c r="J156" s="261">
        <v>265</v>
      </c>
      <c r="K156" s="261"/>
      <c r="L156" s="261">
        <f>J156+K156</f>
        <v>265</v>
      </c>
      <c r="M156" s="260"/>
      <c r="N156" s="260"/>
      <c r="O156" s="733"/>
      <c r="P156" s="1021"/>
      <c r="Q156" s="1011">
        <f>(G156*85/100*L156*12)/(10^7)</f>
        <v>452.71330649999999</v>
      </c>
      <c r="R156" s="996"/>
      <c r="S156" s="1100"/>
      <c r="T156" s="914"/>
      <c r="U156" s="930"/>
      <c r="V156" s="931"/>
      <c r="W156" s="932"/>
      <c r="X156" s="931"/>
      <c r="Y156" s="931"/>
      <c r="Z156" s="931"/>
      <c r="AA156" s="933"/>
      <c r="AB156" s="887"/>
      <c r="AC156" s="934"/>
      <c r="AD156" s="887"/>
    </row>
    <row r="157" spans="1:30" ht="14.1" customHeight="1" thickBot="1" x14ac:dyDescent="0.25">
      <c r="A157" s="285"/>
      <c r="B157" s="267"/>
      <c r="C157" s="1571"/>
      <c r="D157" s="264"/>
      <c r="E157" s="267"/>
      <c r="F157" s="266"/>
      <c r="G157" s="266"/>
      <c r="H157" s="827"/>
      <c r="I157" s="267"/>
      <c r="J157" s="268"/>
      <c r="K157" s="268"/>
      <c r="L157" s="268"/>
      <c r="M157" s="269"/>
      <c r="N157" s="269"/>
      <c r="O157" s="734"/>
      <c r="P157" s="1013"/>
      <c r="Q157" s="994"/>
      <c r="R157" s="996"/>
      <c r="S157" s="1100"/>
      <c r="T157" s="914"/>
      <c r="U157" s="930"/>
      <c r="V157" s="931"/>
      <c r="W157" s="932"/>
      <c r="X157" s="931"/>
      <c r="Y157" s="931"/>
      <c r="Z157" s="931"/>
      <c r="AA157" s="933"/>
      <c r="AB157" s="887"/>
      <c r="AC157" s="934"/>
      <c r="AD157" s="887"/>
    </row>
    <row r="158" spans="1:30" ht="14.1" customHeight="1" thickBot="1" x14ac:dyDescent="0.25">
      <c r="A158" s="285"/>
      <c r="B158" s="267"/>
      <c r="C158" s="267" t="s">
        <v>127</v>
      </c>
      <c r="D158" s="264" t="s">
        <v>122</v>
      </c>
      <c r="E158" s="267"/>
      <c r="F158" s="266"/>
      <c r="G158" s="266"/>
      <c r="H158" s="827">
        <f>'BESCOM D-22(Current Tariff)'!K152</f>
        <v>807.78399999999999</v>
      </c>
      <c r="I158" s="267"/>
      <c r="J158" s="268"/>
      <c r="K158" s="268"/>
      <c r="L158" s="268"/>
      <c r="M158" s="268" t="s">
        <v>122</v>
      </c>
      <c r="N158" s="268">
        <f>'BESCOM D-22(Current Tariff)'!O152</f>
        <v>7.4</v>
      </c>
      <c r="O158" s="738">
        <v>0</v>
      </c>
      <c r="P158" s="1008">
        <f>N158+O158</f>
        <v>7.4</v>
      </c>
      <c r="Q158" s="994"/>
      <c r="R158" s="996">
        <f>H158*P158/10</f>
        <v>597.76016000000004</v>
      </c>
      <c r="S158" s="1100"/>
      <c r="T158" s="914"/>
      <c r="U158" s="930"/>
      <c r="V158" s="931"/>
      <c r="W158" s="932"/>
      <c r="X158" s="931"/>
      <c r="Y158" s="931"/>
      <c r="Z158" s="931"/>
      <c r="AA158" s="933"/>
      <c r="AB158" s="887"/>
      <c r="AC158" s="934"/>
      <c r="AD158" s="887"/>
    </row>
    <row r="159" spans="1:30" ht="14.1" customHeight="1" x14ac:dyDescent="0.2">
      <c r="A159" s="285"/>
      <c r="B159" s="267"/>
      <c r="C159" s="267" t="s">
        <v>128</v>
      </c>
      <c r="D159" s="264" t="s">
        <v>123</v>
      </c>
      <c r="E159" s="267"/>
      <c r="F159" s="266"/>
      <c r="G159" s="266"/>
      <c r="H159" s="827">
        <f>'BESCOM D-22(Current Tariff)'!K153</f>
        <v>1211.6759999999999</v>
      </c>
      <c r="I159" s="269"/>
      <c r="J159" s="293"/>
      <c r="K159" s="293"/>
      <c r="L159" s="293"/>
      <c r="M159" s="268" t="s">
        <v>123</v>
      </c>
      <c r="N159" s="268">
        <f>'BESCOM D-22(Current Tariff)'!O153</f>
        <v>7.6</v>
      </c>
      <c r="O159" s="738">
        <v>0</v>
      </c>
      <c r="P159" s="1008">
        <f>N159+O159</f>
        <v>7.6</v>
      </c>
      <c r="Q159" s="994"/>
      <c r="R159" s="996">
        <f>H159*P159/10</f>
        <v>920.87375999999983</v>
      </c>
      <c r="S159" s="1100"/>
      <c r="T159" s="914"/>
      <c r="U159" s="931"/>
      <c r="V159" s="931"/>
      <c r="W159" s="932"/>
      <c r="X159" s="931"/>
      <c r="Y159" s="935"/>
      <c r="Z159" s="935"/>
      <c r="AA159" s="936"/>
      <c r="AB159" s="887"/>
      <c r="AC159" s="934"/>
      <c r="AD159" s="887"/>
    </row>
    <row r="160" spans="1:30" ht="14.1" customHeight="1" thickBot="1" x14ac:dyDescent="0.25">
      <c r="A160" s="287"/>
      <c r="B160" s="288"/>
      <c r="C160" s="288"/>
      <c r="D160" s="274" t="s">
        <v>49</v>
      </c>
      <c r="E160" s="289" t="s">
        <v>115</v>
      </c>
      <c r="F160" s="277">
        <f>'BESCOM D-22(Current Tariff)'!I154</f>
        <v>3681</v>
      </c>
      <c r="G160" s="277">
        <f>G156</f>
        <v>1674855</v>
      </c>
      <c r="H160" s="828">
        <f>SUM(H158:H159)</f>
        <v>2019.46</v>
      </c>
      <c r="I160" s="278"/>
      <c r="J160" s="278"/>
      <c r="K160" s="278"/>
      <c r="L160" s="278"/>
      <c r="M160" s="278"/>
      <c r="N160" s="278"/>
      <c r="O160" s="736"/>
      <c r="P160" s="1020"/>
      <c r="Q160" s="974">
        <f>Q156</f>
        <v>452.71330649999999</v>
      </c>
      <c r="R160" s="996">
        <f>SUM(R158:R159)</f>
        <v>1518.6339199999998</v>
      </c>
      <c r="S160" s="1100">
        <f>SUM(Q160:R160)</f>
        <v>1971.3472264999998</v>
      </c>
      <c r="T160" s="914">
        <f>'BESCOM D-22(Current Tariff)'!R154</f>
        <v>1971.3472264999998</v>
      </c>
      <c r="U160" s="931">
        <f>S160-T160</f>
        <v>0</v>
      </c>
      <c r="V160" s="931">
        <f>U160/H160*10</f>
        <v>0</v>
      </c>
      <c r="W160" s="932">
        <f>U160/T160%</f>
        <v>0</v>
      </c>
      <c r="X160" s="931">
        <f>H160*X$4/10</f>
        <v>1756.9302</v>
      </c>
      <c r="Y160" s="935">
        <f>(T160-X160)/X160%</f>
        <v>12.204071994436648</v>
      </c>
      <c r="Z160" s="935">
        <f>H160*Z$4/10</f>
        <v>1756.9302</v>
      </c>
      <c r="AA160" s="936">
        <f>(S160-Z160)/Z160%</f>
        <v>12.204071994436648</v>
      </c>
      <c r="AB160" s="887">
        <f>(S160-(H160*AB$2/10))/(H160*AB$2/10)*100</f>
        <v>19.629341464656711</v>
      </c>
      <c r="AC160" s="934">
        <f>(T160-(H160*AB$3/10))/(H160*AB$3/10)*100</f>
        <v>23.723121210595547</v>
      </c>
      <c r="AD160" s="887">
        <f>S160/H160*10</f>
        <v>9.7617542635159875</v>
      </c>
    </row>
    <row r="161" spans="1:30" ht="14.1" customHeight="1" x14ac:dyDescent="0.2">
      <c r="A161" s="250"/>
      <c r="B161" s="251"/>
      <c r="C161" s="251"/>
      <c r="D161" s="251"/>
      <c r="E161" s="251"/>
      <c r="F161" s="194"/>
      <c r="G161" s="194"/>
      <c r="H161" s="824"/>
      <c r="I161" s="255"/>
      <c r="J161" s="255"/>
      <c r="K161" s="255"/>
      <c r="L161" s="255"/>
      <c r="M161" s="255"/>
      <c r="N161" s="255"/>
      <c r="O161" s="732"/>
      <c r="P161" s="187"/>
      <c r="Q161" s="691"/>
      <c r="R161" s="139"/>
      <c r="S161" s="1100"/>
      <c r="T161" s="914"/>
      <c r="U161" s="932"/>
      <c r="V161" s="931"/>
      <c r="W161" s="931"/>
      <c r="X161" s="931"/>
      <c r="Y161" s="931"/>
      <c r="Z161" s="931"/>
      <c r="AA161" s="933"/>
      <c r="AB161" s="887"/>
      <c r="AC161" s="934"/>
      <c r="AD161" s="887"/>
    </row>
    <row r="162" spans="1:30" ht="14.1" customHeight="1" x14ac:dyDescent="0.2">
      <c r="A162" s="297" t="s">
        <v>129</v>
      </c>
      <c r="B162" s="298"/>
      <c r="C162" s="298"/>
      <c r="D162" s="298"/>
      <c r="E162" s="298" t="s">
        <v>39</v>
      </c>
      <c r="F162" s="299">
        <f>F160+F154</f>
        <v>8180</v>
      </c>
      <c r="G162" s="299">
        <f>(G160+G154)</f>
        <v>4036830</v>
      </c>
      <c r="H162" s="837">
        <f>H160+H154</f>
        <v>4487.68</v>
      </c>
      <c r="I162" s="298"/>
      <c r="J162" s="302"/>
      <c r="K162" s="302"/>
      <c r="L162" s="302"/>
      <c r="M162" s="302"/>
      <c r="N162" s="302"/>
      <c r="O162" s="302"/>
      <c r="P162" s="171"/>
      <c r="Q162" s="981">
        <f>SUM(Q154,Q160)</f>
        <v>1115.247294</v>
      </c>
      <c r="R162" s="171">
        <f>SUM(R154,R160)</f>
        <v>3414.2268799999993</v>
      </c>
      <c r="S162" s="1100">
        <f>SUM(S154,S160)</f>
        <v>4529.4741739999999</v>
      </c>
      <c r="T162" s="881">
        <f>T160+T154</f>
        <v>4529.4741739999999</v>
      </c>
      <c r="U162" s="937">
        <f>U160+U154</f>
        <v>0</v>
      </c>
      <c r="V162" s="938">
        <f>U162/H162*10</f>
        <v>0</v>
      </c>
      <c r="W162" s="938">
        <f>U162/T162%</f>
        <v>0</v>
      </c>
      <c r="X162" s="931"/>
      <c r="Y162" s="931"/>
      <c r="Z162" s="931"/>
      <c r="AA162" s="933"/>
      <c r="AB162" s="887"/>
      <c r="AC162" s="934"/>
      <c r="AD162" s="887"/>
    </row>
    <row r="163" spans="1:30" ht="14.1" customHeight="1" thickBot="1" x14ac:dyDescent="0.25">
      <c r="A163" s="279"/>
      <c r="B163" s="280"/>
      <c r="C163" s="280"/>
      <c r="D163" s="280"/>
      <c r="E163" s="280"/>
      <c r="F163" s="281"/>
      <c r="G163" s="281"/>
      <c r="H163" s="829"/>
      <c r="I163" s="307"/>
      <c r="J163" s="307"/>
      <c r="K163" s="307"/>
      <c r="L163" s="307"/>
      <c r="M163" s="307"/>
      <c r="N163" s="307"/>
      <c r="O163" s="740"/>
      <c r="P163" s="1030"/>
      <c r="Q163" s="697"/>
      <c r="R163" s="176"/>
      <c r="S163" s="1100"/>
      <c r="T163" s="914"/>
      <c r="U163" s="932"/>
      <c r="V163" s="931"/>
      <c r="W163" s="931"/>
      <c r="X163" s="931"/>
      <c r="Y163" s="931"/>
      <c r="Z163" s="931"/>
      <c r="AA163" s="933"/>
      <c r="AB163" s="887"/>
      <c r="AC163" s="934"/>
      <c r="AD163" s="887"/>
    </row>
    <row r="164" spans="1:30" ht="14.1" customHeight="1" x14ac:dyDescent="0.2">
      <c r="A164" s="283">
        <v>4</v>
      </c>
      <c r="B164" s="260" t="s">
        <v>130</v>
      </c>
      <c r="C164" s="260" t="s">
        <v>385</v>
      </c>
      <c r="D164" s="255"/>
      <c r="E164" s="260" t="s">
        <v>115</v>
      </c>
      <c r="F164" s="259">
        <f>'BESCOM D-22(Current Tariff)'!I158</f>
        <v>7651</v>
      </c>
      <c r="G164" s="259">
        <f>'BESCOM D-22(Current Tariff)'!J158</f>
        <v>2716105</v>
      </c>
      <c r="H164" s="836"/>
      <c r="I164" s="260" t="s">
        <v>116</v>
      </c>
      <c r="J164" s="261">
        <v>300</v>
      </c>
      <c r="K164" s="261"/>
      <c r="L164" s="261">
        <f>J164+K164</f>
        <v>300</v>
      </c>
      <c r="M164" s="260"/>
      <c r="N164" s="260"/>
      <c r="O164" s="733"/>
      <c r="P164" s="1021"/>
      <c r="Q164" s="1011">
        <f>(G164*85/100*L164*12)/(10^7)</f>
        <v>831.12813000000006</v>
      </c>
      <c r="R164" s="1057"/>
      <c r="S164" s="1100"/>
      <c r="T164" s="914"/>
      <c r="U164" s="932"/>
      <c r="V164" s="931"/>
      <c r="W164" s="931"/>
      <c r="X164" s="931"/>
      <c r="Y164" s="931"/>
      <c r="Z164" s="931"/>
      <c r="AA164" s="933"/>
      <c r="AB164" s="887"/>
      <c r="AC164" s="934"/>
      <c r="AD164" s="887"/>
    </row>
    <row r="165" spans="1:30" ht="14.1" customHeight="1" thickBot="1" x14ac:dyDescent="0.25">
      <c r="A165" s="285"/>
      <c r="B165" s="267"/>
      <c r="C165" s="267" t="s">
        <v>384</v>
      </c>
      <c r="D165" s="264"/>
      <c r="E165" s="267"/>
      <c r="F165" s="266"/>
      <c r="G165" s="266"/>
      <c r="H165" s="827"/>
      <c r="I165" s="267"/>
      <c r="J165" s="268"/>
      <c r="K165" s="268"/>
      <c r="L165" s="268"/>
      <c r="M165" s="269"/>
      <c r="N165" s="269"/>
      <c r="O165" s="734"/>
      <c r="P165" s="1013"/>
      <c r="Q165" s="994"/>
      <c r="R165" s="1057"/>
      <c r="S165" s="1100"/>
      <c r="T165" s="914"/>
      <c r="U165" s="932"/>
      <c r="V165" s="931"/>
      <c r="W165" s="931"/>
      <c r="X165" s="931"/>
      <c r="Y165" s="931"/>
      <c r="Z165" s="931"/>
      <c r="AA165" s="933"/>
      <c r="AB165" s="887"/>
      <c r="AC165" s="934"/>
      <c r="AD165" s="887"/>
    </row>
    <row r="166" spans="1:30" ht="14.1" customHeight="1" thickBot="1" x14ac:dyDescent="0.25">
      <c r="A166" s="285"/>
      <c r="B166" s="267"/>
      <c r="C166" s="267"/>
      <c r="D166" s="264" t="s">
        <v>131</v>
      </c>
      <c r="E166" s="267"/>
      <c r="F166" s="266"/>
      <c r="G166" s="266"/>
      <c r="H166" s="827">
        <f>'BESCOM D-22(Current Tariff)'!K160</f>
        <v>1278.1483500000002</v>
      </c>
      <c r="I166" s="269"/>
      <c r="J166" s="269"/>
      <c r="K166" s="269"/>
      <c r="L166" s="269"/>
      <c r="M166" s="268" t="s">
        <v>131</v>
      </c>
      <c r="N166" s="268">
        <f>'BESCOM D-22(Current Tariff)'!O160</f>
        <v>9.3000000000000007</v>
      </c>
      <c r="O166" s="738">
        <v>0</v>
      </c>
      <c r="P166" s="1008">
        <f>N166+O166</f>
        <v>9.3000000000000007</v>
      </c>
      <c r="Q166" s="994"/>
      <c r="R166" s="996">
        <f>H166*P166/10</f>
        <v>1188.6779655000003</v>
      </c>
      <c r="S166" s="1100"/>
      <c r="T166" s="914"/>
      <c r="U166" s="932"/>
      <c r="V166" s="931"/>
      <c r="W166" s="931"/>
      <c r="X166" s="931"/>
      <c r="Y166" s="931"/>
      <c r="Z166" s="931"/>
      <c r="AA166" s="933"/>
      <c r="AB166" s="887"/>
      <c r="AC166" s="934"/>
      <c r="AD166" s="887"/>
    </row>
    <row r="167" spans="1:30" ht="14.1" customHeight="1" x14ac:dyDescent="0.2">
      <c r="A167" s="285"/>
      <c r="B167" s="267"/>
      <c r="C167" s="267"/>
      <c r="D167" s="264" t="s">
        <v>132</v>
      </c>
      <c r="E167" s="267"/>
      <c r="F167" s="266"/>
      <c r="G167" s="266"/>
      <c r="H167" s="827">
        <f>'BESCOM D-22(Current Tariff)'!K161</f>
        <v>587.76164999999992</v>
      </c>
      <c r="I167" s="269"/>
      <c r="J167" s="269"/>
      <c r="K167" s="269"/>
      <c r="L167" s="269"/>
      <c r="M167" s="268" t="s">
        <v>132</v>
      </c>
      <c r="N167" s="268">
        <f>'BESCOM D-22(Current Tariff)'!O161</f>
        <v>9.4</v>
      </c>
      <c r="O167" s="738">
        <v>0</v>
      </c>
      <c r="P167" s="1008">
        <f>N167+O167</f>
        <v>9.4</v>
      </c>
      <c r="Q167" s="994"/>
      <c r="R167" s="996">
        <f>H167*P167/10</f>
        <v>552.49595099999999</v>
      </c>
      <c r="S167" s="1100"/>
      <c r="T167" s="914"/>
      <c r="U167" s="932"/>
      <c r="V167" s="931"/>
      <c r="W167" s="931"/>
      <c r="X167" s="931"/>
      <c r="Y167" s="931"/>
      <c r="Z167" s="931"/>
      <c r="AA167" s="933"/>
      <c r="AB167" s="887"/>
      <c r="AC167" s="934"/>
      <c r="AD167" s="887"/>
    </row>
    <row r="168" spans="1:30" ht="14.1" customHeight="1" thickBot="1" x14ac:dyDescent="0.25">
      <c r="A168" s="287"/>
      <c r="B168" s="288"/>
      <c r="C168" s="288"/>
      <c r="D168" s="274" t="s">
        <v>49</v>
      </c>
      <c r="E168" s="289" t="s">
        <v>115</v>
      </c>
      <c r="F168" s="277">
        <f>'BESCOM D-22(Current Tariff)'!I162</f>
        <v>7651</v>
      </c>
      <c r="G168" s="277">
        <f>G164</f>
        <v>2716105</v>
      </c>
      <c r="H168" s="828">
        <f>SUM(H166:H167)</f>
        <v>1865.91</v>
      </c>
      <c r="I168" s="278"/>
      <c r="J168" s="278"/>
      <c r="K168" s="278"/>
      <c r="L168" s="278"/>
      <c r="M168" s="278"/>
      <c r="N168" s="278"/>
      <c r="O168" s="736"/>
      <c r="P168" s="1020"/>
      <c r="Q168" s="974">
        <f>Q164</f>
        <v>831.12813000000006</v>
      </c>
      <c r="R168" s="996">
        <f>SUM(R166:R167)</f>
        <v>1741.1739165000004</v>
      </c>
      <c r="S168" s="1100">
        <f>SUM(Q168:R168)</f>
        <v>2572.3020465000004</v>
      </c>
      <c r="T168" s="914">
        <f>'BESCOM D-22(Current Tariff)'!R162</f>
        <v>2572.3020465000004</v>
      </c>
      <c r="U168" s="932">
        <f>S168-T168</f>
        <v>0</v>
      </c>
      <c r="V168" s="931">
        <f>U168/H168*10</f>
        <v>0</v>
      </c>
      <c r="W168" s="931">
        <f>U168/T168%</f>
        <v>0</v>
      </c>
      <c r="X168" s="931">
        <f>H168*X$4/10</f>
        <v>1623.3416999999999</v>
      </c>
      <c r="Y168" s="931">
        <f>(T168-X168)/X168%</f>
        <v>58.457214922773225</v>
      </c>
      <c r="Z168" s="931">
        <f>H168*Z$4/10</f>
        <v>1623.3416999999999</v>
      </c>
      <c r="AA168" s="933">
        <f>(S168-Z168)/Z168%</f>
        <v>58.457214922773225</v>
      </c>
      <c r="AB168" s="887">
        <f>(S168-(H168*AB$2/10))/(H168*AB$2/10)*100</f>
        <v>68.943354145603791</v>
      </c>
      <c r="AC168" s="934">
        <f>(T168-(H168*AB$3/10))/(H168*AB$3/10)*100</f>
        <v>74.724685656289864</v>
      </c>
      <c r="AD168" s="887">
        <f>S168/H168*10</f>
        <v>13.785777698281269</v>
      </c>
    </row>
    <row r="169" spans="1:30" ht="14.1" customHeight="1" thickBot="1" x14ac:dyDescent="0.25">
      <c r="A169" s="250"/>
      <c r="B169" s="251"/>
      <c r="C169" s="251"/>
      <c r="D169" s="295"/>
      <c r="E169" s="295"/>
      <c r="F169" s="313"/>
      <c r="G169" s="313"/>
      <c r="H169" s="846"/>
      <c r="I169" s="255"/>
      <c r="J169" s="255"/>
      <c r="K169" s="255"/>
      <c r="L169" s="255"/>
      <c r="M169" s="255"/>
      <c r="N169" s="255"/>
      <c r="O169" s="732"/>
      <c r="P169" s="187"/>
      <c r="Q169" s="691"/>
      <c r="R169" s="993"/>
      <c r="S169" s="1100"/>
      <c r="T169" s="914"/>
      <c r="U169" s="932"/>
      <c r="V169" s="931"/>
      <c r="W169" s="931"/>
      <c r="X169" s="931"/>
      <c r="Y169" s="931"/>
      <c r="Z169" s="931"/>
      <c r="AA169" s="933"/>
      <c r="AB169" s="887"/>
      <c r="AC169" s="934"/>
      <c r="AD169" s="887"/>
    </row>
    <row r="170" spans="1:30" ht="14.1" customHeight="1" thickBot="1" x14ac:dyDescent="0.25">
      <c r="A170" s="283">
        <v>5</v>
      </c>
      <c r="B170" s="260" t="s">
        <v>133</v>
      </c>
      <c r="C170" s="260" t="s">
        <v>386</v>
      </c>
      <c r="D170" s="321"/>
      <c r="E170" s="260" t="s">
        <v>115</v>
      </c>
      <c r="F170" s="259">
        <f>'BESCOM D-22(Current Tariff)'!I164</f>
        <v>756</v>
      </c>
      <c r="G170" s="259">
        <f>'BESCOM D-22(Current Tariff)'!J164</f>
        <v>166320</v>
      </c>
      <c r="H170" s="836"/>
      <c r="I170" s="260" t="s">
        <v>116</v>
      </c>
      <c r="J170" s="261">
        <v>290</v>
      </c>
      <c r="K170" s="261"/>
      <c r="L170" s="261">
        <f>J170+K170</f>
        <v>290</v>
      </c>
      <c r="M170" s="260"/>
      <c r="N170" s="260"/>
      <c r="O170" s="733"/>
      <c r="P170" s="1021"/>
      <c r="Q170" s="1011">
        <f>(G170*85/100*L170*12)/(10^7)</f>
        <v>49.197456000000003</v>
      </c>
      <c r="R170" s="996"/>
      <c r="S170" s="1100"/>
      <c r="T170" s="914"/>
      <c r="U170" s="932"/>
      <c r="V170" s="931"/>
      <c r="W170" s="931"/>
      <c r="X170" s="931"/>
      <c r="Y170" s="931"/>
      <c r="Z170" s="931"/>
      <c r="AA170" s="933"/>
      <c r="AB170" s="887"/>
      <c r="AC170" s="934"/>
      <c r="AD170" s="887"/>
    </row>
    <row r="171" spans="1:30" ht="14.1" customHeight="1" thickBot="1" x14ac:dyDescent="0.25">
      <c r="A171" s="285"/>
      <c r="B171" s="267"/>
      <c r="C171" s="260" t="s">
        <v>130</v>
      </c>
      <c r="D171" s="274"/>
      <c r="E171" s="322"/>
      <c r="F171" s="323"/>
      <c r="G171" s="266"/>
      <c r="H171" s="854"/>
      <c r="I171" s="267"/>
      <c r="J171" s="268"/>
      <c r="K171" s="268"/>
      <c r="L171" s="268"/>
      <c r="M171" s="269"/>
      <c r="N171" s="269"/>
      <c r="O171" s="734"/>
      <c r="P171" s="1013"/>
      <c r="Q171" s="994"/>
      <c r="R171" s="996"/>
      <c r="S171" s="1100"/>
      <c r="T171" s="914"/>
      <c r="U171" s="932"/>
      <c r="V171" s="931"/>
      <c r="W171" s="931"/>
      <c r="X171" s="931"/>
      <c r="Y171" s="931"/>
      <c r="Z171" s="931"/>
      <c r="AA171" s="933"/>
      <c r="AB171" s="887"/>
      <c r="AC171" s="934"/>
      <c r="AD171" s="887"/>
    </row>
    <row r="172" spans="1:30" ht="14.1" customHeight="1" thickBot="1" x14ac:dyDescent="0.25">
      <c r="A172" s="285"/>
      <c r="B172" s="267"/>
      <c r="C172" s="267"/>
      <c r="D172" s="264" t="s">
        <v>131</v>
      </c>
      <c r="E172" s="267"/>
      <c r="F172" s="266"/>
      <c r="G172" s="266"/>
      <c r="H172" s="827">
        <f>'BESCOM D-22(Current Tariff)'!K166</f>
        <v>122.1828</v>
      </c>
      <c r="I172" s="267"/>
      <c r="J172" s="325"/>
      <c r="K172" s="325"/>
      <c r="L172" s="325"/>
      <c r="M172" s="268" t="s">
        <v>131</v>
      </c>
      <c r="N172" s="268">
        <f>'BESCOM D-22(Current Tariff)'!O166</f>
        <v>9.1</v>
      </c>
      <c r="O172" s="738">
        <v>0</v>
      </c>
      <c r="P172" s="1008">
        <f>N172+O172</f>
        <v>9.1</v>
      </c>
      <c r="Q172" s="994"/>
      <c r="R172" s="996">
        <f>H172*P172/10</f>
        <v>111.186348</v>
      </c>
      <c r="S172" s="1100"/>
      <c r="T172" s="914"/>
      <c r="U172" s="932"/>
      <c r="V172" s="931"/>
      <c r="W172" s="931"/>
      <c r="X172" s="931"/>
      <c r="Y172" s="931"/>
      <c r="Z172" s="931"/>
      <c r="AA172" s="933"/>
      <c r="AB172" s="887"/>
      <c r="AC172" s="934"/>
      <c r="AD172" s="887"/>
    </row>
    <row r="173" spans="1:30" ht="14.1" customHeight="1" x14ac:dyDescent="0.2">
      <c r="A173" s="285"/>
      <c r="B173" s="267"/>
      <c r="C173" s="267"/>
      <c r="D173" s="264" t="s">
        <v>132</v>
      </c>
      <c r="E173" s="267"/>
      <c r="F173" s="266"/>
      <c r="G173" s="266"/>
      <c r="H173" s="827">
        <f>'BESCOM D-22(Current Tariff)'!K167</f>
        <v>18.257199999999997</v>
      </c>
      <c r="I173" s="269"/>
      <c r="J173" s="326"/>
      <c r="K173" s="326"/>
      <c r="L173" s="326"/>
      <c r="M173" s="268" t="s">
        <v>132</v>
      </c>
      <c r="N173" s="268">
        <f>'BESCOM D-22(Current Tariff)'!O167</f>
        <v>9.1999999999999993</v>
      </c>
      <c r="O173" s="738">
        <v>0</v>
      </c>
      <c r="P173" s="1008">
        <f>N173+O173</f>
        <v>9.1999999999999993</v>
      </c>
      <c r="Q173" s="994"/>
      <c r="R173" s="996">
        <f>H173*P173/10</f>
        <v>16.796623999999998</v>
      </c>
      <c r="S173" s="1100"/>
      <c r="T173" s="914"/>
      <c r="U173" s="932"/>
      <c r="V173" s="931"/>
      <c r="W173" s="931"/>
      <c r="X173" s="931"/>
      <c r="Y173" s="935"/>
      <c r="Z173" s="935"/>
      <c r="AA173" s="936"/>
      <c r="AB173" s="887"/>
      <c r="AC173" s="934"/>
      <c r="AD173" s="887">
        <f>S173/H173*10</f>
        <v>0</v>
      </c>
    </row>
    <row r="174" spans="1:30" ht="14.1" customHeight="1" thickBot="1" x14ac:dyDescent="0.25">
      <c r="A174" s="287"/>
      <c r="B174" s="288"/>
      <c r="C174" s="288"/>
      <c r="D174" s="274" t="s">
        <v>49</v>
      </c>
      <c r="E174" s="289" t="s">
        <v>115</v>
      </c>
      <c r="F174" s="277">
        <f>'BESCOM D-22(Current Tariff)'!I168</f>
        <v>756</v>
      </c>
      <c r="G174" s="277">
        <f>G170</f>
        <v>166320</v>
      </c>
      <c r="H174" s="828">
        <f>SUM(H172:H173)</f>
        <v>140.44</v>
      </c>
      <c r="I174" s="278"/>
      <c r="J174" s="327"/>
      <c r="K174" s="327"/>
      <c r="L174" s="327"/>
      <c r="M174" s="278"/>
      <c r="N174" s="278"/>
      <c r="O174" s="736"/>
      <c r="P174" s="1020"/>
      <c r="Q174" s="974">
        <f>Q170</f>
        <v>49.197456000000003</v>
      </c>
      <c r="R174" s="996">
        <f>SUM(R172:R173)</f>
        <v>127.98297199999999</v>
      </c>
      <c r="S174" s="1100">
        <f>SUM(Q174:R174)</f>
        <v>177.18042800000001</v>
      </c>
      <c r="T174" s="914">
        <f>'BESCOM D-22(Current Tariff)'!R168</f>
        <v>177.18042800000001</v>
      </c>
      <c r="U174" s="932">
        <f>S174-T174</f>
        <v>0</v>
      </c>
      <c r="V174" s="931">
        <f>U174/H174*10</f>
        <v>0</v>
      </c>
      <c r="W174" s="931">
        <f>U174/T174%</f>
        <v>0</v>
      </c>
      <c r="X174" s="931">
        <f>H174*X$4/10</f>
        <v>122.1828</v>
      </c>
      <c r="Y174" s="935">
        <f>(T174-X174)/X174%</f>
        <v>45.012577875118275</v>
      </c>
      <c r="Z174" s="935">
        <f>H174*Z$4/10</f>
        <v>122.1828</v>
      </c>
      <c r="AA174" s="936">
        <f>(S174-Z174)/Z174%</f>
        <v>45.012577875118275</v>
      </c>
      <c r="AB174" s="887">
        <f>(S174-(H174*AB$2/10))/(H174*AB$2/10)*100</f>
        <v>54.608998469795232</v>
      </c>
      <c r="AC174" s="934">
        <f>(T174-(H174*AB$3/10))/(H174*AB$3/10)*100</f>
        <v>59.899800698799623</v>
      </c>
      <c r="AD174" s="887">
        <f>S174/H174*10</f>
        <v>12.616094275135289</v>
      </c>
    </row>
    <row r="175" spans="1:30" ht="14.1" customHeight="1" x14ac:dyDescent="0.2">
      <c r="A175" s="250"/>
      <c r="B175" s="251"/>
      <c r="C175" s="251"/>
      <c r="D175" s="251"/>
      <c r="E175" s="251"/>
      <c r="F175" s="194"/>
      <c r="G175" s="194"/>
      <c r="H175" s="824"/>
      <c r="I175" s="255"/>
      <c r="J175" s="255"/>
      <c r="K175" s="255"/>
      <c r="L175" s="255"/>
      <c r="M175" s="255"/>
      <c r="N175" s="255"/>
      <c r="O175" s="732"/>
      <c r="P175" s="187"/>
      <c r="Q175" s="691"/>
      <c r="R175" s="993"/>
      <c r="S175" s="1100"/>
      <c r="T175" s="881"/>
      <c r="U175" s="932"/>
      <c r="V175" s="931"/>
      <c r="W175" s="931"/>
      <c r="X175" s="931"/>
      <c r="Y175" s="931"/>
      <c r="Z175" s="931"/>
      <c r="AA175" s="933"/>
      <c r="AB175" s="887"/>
      <c r="AC175" s="934"/>
      <c r="AD175" s="887"/>
    </row>
    <row r="176" spans="1:30" ht="14.1" customHeight="1" x14ac:dyDescent="0.2">
      <c r="A176" s="297" t="s">
        <v>135</v>
      </c>
      <c r="B176" s="298"/>
      <c r="C176" s="298"/>
      <c r="D176" s="298"/>
      <c r="E176" s="298" t="s">
        <v>39</v>
      </c>
      <c r="F176" s="299">
        <f>F174+F168</f>
        <v>8407</v>
      </c>
      <c r="G176" s="299">
        <f>(G174+G168)</f>
        <v>2882425</v>
      </c>
      <c r="H176" s="837">
        <f>H174+H168</f>
        <v>2006.3500000000001</v>
      </c>
      <c r="I176" s="298"/>
      <c r="J176" s="302"/>
      <c r="K176" s="302"/>
      <c r="L176" s="302"/>
      <c r="M176" s="302"/>
      <c r="N176" s="302"/>
      <c r="O176" s="302"/>
      <c r="P176" s="171"/>
      <c r="Q176" s="981">
        <f>SUM(Q168,Q174)</f>
        <v>880.32558600000004</v>
      </c>
      <c r="R176" s="995">
        <f>SUM(R168,R174)</f>
        <v>1869.1568885000004</v>
      </c>
      <c r="S176" s="1100">
        <f>SUM(S168,S174)</f>
        <v>2749.4824745000005</v>
      </c>
      <c r="T176" s="881">
        <f>T174+T168</f>
        <v>2749.4824745000005</v>
      </c>
      <c r="U176" s="937">
        <f>U174+U168</f>
        <v>0</v>
      </c>
      <c r="V176" s="938">
        <f>U176/H176*10</f>
        <v>0</v>
      </c>
      <c r="W176" s="938">
        <f>U176/T176%</f>
        <v>0</v>
      </c>
      <c r="X176" s="931"/>
      <c r="Y176" s="931"/>
      <c r="Z176" s="931"/>
      <c r="AA176" s="933"/>
      <c r="AB176" s="887"/>
      <c r="AC176" s="934"/>
      <c r="AD176" s="887"/>
    </row>
    <row r="177" spans="1:30" ht="14.1" customHeight="1" thickBot="1" x14ac:dyDescent="0.25">
      <c r="A177" s="279"/>
      <c r="B177" s="280"/>
      <c r="C177" s="280"/>
      <c r="D177" s="280"/>
      <c r="E177" s="280"/>
      <c r="F177" s="281"/>
      <c r="G177" s="281"/>
      <c r="H177" s="829"/>
      <c r="I177" s="307"/>
      <c r="J177" s="307"/>
      <c r="K177" s="307"/>
      <c r="L177" s="307"/>
      <c r="M177" s="307"/>
      <c r="N177" s="307"/>
      <c r="O177" s="740"/>
      <c r="P177" s="1030"/>
      <c r="Q177" s="697"/>
      <c r="R177" s="1059"/>
      <c r="S177" s="1100"/>
      <c r="T177" s="881"/>
      <c r="U177" s="932"/>
      <c r="V177" s="931"/>
      <c r="W177" s="931"/>
      <c r="X177" s="931"/>
      <c r="Y177" s="931"/>
      <c r="Z177" s="931"/>
      <c r="AA177" s="933"/>
      <c r="AB177" s="887"/>
      <c r="AC177" s="934"/>
      <c r="AD177" s="887"/>
    </row>
    <row r="178" spans="1:30" ht="14.1" customHeight="1" x14ac:dyDescent="0.2">
      <c r="A178" s="283">
        <v>4</v>
      </c>
      <c r="B178" s="260" t="s">
        <v>331</v>
      </c>
      <c r="C178" s="1533" t="s">
        <v>344</v>
      </c>
      <c r="D178" s="255"/>
      <c r="E178" s="260" t="s">
        <v>115</v>
      </c>
      <c r="F178" s="259">
        <f>'BESCOM D-22(Current Tariff)'!I173</f>
        <v>393</v>
      </c>
      <c r="G178" s="259">
        <f>'BESCOM D-22(Current Tariff)'!J173</f>
        <v>98250</v>
      </c>
      <c r="H178" s="836"/>
      <c r="I178" s="260" t="s">
        <v>116</v>
      </c>
      <c r="J178" s="261">
        <v>260</v>
      </c>
      <c r="K178" s="261"/>
      <c r="L178" s="261">
        <f>J178+K178</f>
        <v>260</v>
      </c>
      <c r="M178" s="260"/>
      <c r="N178" s="260"/>
      <c r="O178" s="733"/>
      <c r="P178" s="1021"/>
      <c r="Q178" s="1011">
        <f>(G178*85/100*L178*12)/(10^7)</f>
        <v>26.055900000000001</v>
      </c>
      <c r="R178" s="996"/>
      <c r="S178" s="1100"/>
      <c r="T178" s="881"/>
      <c r="U178" s="932"/>
      <c r="V178" s="931"/>
      <c r="W178" s="931"/>
      <c r="X178" s="931"/>
      <c r="Y178" s="931"/>
      <c r="Z178" s="931"/>
      <c r="AA178" s="933"/>
      <c r="AB178" s="887"/>
      <c r="AC178" s="934"/>
      <c r="AD178" s="887"/>
    </row>
    <row r="179" spans="1:30" ht="14.1" customHeight="1" thickBot="1" x14ac:dyDescent="0.25">
      <c r="A179" s="285"/>
      <c r="B179" s="267"/>
      <c r="C179" s="1534"/>
      <c r="D179" s="264"/>
      <c r="E179" s="267"/>
      <c r="F179" s="266"/>
      <c r="G179" s="266"/>
      <c r="H179" s="827"/>
      <c r="I179" s="267"/>
      <c r="J179" s="268"/>
      <c r="K179" s="268"/>
      <c r="L179" s="268"/>
      <c r="M179" s="269"/>
      <c r="N179" s="269"/>
      <c r="O179" s="734"/>
      <c r="P179" s="1013"/>
      <c r="Q179" s="994"/>
      <c r="R179" s="996"/>
      <c r="S179" s="1100"/>
      <c r="T179" s="881"/>
      <c r="U179" s="932"/>
      <c r="V179" s="931"/>
      <c r="W179" s="931"/>
      <c r="X179" s="931"/>
      <c r="Y179" s="931"/>
      <c r="Z179" s="931"/>
      <c r="AA179" s="933"/>
      <c r="AB179" s="887"/>
      <c r="AC179" s="934"/>
      <c r="AD179" s="887"/>
    </row>
    <row r="180" spans="1:30" ht="14.1" customHeight="1" thickBot="1" x14ac:dyDescent="0.25">
      <c r="A180" s="285"/>
      <c r="B180" s="267"/>
      <c r="C180" s="1534"/>
      <c r="D180" s="264" t="s">
        <v>122</v>
      </c>
      <c r="E180" s="267"/>
      <c r="F180" s="266"/>
      <c r="G180" s="266"/>
      <c r="H180" s="827">
        <f>'BESCOM D-22(Current Tariff)'!K175</f>
        <v>52.441600000000001</v>
      </c>
      <c r="I180" s="269"/>
      <c r="J180" s="269"/>
      <c r="K180" s="269"/>
      <c r="L180" s="269"/>
      <c r="M180" s="268" t="s">
        <v>122</v>
      </c>
      <c r="N180" s="268">
        <f>'BESCOM D-22(Current Tariff)'!O175</f>
        <v>7.25</v>
      </c>
      <c r="O180" s="738">
        <v>0</v>
      </c>
      <c r="P180" s="1008">
        <f>N180+O180</f>
        <v>7.25</v>
      </c>
      <c r="Q180" s="994"/>
      <c r="R180" s="996">
        <f>H180*P180/10</f>
        <v>38.020159999999997</v>
      </c>
      <c r="S180" s="1100"/>
      <c r="T180" s="881"/>
      <c r="U180" s="932"/>
      <c r="V180" s="931"/>
      <c r="W180" s="931"/>
      <c r="X180" s="931"/>
      <c r="Y180" s="931"/>
      <c r="Z180" s="931"/>
      <c r="AA180" s="933"/>
      <c r="AB180" s="887"/>
      <c r="AC180" s="934"/>
      <c r="AD180" s="887"/>
    </row>
    <row r="181" spans="1:30" ht="14.1" customHeight="1" x14ac:dyDescent="0.2">
      <c r="A181" s="285"/>
      <c r="B181" s="267"/>
      <c r="C181" s="1535"/>
      <c r="D181" s="264" t="s">
        <v>123</v>
      </c>
      <c r="E181" s="267"/>
      <c r="F181" s="266"/>
      <c r="G181" s="266"/>
      <c r="H181" s="827">
        <f>'BESCOM D-22(Current Tariff)'!K176</f>
        <v>111.4384</v>
      </c>
      <c r="I181" s="269"/>
      <c r="J181" s="269"/>
      <c r="K181" s="269"/>
      <c r="L181" s="269"/>
      <c r="M181" s="268" t="s">
        <v>123</v>
      </c>
      <c r="N181" s="268">
        <f>'BESCOM D-22(Current Tariff)'!O176</f>
        <v>7.65</v>
      </c>
      <c r="O181" s="738">
        <v>0</v>
      </c>
      <c r="P181" s="1008">
        <f>N181+O181</f>
        <v>7.65</v>
      </c>
      <c r="Q181" s="994"/>
      <c r="R181" s="996">
        <f>H181*P181/10</f>
        <v>85.250376000000003</v>
      </c>
      <c r="S181" s="1100"/>
      <c r="T181" s="881"/>
      <c r="U181" s="932"/>
      <c r="V181" s="931"/>
      <c r="W181" s="931"/>
      <c r="X181" s="931"/>
      <c r="Y181" s="931"/>
      <c r="Z181" s="931"/>
      <c r="AA181" s="933"/>
      <c r="AB181" s="887"/>
      <c r="AC181" s="934"/>
      <c r="AD181" s="887"/>
    </row>
    <row r="182" spans="1:30" ht="14.1" customHeight="1" thickBot="1" x14ac:dyDescent="0.25">
      <c r="A182" s="287"/>
      <c r="B182" s="288"/>
      <c r="C182" s="288"/>
      <c r="D182" s="274" t="s">
        <v>49</v>
      </c>
      <c r="E182" s="289" t="s">
        <v>115</v>
      </c>
      <c r="F182" s="277">
        <f>F178</f>
        <v>393</v>
      </c>
      <c r="G182" s="277">
        <f>G178</f>
        <v>98250</v>
      </c>
      <c r="H182" s="828">
        <f>SUM(H180:H181)</f>
        <v>163.88</v>
      </c>
      <c r="I182" s="278"/>
      <c r="J182" s="278"/>
      <c r="K182" s="278"/>
      <c r="L182" s="278"/>
      <c r="M182" s="278"/>
      <c r="N182" s="278"/>
      <c r="O182" s="736"/>
      <c r="P182" s="1020"/>
      <c r="Q182" s="974">
        <f>Q178</f>
        <v>26.055900000000001</v>
      </c>
      <c r="R182" s="996">
        <f>SUM(R180:R181)</f>
        <v>123.27053599999999</v>
      </c>
      <c r="S182" s="1100">
        <f>SUM(Q182:R182)</f>
        <v>149.326436</v>
      </c>
      <c r="T182" s="881">
        <f>'BESCOM D-22(Current Tariff)'!R177</f>
        <v>149.326436</v>
      </c>
      <c r="U182" s="932">
        <f>S182-T182</f>
        <v>0</v>
      </c>
      <c r="V182" s="931">
        <f>U182/H182*10</f>
        <v>0</v>
      </c>
      <c r="W182" s="931">
        <f>U182/T182%</f>
        <v>0</v>
      </c>
      <c r="X182" s="931">
        <f>H182*X$4/10</f>
        <v>142.57559999999998</v>
      </c>
      <c r="Y182" s="931">
        <f>(T182-X182)/X182%</f>
        <v>4.7349167739781715</v>
      </c>
      <c r="Z182" s="931">
        <f>H182*Z$4/10</f>
        <v>142.57559999999998</v>
      </c>
      <c r="AA182" s="933">
        <f>(S182-Z182)/Z182%</f>
        <v>4.7349167739781715</v>
      </c>
      <c r="AB182" s="887">
        <f>(S182-(H182*AB$2/10))/(H182*AB$2/10)*100</f>
        <v>11.665903913432597</v>
      </c>
      <c r="AC182" s="934">
        <f>(T182-(H182*AB$3/10))/(H182*AB$3/10)*100</f>
        <v>15.487170587276317</v>
      </c>
      <c r="AD182" s="887">
        <f>S182/H182*10</f>
        <v>9.1119377593360991</v>
      </c>
    </row>
    <row r="183" spans="1:30" ht="14.1" customHeight="1" thickBot="1" x14ac:dyDescent="0.25">
      <c r="A183" s="250"/>
      <c r="B183" s="251"/>
      <c r="C183" s="251"/>
      <c r="D183" s="295"/>
      <c r="E183" s="295"/>
      <c r="F183" s="313"/>
      <c r="G183" s="313"/>
      <c r="H183" s="846"/>
      <c r="I183" s="255"/>
      <c r="J183" s="255"/>
      <c r="K183" s="255"/>
      <c r="L183" s="255"/>
      <c r="M183" s="255"/>
      <c r="N183" s="255"/>
      <c r="O183" s="732"/>
      <c r="P183" s="187"/>
      <c r="Q183" s="691"/>
      <c r="R183" s="993"/>
      <c r="S183" s="1100"/>
      <c r="T183" s="881"/>
      <c r="U183" s="932"/>
      <c r="V183" s="931"/>
      <c r="W183" s="931"/>
      <c r="X183" s="931"/>
      <c r="Y183" s="931"/>
      <c r="Z183" s="931"/>
      <c r="AA183" s="933"/>
      <c r="AB183" s="887"/>
      <c r="AC183" s="934"/>
      <c r="AD183" s="887"/>
    </row>
    <row r="184" spans="1:30" ht="14.1" customHeight="1" x14ac:dyDescent="0.2">
      <c r="A184" s="283">
        <v>5</v>
      </c>
      <c r="B184" s="260" t="s">
        <v>332</v>
      </c>
      <c r="C184" s="1536" t="s">
        <v>387</v>
      </c>
      <c r="D184" s="321"/>
      <c r="E184" s="260" t="s">
        <v>115</v>
      </c>
      <c r="F184" s="259">
        <f>'BESCOM D-22(Current Tariff)'!I179</f>
        <v>641</v>
      </c>
      <c r="G184" s="259">
        <f>'BESCOM D-22(Current Tariff)'!J179</f>
        <v>160250</v>
      </c>
      <c r="H184" s="836"/>
      <c r="I184" s="260" t="s">
        <v>116</v>
      </c>
      <c r="J184" s="261">
        <v>265</v>
      </c>
      <c r="K184" s="261"/>
      <c r="L184" s="261">
        <f>J184+K184</f>
        <v>265</v>
      </c>
      <c r="M184" s="260"/>
      <c r="N184" s="260"/>
      <c r="O184" s="733"/>
      <c r="P184" s="1021"/>
      <c r="Q184" s="1011">
        <f>(G184*85/100*L184*12)/(10^7)</f>
        <v>43.315575000000003</v>
      </c>
      <c r="R184" s="996"/>
      <c r="S184" s="1100"/>
      <c r="T184" s="881"/>
      <c r="U184" s="932"/>
      <c r="V184" s="931"/>
      <c r="W184" s="931"/>
      <c r="X184" s="931"/>
      <c r="Y184" s="931"/>
      <c r="Z184" s="931"/>
      <c r="AA184" s="933"/>
      <c r="AB184" s="887"/>
      <c r="AC184" s="934"/>
      <c r="AD184" s="887"/>
    </row>
    <row r="185" spans="1:30" ht="14.1" customHeight="1" thickBot="1" x14ac:dyDescent="0.25">
      <c r="A185" s="285"/>
      <c r="B185" s="267"/>
      <c r="C185" s="1536"/>
      <c r="D185" s="274"/>
      <c r="E185" s="322"/>
      <c r="F185" s="323"/>
      <c r="G185" s="266"/>
      <c r="H185" s="854"/>
      <c r="I185" s="267"/>
      <c r="J185" s="268"/>
      <c r="K185" s="268"/>
      <c r="L185" s="268"/>
      <c r="M185" s="269"/>
      <c r="N185" s="269"/>
      <c r="O185" s="734"/>
      <c r="P185" s="1013"/>
      <c r="Q185" s="994"/>
      <c r="R185" s="996"/>
      <c r="S185" s="1100"/>
      <c r="T185" s="881"/>
      <c r="U185" s="932"/>
      <c r="V185" s="931"/>
      <c r="W185" s="931"/>
      <c r="X185" s="931"/>
      <c r="Y185" s="931"/>
      <c r="Z185" s="931"/>
      <c r="AA185" s="933"/>
      <c r="AB185" s="887"/>
      <c r="AC185" s="934"/>
      <c r="AD185" s="887"/>
    </row>
    <row r="186" spans="1:30" ht="14.1" customHeight="1" thickBot="1" x14ac:dyDescent="0.25">
      <c r="A186" s="285"/>
      <c r="B186" s="267"/>
      <c r="C186" s="1536"/>
      <c r="D186" s="264" t="s">
        <v>122</v>
      </c>
      <c r="E186" s="267"/>
      <c r="F186" s="266"/>
      <c r="G186" s="266"/>
      <c r="H186" s="827">
        <f>'BESCOM D-22(Current Tariff)'!K181</f>
        <v>114.28860000000002</v>
      </c>
      <c r="I186" s="267"/>
      <c r="J186" s="325"/>
      <c r="K186" s="325"/>
      <c r="L186" s="325"/>
      <c r="M186" s="268" t="s">
        <v>122</v>
      </c>
      <c r="N186" s="268">
        <f>'BESCOM D-22(Current Tariff)'!O181</f>
        <v>8.25</v>
      </c>
      <c r="O186" s="738">
        <v>0</v>
      </c>
      <c r="P186" s="1008">
        <f>N186+O186</f>
        <v>8.25</v>
      </c>
      <c r="Q186" s="994"/>
      <c r="R186" s="996">
        <f>H186*P186/10</f>
        <v>94.288095000000013</v>
      </c>
      <c r="S186" s="1100"/>
      <c r="T186" s="881"/>
      <c r="U186" s="932"/>
      <c r="V186" s="931"/>
      <c r="W186" s="931"/>
      <c r="X186" s="931"/>
      <c r="Y186" s="931"/>
      <c r="Z186" s="931"/>
      <c r="AA186" s="933"/>
      <c r="AB186" s="887"/>
      <c r="AC186" s="934"/>
      <c r="AD186" s="887"/>
    </row>
    <row r="187" spans="1:30" ht="14.1" customHeight="1" x14ac:dyDescent="0.2">
      <c r="A187" s="285"/>
      <c r="B187" s="267"/>
      <c r="C187" s="1536"/>
      <c r="D187" s="264" t="s">
        <v>123</v>
      </c>
      <c r="E187" s="267"/>
      <c r="F187" s="266"/>
      <c r="G187" s="266"/>
      <c r="H187" s="827">
        <f>'BESCOM D-22(Current Tariff)'!K182</f>
        <v>56.291399999999996</v>
      </c>
      <c r="I187" s="269"/>
      <c r="J187" s="326"/>
      <c r="K187" s="326"/>
      <c r="L187" s="326"/>
      <c r="M187" s="268" t="s">
        <v>123</v>
      </c>
      <c r="N187" s="268">
        <f>'BESCOM D-22(Current Tariff)'!O182</f>
        <v>8.65</v>
      </c>
      <c r="O187" s="738">
        <v>0</v>
      </c>
      <c r="P187" s="1008">
        <f>N187+O187</f>
        <v>8.65</v>
      </c>
      <c r="Q187" s="994"/>
      <c r="R187" s="996">
        <f>H187*P187/10</f>
        <v>48.692061000000002</v>
      </c>
      <c r="S187" s="1100"/>
      <c r="T187" s="881"/>
      <c r="U187" s="932"/>
      <c r="V187" s="931"/>
      <c r="W187" s="931"/>
      <c r="X187" s="931"/>
      <c r="Y187" s="931"/>
      <c r="Z187" s="931"/>
      <c r="AA187" s="933"/>
      <c r="AB187" s="887"/>
      <c r="AC187" s="934"/>
      <c r="AD187" s="887"/>
    </row>
    <row r="188" spans="1:30" ht="14.1" customHeight="1" thickBot="1" x14ac:dyDescent="0.25">
      <c r="A188" s="287"/>
      <c r="B188" s="288"/>
      <c r="C188" s="288"/>
      <c r="D188" s="274" t="s">
        <v>49</v>
      </c>
      <c r="E188" s="289" t="s">
        <v>115</v>
      </c>
      <c r="F188" s="277">
        <f>F184</f>
        <v>641</v>
      </c>
      <c r="G188" s="277">
        <f>G184</f>
        <v>160250</v>
      </c>
      <c r="H188" s="828">
        <f>SUM(H186:H187)</f>
        <v>170.58</v>
      </c>
      <c r="I188" s="278"/>
      <c r="J188" s="327"/>
      <c r="K188" s="327"/>
      <c r="L188" s="327"/>
      <c r="M188" s="278"/>
      <c r="N188" s="278"/>
      <c r="O188" s="736"/>
      <c r="P188" s="1020"/>
      <c r="Q188" s="974">
        <f>Q184</f>
        <v>43.315575000000003</v>
      </c>
      <c r="R188" s="996">
        <f>SUM(R186:R187)</f>
        <v>142.98015600000002</v>
      </c>
      <c r="S188" s="1100">
        <f>SUM(Q188:R188)</f>
        <v>186.29573100000002</v>
      </c>
      <c r="T188" s="881">
        <f>'BESCOM D-22(Current Tariff)'!R183</f>
        <v>186.29573100000002</v>
      </c>
      <c r="U188" s="932">
        <f>S188-T188</f>
        <v>0</v>
      </c>
      <c r="V188" s="931">
        <f>U188/H188*10</f>
        <v>0</v>
      </c>
      <c r="W188" s="931">
        <f>U188/T188%</f>
        <v>0</v>
      </c>
      <c r="X188" s="931">
        <f>H188*X$4/10</f>
        <v>148.40460000000002</v>
      </c>
      <c r="Y188" s="931">
        <f>(T188-X188)/X188%</f>
        <v>25.532315709890391</v>
      </c>
      <c r="Z188" s="931">
        <f>H188*Z$4/10</f>
        <v>148.40460000000002</v>
      </c>
      <c r="AA188" s="933">
        <f>(S188-Z188)/Z188%</f>
        <v>25.532315709890391</v>
      </c>
      <c r="AB188" s="887">
        <f>(S188-(H188*AB$2/10))/(H188*AB$2/10)*100</f>
        <v>33.83960130833902</v>
      </c>
      <c r="AC188" s="934">
        <f>(T188-(H188*AB$3/10))/(H188*AB$3/10)*100</f>
        <v>38.419663710525526</v>
      </c>
      <c r="AD188" s="887">
        <f>S188/H188*10</f>
        <v>10.921311466760464</v>
      </c>
    </row>
    <row r="189" spans="1:30" ht="14.1" customHeight="1" x14ac:dyDescent="0.2">
      <c r="A189" s="250"/>
      <c r="B189" s="251"/>
      <c r="C189" s="251"/>
      <c r="D189" s="251"/>
      <c r="E189" s="251"/>
      <c r="F189" s="194"/>
      <c r="G189" s="194"/>
      <c r="H189" s="824"/>
      <c r="I189" s="255"/>
      <c r="J189" s="255"/>
      <c r="K189" s="255"/>
      <c r="L189" s="255"/>
      <c r="M189" s="255"/>
      <c r="N189" s="255"/>
      <c r="O189" s="732"/>
      <c r="P189" s="187"/>
      <c r="Q189" s="691"/>
      <c r="R189" s="139"/>
      <c r="S189" s="1100"/>
      <c r="T189" s="881"/>
      <c r="U189" s="932"/>
      <c r="V189" s="931"/>
      <c r="W189" s="931"/>
      <c r="X189" s="931"/>
      <c r="Y189" s="931"/>
      <c r="Z189" s="931"/>
      <c r="AA189" s="933"/>
      <c r="AB189" s="887"/>
      <c r="AC189" s="934"/>
      <c r="AD189" s="887"/>
    </row>
    <row r="190" spans="1:30" ht="14.1" customHeight="1" x14ac:dyDescent="0.2">
      <c r="A190" s="297" t="s">
        <v>333</v>
      </c>
      <c r="B190" s="298"/>
      <c r="C190" s="298"/>
      <c r="D190" s="298"/>
      <c r="E190" s="298" t="s">
        <v>39</v>
      </c>
      <c r="F190" s="299">
        <f>F188+F182</f>
        <v>1034</v>
      </c>
      <c r="G190" s="299">
        <f>(G188+G182)</f>
        <v>258500</v>
      </c>
      <c r="H190" s="837">
        <f>'BESCOM D-22(Current Tariff)'!K185</f>
        <v>334.46000000000004</v>
      </c>
      <c r="I190" s="298"/>
      <c r="J190" s="302"/>
      <c r="K190" s="302"/>
      <c r="L190" s="302"/>
      <c r="M190" s="302"/>
      <c r="N190" s="302"/>
      <c r="O190" s="302"/>
      <c r="P190" s="171"/>
      <c r="Q190" s="981">
        <f>SUM(Q182,Q188)</f>
        <v>69.371475000000004</v>
      </c>
      <c r="R190" s="171">
        <f>SUM(R182,R188)</f>
        <v>266.25069200000002</v>
      </c>
      <c r="S190" s="1100">
        <f>SUM(S182,S188)</f>
        <v>335.62216699999999</v>
      </c>
      <c r="T190" s="881"/>
      <c r="U190" s="932"/>
      <c r="V190" s="931"/>
      <c r="W190" s="931"/>
      <c r="X190" s="931"/>
      <c r="Y190" s="931"/>
      <c r="Z190" s="931"/>
      <c r="AA190" s="933"/>
      <c r="AB190" s="887"/>
      <c r="AC190" s="934"/>
      <c r="AD190" s="887"/>
    </row>
    <row r="191" spans="1:30" ht="14.1" customHeight="1" thickBot="1" x14ac:dyDescent="0.25">
      <c r="A191" s="279"/>
      <c r="B191" s="280"/>
      <c r="C191" s="280"/>
      <c r="D191" s="280"/>
      <c r="E191" s="280"/>
      <c r="F191" s="281"/>
      <c r="G191" s="281"/>
      <c r="H191" s="829"/>
      <c r="I191" s="307"/>
      <c r="J191" s="307"/>
      <c r="K191" s="307"/>
      <c r="L191" s="307"/>
      <c r="M191" s="307"/>
      <c r="N191" s="307"/>
      <c r="O191" s="740"/>
      <c r="P191" s="1030"/>
      <c r="Q191" s="697"/>
      <c r="R191" s="176"/>
      <c r="S191" s="1100"/>
      <c r="T191" s="881"/>
      <c r="U191" s="932"/>
      <c r="V191" s="931"/>
      <c r="W191" s="931"/>
      <c r="X191" s="931"/>
      <c r="Y191" s="931"/>
      <c r="Z191" s="931"/>
      <c r="AA191" s="933"/>
      <c r="AB191" s="887"/>
      <c r="AC191" s="934"/>
      <c r="AD191" s="887"/>
    </row>
    <row r="192" spans="1:30" ht="14.1" customHeight="1" thickBot="1" x14ac:dyDescent="0.25">
      <c r="A192" s="328" t="s">
        <v>136</v>
      </c>
      <c r="B192" s="254"/>
      <c r="C192" s="254"/>
      <c r="D192" s="254"/>
      <c r="E192" s="254" t="s">
        <v>39</v>
      </c>
      <c r="F192" s="195">
        <f>SUM(F162,F176,F190)</f>
        <v>17621</v>
      </c>
      <c r="G192" s="195">
        <f>SUM(G162,G176)</f>
        <v>6919255</v>
      </c>
      <c r="H192" s="823">
        <f>SUM(H162,H176,H190)</f>
        <v>6828.4900000000007</v>
      </c>
      <c r="I192" s="254"/>
      <c r="J192" s="308"/>
      <c r="K192" s="308"/>
      <c r="L192" s="308"/>
      <c r="M192" s="308"/>
      <c r="N192" s="308"/>
      <c r="O192" s="741"/>
      <c r="P192" s="143"/>
      <c r="Q192" s="972">
        <f>SUM(Q162,Q176,Q190)</f>
        <v>2064.9443550000001</v>
      </c>
      <c r="R192" s="143">
        <f>SUM(R162,R176,R190)</f>
        <v>5549.6344604999995</v>
      </c>
      <c r="S192" s="1100">
        <f>SUM(S162,S176,S190)</f>
        <v>7614.5788155000009</v>
      </c>
      <c r="T192" s="881"/>
      <c r="U192" s="932"/>
      <c r="V192" s="931"/>
      <c r="W192" s="931"/>
      <c r="X192" s="931"/>
      <c r="Y192" s="931"/>
      <c r="Z192" s="931"/>
      <c r="AA192" s="933"/>
      <c r="AB192" s="887"/>
      <c r="AC192" s="934"/>
      <c r="AD192" s="887"/>
    </row>
    <row r="193" spans="1:30" ht="14.1" customHeight="1" thickBot="1" x14ac:dyDescent="0.25">
      <c r="A193" s="250"/>
      <c r="B193" s="251"/>
      <c r="C193" s="251"/>
      <c r="D193" s="251"/>
      <c r="E193" s="251"/>
      <c r="F193" s="194"/>
      <c r="G193" s="194"/>
      <c r="H193" s="824"/>
      <c r="I193" s="255"/>
      <c r="J193" s="255"/>
      <c r="K193" s="255"/>
      <c r="L193" s="255"/>
      <c r="M193" s="255"/>
      <c r="N193" s="255"/>
      <c r="O193" s="732"/>
      <c r="P193" s="187"/>
      <c r="Q193" s="691"/>
      <c r="R193" s="139"/>
      <c r="S193" s="1100"/>
      <c r="T193" s="881"/>
      <c r="U193" s="932"/>
      <c r="V193" s="931"/>
      <c r="W193" s="931"/>
      <c r="X193" s="931"/>
      <c r="Y193" s="931"/>
      <c r="Z193" s="931"/>
      <c r="AA193" s="933"/>
      <c r="AB193" s="887"/>
      <c r="AC193" s="934"/>
      <c r="AD193" s="887"/>
    </row>
    <row r="194" spans="1:30" ht="25.5" customHeight="1" thickBot="1" x14ac:dyDescent="0.25">
      <c r="A194" s="283">
        <v>6</v>
      </c>
      <c r="B194" s="260" t="s">
        <v>137</v>
      </c>
      <c r="C194" s="260" t="s">
        <v>138</v>
      </c>
      <c r="D194" s="255"/>
      <c r="E194" s="260" t="s">
        <v>10</v>
      </c>
      <c r="F194" s="259">
        <f>'BESCOM D-22(Current Tariff)'!I189</f>
        <v>52</v>
      </c>
      <c r="G194" s="259">
        <f>'BESCOM D-22(Current Tariff)'!J189</f>
        <v>88452</v>
      </c>
      <c r="H194" s="836"/>
      <c r="I194" s="260" t="s">
        <v>139</v>
      </c>
      <c r="J194" s="261">
        <v>1900</v>
      </c>
      <c r="K194" s="261"/>
      <c r="L194" s="261">
        <f>J194+K194</f>
        <v>1900</v>
      </c>
      <c r="M194" s="260"/>
      <c r="N194" s="260"/>
      <c r="O194" s="733"/>
      <c r="P194" s="1021"/>
      <c r="Q194" s="1011">
        <f>IF(($G$194*$L$194)/(10^7)&gt;($H$195*$P$195/10),($G$194*$L$194)/(10^7),0)</f>
        <v>0</v>
      </c>
      <c r="R194" s="1057"/>
      <c r="S194" s="1100"/>
      <c r="T194" s="881"/>
      <c r="U194" s="932"/>
      <c r="V194" s="931"/>
      <c r="W194" s="931"/>
      <c r="X194" s="931"/>
      <c r="Y194" s="931"/>
      <c r="Z194" s="931"/>
      <c r="AA194" s="933"/>
      <c r="AB194" s="887"/>
      <c r="AC194" s="934"/>
      <c r="AD194" s="887"/>
    </row>
    <row r="195" spans="1:30" ht="14.1" customHeight="1" x14ac:dyDescent="0.2">
      <c r="A195" s="285"/>
      <c r="B195" s="267"/>
      <c r="C195" s="267"/>
      <c r="D195" s="264"/>
      <c r="E195" s="267"/>
      <c r="F195" s="266"/>
      <c r="G195" s="266"/>
      <c r="H195" s="827">
        <f>'BESCOM D-22(Current Tariff)'!K190</f>
        <v>135.76</v>
      </c>
      <c r="I195" s="269"/>
      <c r="J195" s="269"/>
      <c r="K195" s="269"/>
      <c r="L195" s="269"/>
      <c r="M195" s="268"/>
      <c r="N195" s="268">
        <f>'BESCOM D-22(Current Tariff)'!O190</f>
        <v>3.15</v>
      </c>
      <c r="O195" s="738">
        <v>0</v>
      </c>
      <c r="P195" s="1008">
        <f>N195+O195</f>
        <v>3.15</v>
      </c>
      <c r="Q195" s="994"/>
      <c r="R195" s="1057">
        <f>IF(($G$194*$J$194)/(10^7)&gt;($H$195*$P$195/10),0,($H$195*$P$195/10))</f>
        <v>42.764399999999995</v>
      </c>
      <c r="S195" s="1100"/>
      <c r="T195" s="881"/>
      <c r="U195" s="932"/>
      <c r="V195" s="931"/>
      <c r="W195" s="931"/>
      <c r="X195" s="931"/>
      <c r="Y195" s="931"/>
      <c r="Z195" s="931"/>
      <c r="AA195" s="933"/>
      <c r="AB195" s="887"/>
      <c r="AC195" s="934"/>
      <c r="AD195" s="887"/>
    </row>
    <row r="196" spans="1:30" ht="14.1" customHeight="1" thickBot="1" x14ac:dyDescent="0.25">
      <c r="A196" s="287"/>
      <c r="B196" s="288"/>
      <c r="C196" s="288"/>
      <c r="D196" s="274" t="s">
        <v>49</v>
      </c>
      <c r="E196" s="289" t="s">
        <v>10</v>
      </c>
      <c r="F196" s="277">
        <f>F194</f>
        <v>52</v>
      </c>
      <c r="G196" s="277">
        <f>G194</f>
        <v>88452</v>
      </c>
      <c r="H196" s="828">
        <f>H195</f>
        <v>135.76</v>
      </c>
      <c r="I196" s="278"/>
      <c r="J196" s="278"/>
      <c r="K196" s="278"/>
      <c r="L196" s="278"/>
      <c r="M196" s="278"/>
      <c r="N196" s="278"/>
      <c r="O196" s="736"/>
      <c r="P196" s="1020"/>
      <c r="Q196" s="974">
        <f>Q194</f>
        <v>0</v>
      </c>
      <c r="R196" s="1057">
        <f>R195</f>
        <v>42.764399999999995</v>
      </c>
      <c r="S196" s="1100">
        <f>SUM(Q196:R196)</f>
        <v>42.764399999999995</v>
      </c>
      <c r="T196" s="881">
        <f>'BESCOM D-22(Current Tariff)'!R191</f>
        <v>42.764399999999995</v>
      </c>
      <c r="U196" s="932">
        <f>S196-T196</f>
        <v>0</v>
      </c>
      <c r="V196" s="931">
        <f>U196/H196*10</f>
        <v>0</v>
      </c>
      <c r="W196" s="931">
        <f>U196/T196%</f>
        <v>0</v>
      </c>
      <c r="X196" s="931">
        <f>H196*X$4/10</f>
        <v>118.11119999999998</v>
      </c>
      <c r="Y196" s="931">
        <f>(T196-X196)/X196%</f>
        <v>-63.793103448275865</v>
      </c>
      <c r="Z196" s="931">
        <f>H196*Z$4/10</f>
        <v>118.11119999999998</v>
      </c>
      <c r="AA196" s="933">
        <f>(S196-Z196)/Z196%</f>
        <v>-63.793103448275865</v>
      </c>
      <c r="AB196" s="887">
        <f>(S196-(H196*AB$2/10))/(H196*AB$2/10)*100</f>
        <v>-61.397058823529413</v>
      </c>
      <c r="AC196" s="934">
        <f>(T196-(H196*AB$3/10))/(H196*AB$3/10)*100</f>
        <v>-60.076045627376431</v>
      </c>
      <c r="AD196" s="887">
        <f>S196/H196*10</f>
        <v>3.15</v>
      </c>
    </row>
    <row r="197" spans="1:30" ht="14.1" customHeight="1" thickBot="1" x14ac:dyDescent="0.25">
      <c r="A197" s="250"/>
      <c r="B197" s="251"/>
      <c r="C197" s="251"/>
      <c r="D197" s="251"/>
      <c r="E197" s="251"/>
      <c r="F197" s="194"/>
      <c r="G197" s="194"/>
      <c r="H197" s="824"/>
      <c r="I197" s="255"/>
      <c r="J197" s="255"/>
      <c r="K197" s="255"/>
      <c r="L197" s="255"/>
      <c r="M197" s="255"/>
      <c r="N197" s="255"/>
      <c r="O197" s="732"/>
      <c r="P197" s="187"/>
      <c r="Q197" s="691"/>
      <c r="R197" s="139"/>
      <c r="S197" s="1100"/>
      <c r="T197" s="881"/>
      <c r="U197" s="932"/>
      <c r="V197" s="931"/>
      <c r="W197" s="931"/>
      <c r="X197" s="931"/>
      <c r="Y197" s="931"/>
      <c r="Z197" s="931"/>
      <c r="AA197" s="933"/>
      <c r="AB197" s="887"/>
      <c r="AC197" s="934"/>
      <c r="AD197" s="887"/>
    </row>
    <row r="198" spans="1:30" ht="14.1" customHeight="1" thickBot="1" x14ac:dyDescent="0.25">
      <c r="A198" s="283">
        <v>7</v>
      </c>
      <c r="B198" s="260" t="s">
        <v>140</v>
      </c>
      <c r="C198" s="255" t="s">
        <v>141</v>
      </c>
      <c r="D198" s="255"/>
      <c r="E198" s="260" t="s">
        <v>10</v>
      </c>
      <c r="F198" s="259">
        <f>'BESCOM D-22(Current Tariff)'!I193</f>
        <v>2</v>
      </c>
      <c r="G198" s="259">
        <f>'BESCOM D-22(Current Tariff)'!J193</f>
        <v>330</v>
      </c>
      <c r="H198" s="836"/>
      <c r="I198" s="260" t="s">
        <v>82</v>
      </c>
      <c r="J198" s="261">
        <v>110</v>
      </c>
      <c r="K198" s="261"/>
      <c r="L198" s="261">
        <f>J198+K198</f>
        <v>110</v>
      </c>
      <c r="M198" s="260"/>
      <c r="N198" s="260"/>
      <c r="O198" s="733"/>
      <c r="P198" s="1021"/>
      <c r="Q198" s="1011">
        <f>(G198*L198*12)/(10^7)</f>
        <v>4.3560000000000001E-2</v>
      </c>
      <c r="R198" s="1057"/>
      <c r="S198" s="1100"/>
      <c r="T198" s="881"/>
      <c r="U198" s="932"/>
      <c r="V198" s="931"/>
      <c r="W198" s="931"/>
      <c r="X198" s="931"/>
      <c r="Y198" s="931"/>
      <c r="Z198" s="931"/>
      <c r="AA198" s="933"/>
      <c r="AB198" s="887"/>
      <c r="AC198" s="934"/>
      <c r="AD198" s="887"/>
    </row>
    <row r="199" spans="1:30" ht="14.1" customHeight="1" x14ac:dyDescent="0.2">
      <c r="A199" s="285"/>
      <c r="B199" s="267"/>
      <c r="C199" s="264" t="s">
        <v>180</v>
      </c>
      <c r="D199" s="264"/>
      <c r="E199" s="267"/>
      <c r="F199" s="266"/>
      <c r="G199" s="266"/>
      <c r="H199" s="827">
        <f>'BESCOM D-22(Current Tariff)'!K194</f>
        <v>0.05</v>
      </c>
      <c r="I199" s="269"/>
      <c r="J199" s="269"/>
      <c r="K199" s="269"/>
      <c r="L199" s="269"/>
      <c r="M199" s="268"/>
      <c r="N199" s="268">
        <f>'BESCOM D-22(Current Tariff)'!O194</f>
        <v>3.15</v>
      </c>
      <c r="O199" s="738">
        <v>0</v>
      </c>
      <c r="P199" s="1008">
        <f>N199+O199</f>
        <v>3.15</v>
      </c>
      <c r="Q199" s="994"/>
      <c r="R199" s="1057">
        <f>H199*P199/10</f>
        <v>1.575E-2</v>
      </c>
      <c r="S199" s="1100"/>
      <c r="T199" s="881"/>
      <c r="U199" s="932"/>
      <c r="V199" s="931"/>
      <c r="W199" s="931"/>
      <c r="X199" s="931"/>
      <c r="Y199" s="931"/>
      <c r="Z199" s="931"/>
      <c r="AA199" s="933"/>
      <c r="AB199" s="887"/>
      <c r="AC199" s="934"/>
      <c r="AD199" s="887"/>
    </row>
    <row r="200" spans="1:30" ht="14.1" customHeight="1" thickBot="1" x14ac:dyDescent="0.25">
      <c r="A200" s="287"/>
      <c r="B200" s="288"/>
      <c r="C200" s="264"/>
      <c r="D200" s="274" t="s">
        <v>49</v>
      </c>
      <c r="E200" s="289" t="s">
        <v>10</v>
      </c>
      <c r="F200" s="277">
        <f>F198</f>
        <v>2</v>
      </c>
      <c r="G200" s="277">
        <f>G198</f>
        <v>330</v>
      </c>
      <c r="H200" s="828">
        <f>H199</f>
        <v>0.05</v>
      </c>
      <c r="I200" s="288"/>
      <c r="J200" s="315"/>
      <c r="K200" s="315"/>
      <c r="L200" s="315"/>
      <c r="M200" s="315"/>
      <c r="N200" s="315"/>
      <c r="O200" s="751"/>
      <c r="P200" s="159"/>
      <c r="Q200" s="974">
        <f>Q198</f>
        <v>4.3560000000000001E-2</v>
      </c>
      <c r="R200" s="1057">
        <f>R199</f>
        <v>1.575E-2</v>
      </c>
      <c r="S200" s="1100">
        <f>SUM(Q200:R200)</f>
        <v>5.9310000000000002E-2</v>
      </c>
      <c r="T200" s="881">
        <f>'BESCOM D-22(Current Tariff)'!R195</f>
        <v>5.9310000000000002E-2</v>
      </c>
      <c r="U200" s="932">
        <f>S200-T200</f>
        <v>0</v>
      </c>
      <c r="V200" s="931">
        <f>U200/H200*10</f>
        <v>0</v>
      </c>
      <c r="W200" s="931">
        <f>U200/T200%</f>
        <v>0</v>
      </c>
      <c r="X200" s="931">
        <f>H200*X$4/10</f>
        <v>4.3499999999999997E-2</v>
      </c>
      <c r="Y200" s="931">
        <f>(T200-X200)/X200%</f>
        <v>36.344827586206911</v>
      </c>
      <c r="Z200" s="931">
        <f>H200*Z$4/10</f>
        <v>4.3499999999999997E-2</v>
      </c>
      <c r="AA200" s="933">
        <f>(S200-Z200)/Z200%</f>
        <v>36.344827586206911</v>
      </c>
      <c r="AB200" s="887">
        <f>(S200-(H200*AB$2/10))/(H200*AB$2/10)*100</f>
        <v>45.367647058823522</v>
      </c>
      <c r="AC200" s="934">
        <f>(T200-(H200*AB$3/10))/(H200*AB$3/10)*100</f>
        <v>50.342205323193923</v>
      </c>
      <c r="AD200" s="887">
        <f>S200/H200*10</f>
        <v>11.861999999999998</v>
      </c>
    </row>
    <row r="201" spans="1:30" ht="14.1" customHeight="1" thickBot="1" x14ac:dyDescent="0.25">
      <c r="A201" s="250"/>
      <c r="B201" s="251"/>
      <c r="C201" s="251"/>
      <c r="D201" s="251"/>
      <c r="E201" s="251"/>
      <c r="F201" s="194"/>
      <c r="G201" s="194"/>
      <c r="H201" s="824"/>
      <c r="I201" s="329"/>
      <c r="J201" s="330"/>
      <c r="K201" s="330"/>
      <c r="L201" s="330"/>
      <c r="M201" s="255"/>
      <c r="N201" s="255"/>
      <c r="O201" s="732"/>
      <c r="P201" s="187"/>
      <c r="Q201" s="691"/>
      <c r="R201" s="139"/>
      <c r="S201" s="1100"/>
      <c r="T201" s="881"/>
      <c r="U201" s="932"/>
      <c r="V201" s="931"/>
      <c r="W201" s="931"/>
      <c r="X201" s="931"/>
      <c r="Y201" s="931"/>
      <c r="Z201" s="931"/>
      <c r="AA201" s="933"/>
      <c r="AB201" s="887"/>
      <c r="AC201" s="934"/>
      <c r="AD201" s="887"/>
    </row>
    <row r="202" spans="1:30" ht="14.1" customHeight="1" thickBot="1" x14ac:dyDescent="0.25">
      <c r="A202" s="283">
        <v>8</v>
      </c>
      <c r="B202" s="260" t="s">
        <v>179</v>
      </c>
      <c r="C202" s="255" t="s">
        <v>141</v>
      </c>
      <c r="D202" s="255"/>
      <c r="E202" s="260" t="s">
        <v>10</v>
      </c>
      <c r="F202" s="259">
        <f>'BESCOM D-22(Current Tariff)'!I197</f>
        <v>0</v>
      </c>
      <c r="G202" s="259">
        <f>'BESCOM D-22(Current Tariff)'!J197</f>
        <v>0</v>
      </c>
      <c r="H202" s="836"/>
      <c r="I202" s="260" t="s">
        <v>82</v>
      </c>
      <c r="J202" s="261">
        <v>90</v>
      </c>
      <c r="K202" s="261"/>
      <c r="L202" s="261">
        <f>J202+K202</f>
        <v>90</v>
      </c>
      <c r="M202" s="260"/>
      <c r="N202" s="260"/>
      <c r="O202" s="733"/>
      <c r="P202" s="1021"/>
      <c r="Q202" s="1011">
        <f>(G202*L202*12)/(10^7)</f>
        <v>0</v>
      </c>
      <c r="R202" s="1057"/>
      <c r="S202" s="1100"/>
      <c r="T202" s="881"/>
      <c r="U202" s="932"/>
      <c r="V202" s="931"/>
      <c r="W202" s="931"/>
      <c r="X202" s="931"/>
      <c r="Y202" s="931"/>
      <c r="Z202" s="931"/>
      <c r="AA202" s="933"/>
      <c r="AB202" s="887"/>
      <c r="AC202" s="934"/>
      <c r="AD202" s="887"/>
    </row>
    <row r="203" spans="1:30" ht="14.1" customHeight="1" x14ac:dyDescent="0.2">
      <c r="A203" s="285"/>
      <c r="B203" s="267"/>
      <c r="C203" s="264" t="s">
        <v>181</v>
      </c>
      <c r="D203" s="264"/>
      <c r="E203" s="267"/>
      <c r="F203" s="266"/>
      <c r="G203" s="266"/>
      <c r="H203" s="827">
        <f>'BESCOM D-22(Current Tariff)'!K198</f>
        <v>0</v>
      </c>
      <c r="I203" s="269"/>
      <c r="J203" s="269"/>
      <c r="K203" s="269"/>
      <c r="L203" s="269"/>
      <c r="M203" s="268"/>
      <c r="N203" s="268">
        <f>'BESCOM D-22(Current Tariff)'!O198</f>
        <v>3.15</v>
      </c>
      <c r="O203" s="738">
        <v>0</v>
      </c>
      <c r="P203" s="1008">
        <f>N203+O203</f>
        <v>3.15</v>
      </c>
      <c r="Q203" s="994"/>
      <c r="R203" s="1057">
        <f>H203*P203/10</f>
        <v>0</v>
      </c>
      <c r="S203" s="1100"/>
      <c r="T203" s="881"/>
      <c r="U203" s="932"/>
      <c r="V203" s="931"/>
      <c r="W203" s="931"/>
      <c r="X203" s="931"/>
      <c r="Y203" s="931"/>
      <c r="Z203" s="931"/>
      <c r="AA203" s="933"/>
      <c r="AB203" s="887"/>
      <c r="AC203" s="934"/>
      <c r="AD203" s="887"/>
    </row>
    <row r="204" spans="1:30" ht="14.1" customHeight="1" thickBot="1" x14ac:dyDescent="0.25">
      <c r="A204" s="287"/>
      <c r="B204" s="288"/>
      <c r="C204" s="264" t="s">
        <v>182</v>
      </c>
      <c r="D204" s="274" t="s">
        <v>49</v>
      </c>
      <c r="E204" s="289" t="s">
        <v>10</v>
      </c>
      <c r="F204" s="277">
        <f>F202</f>
        <v>0</v>
      </c>
      <c r="G204" s="277">
        <f>G202</f>
        <v>0</v>
      </c>
      <c r="H204" s="828">
        <f>H203</f>
        <v>0</v>
      </c>
      <c r="I204" s="288"/>
      <c r="J204" s="315"/>
      <c r="K204" s="315"/>
      <c r="L204" s="315"/>
      <c r="M204" s="315"/>
      <c r="N204" s="315"/>
      <c r="O204" s="751"/>
      <c r="P204" s="159"/>
      <c r="Q204" s="974">
        <f>Q202</f>
        <v>0</v>
      </c>
      <c r="R204" s="1057">
        <f>R203</f>
        <v>0</v>
      </c>
      <c r="S204" s="1100">
        <f>SUM(Q204:R204)</f>
        <v>0</v>
      </c>
      <c r="T204" s="881"/>
      <c r="U204" s="932"/>
      <c r="V204" s="931"/>
      <c r="W204" s="931"/>
      <c r="X204" s="931"/>
      <c r="Y204" s="931"/>
      <c r="Z204" s="931"/>
      <c r="AA204" s="933"/>
      <c r="AB204" s="887"/>
      <c r="AC204" s="934"/>
      <c r="AD204" s="887"/>
    </row>
    <row r="205" spans="1:30" ht="14.1" customHeight="1" x14ac:dyDescent="0.2">
      <c r="A205" s="250"/>
      <c r="B205" s="251"/>
      <c r="C205" s="251"/>
      <c r="D205" s="251"/>
      <c r="E205" s="251"/>
      <c r="F205" s="194"/>
      <c r="G205" s="194"/>
      <c r="H205" s="824"/>
      <c r="I205" s="329"/>
      <c r="J205" s="330"/>
      <c r="K205" s="330"/>
      <c r="L205" s="330"/>
      <c r="M205" s="255"/>
      <c r="N205" s="255"/>
      <c r="O205" s="732"/>
      <c r="P205" s="187"/>
      <c r="Q205" s="691"/>
      <c r="R205" s="139"/>
      <c r="S205" s="1100"/>
      <c r="T205" s="939"/>
      <c r="U205" s="932"/>
      <c r="V205" s="931"/>
      <c r="W205" s="931"/>
      <c r="X205" s="931"/>
      <c r="Y205" s="931"/>
      <c r="Z205" s="931"/>
      <c r="AA205" s="933"/>
      <c r="AB205" s="887"/>
      <c r="AC205" s="934"/>
      <c r="AD205" s="887"/>
    </row>
    <row r="206" spans="1:30" ht="14.1" customHeight="1" thickBot="1" x14ac:dyDescent="0.25">
      <c r="A206" s="297" t="s">
        <v>142</v>
      </c>
      <c r="B206" s="298"/>
      <c r="C206" s="298"/>
      <c r="D206" s="298"/>
      <c r="E206" s="298" t="s">
        <v>39</v>
      </c>
      <c r="F206" s="299">
        <f>F200+F196</f>
        <v>54</v>
      </c>
      <c r="G206" s="299">
        <f>G204+G200+G196</f>
        <v>88782</v>
      </c>
      <c r="H206" s="837">
        <f>H200+H196</f>
        <v>135.81</v>
      </c>
      <c r="I206" s="300"/>
      <c r="J206" s="301"/>
      <c r="K206" s="302"/>
      <c r="L206" s="302"/>
      <c r="M206" s="302"/>
      <c r="N206" s="302"/>
      <c r="O206" s="302"/>
      <c r="P206" s="171"/>
      <c r="Q206" s="981">
        <f>SUM(Q196,Q200)</f>
        <v>4.3560000000000001E-2</v>
      </c>
      <c r="R206" s="171">
        <f>SUM(R196,R200)</f>
        <v>42.780149999999992</v>
      </c>
      <c r="S206" s="1100">
        <f>SUM(S196,S200)</f>
        <v>42.823709999999998</v>
      </c>
      <c r="T206" s="940"/>
      <c r="U206" s="932"/>
      <c r="V206" s="931"/>
      <c r="W206" s="931"/>
      <c r="X206" s="931"/>
      <c r="Y206" s="931"/>
      <c r="Z206" s="931"/>
      <c r="AA206" s="933"/>
      <c r="AB206" s="887"/>
      <c r="AC206" s="934"/>
      <c r="AD206" s="887"/>
    </row>
    <row r="207" spans="1:30" ht="14.1" customHeight="1" thickBot="1" x14ac:dyDescent="0.25">
      <c r="A207" s="279"/>
      <c r="B207" s="280"/>
      <c r="C207" s="280"/>
      <c r="D207" s="280"/>
      <c r="E207" s="280"/>
      <c r="F207" s="281"/>
      <c r="G207" s="281"/>
      <c r="H207" s="829"/>
      <c r="I207" s="307"/>
      <c r="J207" s="307"/>
      <c r="K207" s="307"/>
      <c r="L207" s="307"/>
      <c r="M207" s="307"/>
      <c r="N207" s="307"/>
      <c r="O207" s="740"/>
      <c r="P207" s="1030"/>
      <c r="Q207" s="697"/>
      <c r="R207" s="176"/>
      <c r="S207" s="1108"/>
      <c r="T207" s="941"/>
      <c r="U207" s="932"/>
      <c r="V207" s="931"/>
      <c r="W207" s="931"/>
      <c r="X207" s="931"/>
      <c r="Y207" s="931"/>
      <c r="Z207" s="931"/>
      <c r="AA207" s="933"/>
      <c r="AB207" s="887"/>
      <c r="AC207" s="934"/>
      <c r="AD207" s="887"/>
    </row>
    <row r="208" spans="1:30" ht="14.1" customHeight="1" thickBot="1" x14ac:dyDescent="0.25">
      <c r="A208" s="283">
        <v>9</v>
      </c>
      <c r="B208" s="260" t="s">
        <v>143</v>
      </c>
      <c r="C208" s="260" t="s">
        <v>144</v>
      </c>
      <c r="D208" s="255"/>
      <c r="E208" s="260" t="s">
        <v>10</v>
      </c>
      <c r="F208" s="259">
        <f>'BESCOM D-22(Current Tariff)'!I203</f>
        <v>20</v>
      </c>
      <c r="G208" s="259">
        <f>'BESCOM D-22(Current Tariff)'!J203</f>
        <v>2500</v>
      </c>
      <c r="H208" s="836"/>
      <c r="I208" s="260" t="s">
        <v>82</v>
      </c>
      <c r="J208" s="261">
        <v>1960</v>
      </c>
      <c r="K208" s="261"/>
      <c r="L208" s="261">
        <f>J208+K208</f>
        <v>1960</v>
      </c>
      <c r="M208" s="260"/>
      <c r="N208" s="260"/>
      <c r="O208" s="733"/>
      <c r="P208" s="1021"/>
      <c r="Q208" s="1011">
        <f>IF(($G$208*$L$208)/(10^7)&gt;($H$209*$P$209/10),($G$208*$L$208)/(10^7),0)</f>
        <v>0</v>
      </c>
      <c r="R208" s="1057"/>
      <c r="S208" s="1108"/>
      <c r="T208" s="942"/>
      <c r="U208" s="932"/>
      <c r="V208" s="931"/>
      <c r="W208" s="931"/>
      <c r="X208" s="931"/>
      <c r="Y208" s="931"/>
      <c r="Z208" s="931"/>
      <c r="AA208" s="933"/>
      <c r="AB208" s="887"/>
      <c r="AC208" s="934"/>
      <c r="AD208" s="887"/>
    </row>
    <row r="209" spans="1:30" ht="14.1" customHeight="1" x14ac:dyDescent="0.2">
      <c r="A209" s="285"/>
      <c r="B209" s="267"/>
      <c r="C209" s="267" t="s">
        <v>145</v>
      </c>
      <c r="D209" s="264"/>
      <c r="E209" s="267"/>
      <c r="F209" s="266"/>
      <c r="G209" s="266"/>
      <c r="H209" s="827">
        <f>'BESCOM D-22(Current Tariff)'!K204</f>
        <v>2.77</v>
      </c>
      <c r="I209" s="269"/>
      <c r="J209" s="269"/>
      <c r="K209" s="269"/>
      <c r="L209" s="269"/>
      <c r="M209" s="268"/>
      <c r="N209" s="268">
        <f>'BESCOM D-22(Current Tariff)'!O204</f>
        <v>5.15</v>
      </c>
      <c r="O209" s="738">
        <v>0</v>
      </c>
      <c r="P209" s="1008">
        <f>N209+O209</f>
        <v>5.15</v>
      </c>
      <c r="Q209" s="994"/>
      <c r="R209" s="1057">
        <f>IF(($G$208*$J$208)/(10^7)&gt;($H$209*$P$209/10),0,($H$209*$P$209/10))</f>
        <v>1.4265500000000002</v>
      </c>
      <c r="S209" s="1108"/>
      <c r="T209" s="942"/>
      <c r="U209" s="932"/>
      <c r="V209" s="931"/>
      <c r="W209" s="931"/>
      <c r="X209" s="931"/>
      <c r="Y209" s="931"/>
      <c r="Z209" s="931"/>
      <c r="AA209" s="933"/>
      <c r="AB209" s="887"/>
      <c r="AC209" s="934"/>
      <c r="AD209" s="887"/>
    </row>
    <row r="210" spans="1:30" ht="14.1" customHeight="1" thickBot="1" x14ac:dyDescent="0.25">
      <c r="A210" s="287"/>
      <c r="B210" s="288"/>
      <c r="C210" s="288" t="s">
        <v>146</v>
      </c>
      <c r="D210" s="274" t="s">
        <v>49</v>
      </c>
      <c r="E210" s="289" t="s">
        <v>10</v>
      </c>
      <c r="F210" s="331">
        <f>F208</f>
        <v>20</v>
      </c>
      <c r="G210" s="331">
        <f>G208</f>
        <v>2500</v>
      </c>
      <c r="H210" s="855">
        <f>H209</f>
        <v>2.77</v>
      </c>
      <c r="I210" s="288"/>
      <c r="J210" s="315"/>
      <c r="K210" s="315"/>
      <c r="L210" s="315"/>
      <c r="M210" s="315"/>
      <c r="N210" s="315"/>
      <c r="O210" s="751"/>
      <c r="P210" s="159"/>
      <c r="Q210" s="974">
        <f>Q208</f>
        <v>0</v>
      </c>
      <c r="R210" s="1057">
        <f>R209</f>
        <v>1.4265500000000002</v>
      </c>
      <c r="S210" s="1108">
        <f>SUM(Q210:R210)</f>
        <v>1.4265500000000002</v>
      </c>
      <c r="T210" s="942">
        <f>'BESCOM D-22(Current Tariff)'!R205</f>
        <v>1.4265500000000002</v>
      </c>
      <c r="U210" s="932">
        <f>S210-T210</f>
        <v>0</v>
      </c>
      <c r="V210" s="931">
        <f>U210/H210*10</f>
        <v>0</v>
      </c>
      <c r="W210" s="931">
        <f>U210/T210%</f>
        <v>0</v>
      </c>
      <c r="X210" s="931">
        <f>H210*X$4/10</f>
        <v>2.4098999999999995</v>
      </c>
      <c r="Y210" s="931">
        <f>(T210-X210)/X210%</f>
        <v>-40.804597701149405</v>
      </c>
      <c r="Z210" s="931">
        <f>H210*Z$4/10</f>
        <v>2.4098999999999995</v>
      </c>
      <c r="AA210" s="933">
        <f>(S210-Z210)/Z210%</f>
        <v>-40.804597701149405</v>
      </c>
      <c r="AB210" s="887">
        <f>(S210-(H210*AB$2/10))/(H210*AB$2/10)*100</f>
        <v>-36.887254901960773</v>
      </c>
      <c r="AC210" s="934">
        <f>(T210-(H210*AB$3/10))/(H210*AB$3/10)*100</f>
        <v>-34.7275031685678</v>
      </c>
      <c r="AD210" s="887">
        <f>S210/H210*10</f>
        <v>5.1500000000000012</v>
      </c>
    </row>
    <row r="211" spans="1:30" ht="14.1" customHeight="1" x14ac:dyDescent="0.2">
      <c r="A211" s="250"/>
      <c r="B211" s="251"/>
      <c r="C211" s="251"/>
      <c r="D211" s="251"/>
      <c r="E211" s="251"/>
      <c r="F211" s="194"/>
      <c r="G211" s="194"/>
      <c r="H211" s="824"/>
      <c r="I211" s="255"/>
      <c r="J211" s="255"/>
      <c r="K211" s="255"/>
      <c r="L211" s="255"/>
      <c r="M211" s="282"/>
      <c r="N211" s="282"/>
      <c r="O211" s="737"/>
      <c r="P211" s="139"/>
      <c r="Q211" s="691"/>
      <c r="R211" s="139"/>
      <c r="S211" s="1108"/>
      <c r="T211" s="942"/>
      <c r="U211" s="932"/>
      <c r="V211" s="931"/>
      <c r="W211" s="931"/>
      <c r="X211" s="931"/>
      <c r="Y211" s="931"/>
      <c r="Z211" s="931"/>
      <c r="AA211" s="933"/>
      <c r="AB211" s="887"/>
      <c r="AC211" s="934"/>
      <c r="AD211" s="887"/>
    </row>
    <row r="212" spans="1:30" ht="14.1" customHeight="1" x14ac:dyDescent="0.2">
      <c r="A212" s="297" t="s">
        <v>147</v>
      </c>
      <c r="B212" s="298"/>
      <c r="C212" s="298"/>
      <c r="D212" s="298"/>
      <c r="E212" s="298" t="s">
        <v>39</v>
      </c>
      <c r="F212" s="299">
        <f>F210</f>
        <v>20</v>
      </c>
      <c r="G212" s="299">
        <f>G210</f>
        <v>2500</v>
      </c>
      <c r="H212" s="837">
        <f>H210</f>
        <v>2.77</v>
      </c>
      <c r="I212" s="298"/>
      <c r="J212" s="302"/>
      <c r="K212" s="302"/>
      <c r="L212" s="302"/>
      <c r="M212" s="301"/>
      <c r="N212" s="301"/>
      <c r="O212" s="301"/>
      <c r="P212" s="170"/>
      <c r="Q212" s="981">
        <f>Q210</f>
        <v>0</v>
      </c>
      <c r="R212" s="171">
        <f>R210</f>
        <v>1.4265500000000002</v>
      </c>
      <c r="S212" s="1108">
        <f>S210</f>
        <v>1.4265500000000002</v>
      </c>
      <c r="T212" s="942"/>
      <c r="U212" s="932"/>
      <c r="V212" s="931"/>
      <c r="W212" s="931"/>
      <c r="X212" s="931"/>
      <c r="Y212" s="931"/>
      <c r="Z212" s="931"/>
      <c r="AA212" s="933"/>
      <c r="AB212" s="887"/>
      <c r="AC212" s="934"/>
      <c r="AD212" s="887"/>
    </row>
    <row r="213" spans="1:30" ht="14.1" customHeight="1" thickBot="1" x14ac:dyDescent="0.25">
      <c r="A213" s="279"/>
      <c r="B213" s="280"/>
      <c r="C213" s="280"/>
      <c r="D213" s="280"/>
      <c r="E213" s="280"/>
      <c r="F213" s="281"/>
      <c r="G213" s="281"/>
      <c r="H213" s="829"/>
      <c r="I213" s="307"/>
      <c r="J213" s="307"/>
      <c r="K213" s="307"/>
      <c r="L213" s="307"/>
      <c r="M213" s="307"/>
      <c r="N213" s="307"/>
      <c r="O213" s="740"/>
      <c r="P213" s="1030"/>
      <c r="Q213" s="697"/>
      <c r="R213" s="176"/>
      <c r="S213" s="1108"/>
      <c r="T213" s="942"/>
      <c r="U213" s="932"/>
      <c r="V213" s="931"/>
      <c r="W213" s="931"/>
      <c r="X213" s="931"/>
      <c r="Y213" s="931"/>
      <c r="Z213" s="931"/>
      <c r="AA213" s="933"/>
      <c r="AB213" s="887"/>
      <c r="AC213" s="934"/>
      <c r="AD213" s="887"/>
    </row>
    <row r="214" spans="1:30" ht="14.1" customHeight="1" thickBot="1" x14ac:dyDescent="0.25">
      <c r="A214" s="253" t="s">
        <v>148</v>
      </c>
      <c r="B214" s="254"/>
      <c r="C214" s="254"/>
      <c r="D214" s="254"/>
      <c r="E214" s="254"/>
      <c r="F214" s="195">
        <f>SUM(F206,F212)</f>
        <v>74</v>
      </c>
      <c r="G214" s="195">
        <f>SUM(G206,G212)</f>
        <v>91282</v>
      </c>
      <c r="H214" s="823">
        <f>SUM(H206,H212)</f>
        <v>138.58000000000001</v>
      </c>
      <c r="I214" s="254"/>
      <c r="J214" s="308"/>
      <c r="K214" s="308"/>
      <c r="L214" s="308"/>
      <c r="M214" s="308"/>
      <c r="N214" s="308"/>
      <c r="O214" s="741"/>
      <c r="P214" s="143"/>
      <c r="Q214" s="972">
        <f>SUM(Q206,Q212)</f>
        <v>4.3560000000000001E-2</v>
      </c>
      <c r="R214" s="143">
        <f>SUM(R206,R212)</f>
        <v>44.206699999999991</v>
      </c>
      <c r="S214" s="1108">
        <f>SUM(S206,S212)</f>
        <v>44.250259999999997</v>
      </c>
      <c r="T214" s="942"/>
      <c r="U214" s="932"/>
      <c r="V214" s="931"/>
      <c r="W214" s="931"/>
      <c r="X214" s="931"/>
      <c r="Y214" s="931"/>
      <c r="Z214" s="931"/>
      <c r="AA214" s="933"/>
      <c r="AB214" s="887"/>
      <c r="AC214" s="934"/>
      <c r="AD214" s="887"/>
    </row>
    <row r="215" spans="1:30" ht="14.1" customHeight="1" thickBot="1" x14ac:dyDescent="0.25">
      <c r="A215" s="309"/>
      <c r="B215" s="295"/>
      <c r="C215" s="295"/>
      <c r="D215" s="295"/>
      <c r="E215" s="295"/>
      <c r="F215" s="313"/>
      <c r="G215" s="313"/>
      <c r="H215" s="846"/>
      <c r="I215" s="255"/>
      <c r="J215" s="255"/>
      <c r="K215" s="255"/>
      <c r="L215" s="255"/>
      <c r="M215" s="255"/>
      <c r="N215" s="255"/>
      <c r="O215" s="732"/>
      <c r="P215" s="187"/>
      <c r="Q215" s="691"/>
      <c r="R215" s="139"/>
      <c r="S215" s="1108"/>
      <c r="T215" s="943"/>
      <c r="U215" s="932"/>
      <c r="V215" s="931"/>
      <c r="W215" s="931"/>
      <c r="X215" s="931"/>
      <c r="Y215" s="931"/>
      <c r="Z215" s="931"/>
      <c r="AA215" s="933"/>
      <c r="AB215" s="887"/>
      <c r="AC215" s="934"/>
      <c r="AD215" s="887"/>
    </row>
    <row r="216" spans="1:30" ht="14.1" customHeight="1" thickBot="1" x14ac:dyDescent="0.25">
      <c r="A216" s="283">
        <v>9</v>
      </c>
      <c r="B216" s="255" t="s">
        <v>312</v>
      </c>
      <c r="C216" s="255" t="s">
        <v>314</v>
      </c>
      <c r="D216" s="255"/>
      <c r="E216" s="260" t="s">
        <v>115</v>
      </c>
      <c r="F216" s="259">
        <f>'BESCOM D-22(Current Tariff)'!I211</f>
        <v>545</v>
      </c>
      <c r="G216" s="259">
        <f>'BESCOM D-22(Current Tariff)'!J211</f>
        <v>79025</v>
      </c>
      <c r="H216" s="836"/>
      <c r="I216" s="260" t="s">
        <v>116</v>
      </c>
      <c r="J216" s="261">
        <v>175</v>
      </c>
      <c r="K216" s="261"/>
      <c r="L216" s="261">
        <f>J216+K216</f>
        <v>175</v>
      </c>
      <c r="M216" s="260"/>
      <c r="N216" s="260"/>
      <c r="O216" s="733"/>
      <c r="P216" s="1021"/>
      <c r="Q216" s="1011">
        <f>(G216*85/100*L216*12)/(10^7)</f>
        <v>14.1059625</v>
      </c>
      <c r="R216" s="1022"/>
      <c r="S216" s="1109"/>
      <c r="T216" s="943"/>
      <c r="U216" s="932"/>
      <c r="V216" s="931"/>
      <c r="W216" s="931"/>
      <c r="X216" s="931"/>
      <c r="Y216" s="931"/>
      <c r="Z216" s="931"/>
      <c r="AA216" s="933"/>
      <c r="AB216" s="887"/>
      <c r="AC216" s="934"/>
      <c r="AD216" s="887"/>
    </row>
    <row r="217" spans="1:30" ht="14.1" customHeight="1" x14ac:dyDescent="0.2">
      <c r="A217" s="285"/>
      <c r="B217" s="264"/>
      <c r="C217" s="332"/>
      <c r="D217" s="264"/>
      <c r="E217" s="267"/>
      <c r="F217" s="266"/>
      <c r="G217" s="266"/>
      <c r="H217" s="827">
        <f>'BESCOM D-22(Current Tariff)'!K212</f>
        <v>102.13</v>
      </c>
      <c r="I217" s="322"/>
      <c r="J217" s="324"/>
      <c r="K217" s="324"/>
      <c r="L217" s="324"/>
      <c r="M217" s="268"/>
      <c r="N217" s="268">
        <f>'BESCOM D-22(Current Tariff)'!O212</f>
        <v>7.1</v>
      </c>
      <c r="O217" s="738">
        <v>0</v>
      </c>
      <c r="P217" s="1008">
        <f>N217+O217</f>
        <v>7.1</v>
      </c>
      <c r="Q217" s="994"/>
      <c r="R217" s="1018">
        <f>H217*P217/10</f>
        <v>72.512299999999996</v>
      </c>
      <c r="S217" s="1110"/>
      <c r="T217" s="943"/>
      <c r="U217" s="932"/>
      <c r="V217" s="931"/>
      <c r="W217" s="931"/>
      <c r="X217" s="931"/>
      <c r="Y217" s="931"/>
      <c r="Z217" s="931"/>
      <c r="AA217" s="933"/>
      <c r="AB217" s="887"/>
      <c r="AC217" s="934"/>
      <c r="AD217" s="887"/>
    </row>
    <row r="218" spans="1:30" ht="14.1" customHeight="1" thickBot="1" x14ac:dyDescent="0.25">
      <c r="A218" s="287"/>
      <c r="B218" s="264"/>
      <c r="C218" s="332"/>
      <c r="D218" s="274" t="s">
        <v>49</v>
      </c>
      <c r="E218" s="289" t="s">
        <v>115</v>
      </c>
      <c r="F218" s="277">
        <f>F216</f>
        <v>545</v>
      </c>
      <c r="G218" s="277">
        <f>G216</f>
        <v>79025</v>
      </c>
      <c r="H218" s="828">
        <f>H217</f>
        <v>102.13</v>
      </c>
      <c r="I218" s="288"/>
      <c r="J218" s="315"/>
      <c r="K218" s="315"/>
      <c r="L218" s="315"/>
      <c r="M218" s="315"/>
      <c r="N218" s="315"/>
      <c r="O218" s="751"/>
      <c r="P218" s="159"/>
      <c r="Q218" s="974">
        <f>Q216</f>
        <v>14.1059625</v>
      </c>
      <c r="R218" s="976">
        <f>R217</f>
        <v>72.512299999999996</v>
      </c>
      <c r="S218" s="1110">
        <f>SUM(Q218:R218)</f>
        <v>86.6182625</v>
      </c>
      <c r="T218" s="943">
        <f>'BESCOM D-22(Current Tariff)'!R213</f>
        <v>86.6182625</v>
      </c>
      <c r="U218" s="932">
        <f>S218-T218</f>
        <v>0</v>
      </c>
      <c r="V218" s="931">
        <f>U218/H218*10</f>
        <v>0</v>
      </c>
      <c r="W218" s="931">
        <f>U218/T218%</f>
        <v>0</v>
      </c>
      <c r="X218" s="931">
        <f>H218*X$4/10</f>
        <v>88.853099999999984</v>
      </c>
      <c r="Y218" s="931">
        <f>(T218-X218)/X218%</f>
        <v>-2.5152048718615148</v>
      </c>
      <c r="Z218" s="931">
        <f>H218*Z$4/10</f>
        <v>88.853099999999984</v>
      </c>
      <c r="AA218" s="933">
        <f>(S218-Z218)/Z218%</f>
        <v>-2.5152048718615148</v>
      </c>
      <c r="AB218" s="887">
        <f>(S218-(H218*AB$2/10))/(H218*AB$2/10)*100</f>
        <v>3.9359948057358589</v>
      </c>
      <c r="AC218" s="934">
        <f>(T218-(H218*AB$3/10))/(H218*AB$3/10)*100</f>
        <v>7.4927398751336778</v>
      </c>
      <c r="AD218" s="887">
        <f>S218/H218*10</f>
        <v>8.4811771761480479</v>
      </c>
    </row>
    <row r="219" spans="1:30" ht="14.1" customHeight="1" thickBot="1" x14ac:dyDescent="0.25">
      <c r="A219" s="250"/>
      <c r="B219" s="251"/>
      <c r="C219" s="251"/>
      <c r="D219" s="251"/>
      <c r="E219" s="251"/>
      <c r="F219" s="194"/>
      <c r="G219" s="194"/>
      <c r="H219" s="824"/>
      <c r="I219" s="251"/>
      <c r="J219" s="282"/>
      <c r="K219" s="282"/>
      <c r="L219" s="282"/>
      <c r="M219" s="282"/>
      <c r="N219" s="282"/>
      <c r="O219" s="737"/>
      <c r="P219" s="139"/>
      <c r="Q219" s="691"/>
      <c r="R219" s="139"/>
      <c r="S219" s="1110"/>
      <c r="T219" s="943"/>
      <c r="U219" s="932"/>
      <c r="V219" s="931"/>
      <c r="W219" s="931"/>
      <c r="X219" s="931"/>
      <c r="Y219" s="931"/>
      <c r="Z219" s="931"/>
      <c r="AA219" s="933"/>
      <c r="AB219" s="887"/>
      <c r="AC219" s="934"/>
      <c r="AD219" s="887"/>
    </row>
    <row r="220" spans="1:30" ht="14.1" customHeight="1" thickBot="1" x14ac:dyDescent="0.25">
      <c r="A220" s="283">
        <v>10</v>
      </c>
      <c r="B220" s="255" t="s">
        <v>313</v>
      </c>
      <c r="C220" s="255" t="s">
        <v>108</v>
      </c>
      <c r="D220" s="255"/>
      <c r="E220" s="260" t="s">
        <v>115</v>
      </c>
      <c r="F220" s="259">
        <f>'BESCOM D-22(Current Tariff)'!I215</f>
        <v>2124</v>
      </c>
      <c r="G220" s="259">
        <f>'BESCOM D-22(Current Tariff)'!J215</f>
        <v>535660</v>
      </c>
      <c r="H220" s="836"/>
      <c r="I220" s="260" t="s">
        <v>116</v>
      </c>
      <c r="J220" s="261">
        <v>325</v>
      </c>
      <c r="K220" s="261"/>
      <c r="L220" s="261">
        <f>J220+K220</f>
        <v>325</v>
      </c>
      <c r="M220" s="260"/>
      <c r="N220" s="260"/>
      <c r="O220" s="733"/>
      <c r="P220" s="1021"/>
      <c r="Q220" s="1010">
        <f>((G220-(4*1413))*L220*12)/(10^7)</f>
        <v>206.70312000000001</v>
      </c>
      <c r="R220" s="1022"/>
      <c r="S220" s="1109"/>
      <c r="T220" s="943"/>
      <c r="U220" s="932"/>
      <c r="V220" s="931"/>
      <c r="W220" s="931"/>
      <c r="X220" s="931"/>
      <c r="Y220" s="931"/>
      <c r="Z220" s="931"/>
      <c r="AA220" s="933"/>
      <c r="AB220" s="887"/>
      <c r="AC220" s="934"/>
      <c r="AD220" s="887"/>
    </row>
    <row r="221" spans="1:30" ht="14.1" customHeight="1" x14ac:dyDescent="0.2">
      <c r="A221" s="285"/>
      <c r="B221" s="267"/>
      <c r="C221" s="267"/>
      <c r="D221" s="264"/>
      <c r="E221" s="267"/>
      <c r="F221" s="266"/>
      <c r="G221" s="266"/>
      <c r="H221" s="827">
        <f>'BESCOM D-22(Current Tariff)'!K216</f>
        <v>107.67</v>
      </c>
      <c r="I221" s="267"/>
      <c r="J221" s="268"/>
      <c r="K221" s="268"/>
      <c r="L221" s="268"/>
      <c r="M221" s="268"/>
      <c r="N221" s="268">
        <f>'BESCOM D-22(Current Tariff)'!O216</f>
        <v>11.2</v>
      </c>
      <c r="O221" s="738">
        <v>0</v>
      </c>
      <c r="P221" s="1008">
        <f>N221+O221</f>
        <v>11.2</v>
      </c>
      <c r="Q221" s="994"/>
      <c r="R221" s="1018">
        <f>H221*P221/10</f>
        <v>120.5904</v>
      </c>
      <c r="S221" s="1110"/>
      <c r="T221" s="943"/>
      <c r="U221" s="932"/>
      <c r="V221" s="931"/>
      <c r="W221" s="931"/>
      <c r="X221" s="931"/>
      <c r="Y221" s="931"/>
      <c r="Z221" s="931"/>
      <c r="AA221" s="933"/>
      <c r="AB221" s="887"/>
      <c r="AC221" s="934"/>
      <c r="AD221" s="887"/>
    </row>
    <row r="222" spans="1:30" ht="14.1" customHeight="1" thickBot="1" x14ac:dyDescent="0.25">
      <c r="A222" s="287"/>
      <c r="B222" s="288"/>
      <c r="C222" s="288"/>
      <c r="D222" s="274" t="s">
        <v>49</v>
      </c>
      <c r="E222" s="289" t="s">
        <v>115</v>
      </c>
      <c r="F222" s="277">
        <f>F220</f>
        <v>2124</v>
      </c>
      <c r="G222" s="277">
        <f>G220</f>
        <v>535660</v>
      </c>
      <c r="H222" s="828">
        <f>H221</f>
        <v>107.67</v>
      </c>
      <c r="I222" s="289"/>
      <c r="J222" s="294"/>
      <c r="K222" s="294"/>
      <c r="L222" s="294"/>
      <c r="M222" s="294"/>
      <c r="N222" s="294"/>
      <c r="O222" s="756"/>
      <c r="P222" s="159"/>
      <c r="Q222" s="974">
        <f>Q220</f>
        <v>206.70312000000001</v>
      </c>
      <c r="R222" s="976">
        <f>R221</f>
        <v>120.5904</v>
      </c>
      <c r="S222" s="1110">
        <f>SUM(Q222:R222)</f>
        <v>327.29352</v>
      </c>
      <c r="T222" s="943">
        <f>'BESCOM D-22(Current Tariff)'!R217</f>
        <v>327.29352</v>
      </c>
      <c r="U222" s="932">
        <f>S222-T222</f>
        <v>0</v>
      </c>
      <c r="V222" s="931">
        <f>U222/H222*10</f>
        <v>0</v>
      </c>
      <c r="W222" s="931">
        <f>U222/T222%</f>
        <v>0</v>
      </c>
      <c r="X222" s="931">
        <f>H222*X$4/10</f>
        <v>93.672899999999998</v>
      </c>
      <c r="Y222" s="931">
        <f>(T222-X222)/X222%</f>
        <v>249.40043491767628</v>
      </c>
      <c r="Z222" s="931">
        <f>H222*Z$4/10</f>
        <v>93.672899999999998</v>
      </c>
      <c r="AA222" s="933">
        <f>(S222-Z222)/Z222%</f>
        <v>249.40043491767628</v>
      </c>
      <c r="AB222" s="887">
        <f>(S222-(H222*AB$2/10))/(H222*AB$2/10)*100</f>
        <v>272.52252252252254</v>
      </c>
      <c r="AC222" s="934">
        <f>(T222-(H222*AB$3/10))/(H222*AB$3/10)*100</f>
        <v>285.27044154420582</v>
      </c>
      <c r="AD222" s="887">
        <f>S222/H222*10</f>
        <v>30.397837837837834</v>
      </c>
    </row>
    <row r="223" spans="1:30" ht="14.1" customHeight="1" thickBot="1" x14ac:dyDescent="0.25">
      <c r="A223" s="250"/>
      <c r="B223" s="251"/>
      <c r="C223" s="251"/>
      <c r="D223" s="251"/>
      <c r="E223" s="251"/>
      <c r="F223" s="194"/>
      <c r="G223" s="194"/>
      <c r="H223" s="824"/>
      <c r="I223" s="295"/>
      <c r="J223" s="282"/>
      <c r="K223" s="282"/>
      <c r="L223" s="282"/>
      <c r="M223" s="282"/>
      <c r="N223" s="282"/>
      <c r="O223" s="737"/>
      <c r="P223" s="139"/>
      <c r="Q223" s="691"/>
      <c r="R223" s="139"/>
      <c r="S223" s="1110"/>
      <c r="T223" s="943"/>
      <c r="U223" s="932"/>
      <c r="V223" s="931"/>
      <c r="W223" s="931"/>
      <c r="X223" s="931"/>
      <c r="Y223" s="931"/>
      <c r="Z223" s="931"/>
      <c r="AA223" s="933"/>
      <c r="AB223" s="887"/>
      <c r="AC223" s="934"/>
      <c r="AD223" s="887"/>
    </row>
    <row r="224" spans="1:30" ht="14.1" customHeight="1" thickBot="1" x14ac:dyDescent="0.25">
      <c r="A224" s="253" t="s">
        <v>149</v>
      </c>
      <c r="B224" s="254"/>
      <c r="C224" s="254"/>
      <c r="D224" s="254"/>
      <c r="E224" s="254" t="s">
        <v>39</v>
      </c>
      <c r="F224" s="195">
        <f>F222+F218</f>
        <v>2669</v>
      </c>
      <c r="G224" s="195">
        <f>G218+G222</f>
        <v>614685</v>
      </c>
      <c r="H224" s="823">
        <f>H222+H218</f>
        <v>209.8</v>
      </c>
      <c r="I224" s="254"/>
      <c r="J224" s="198"/>
      <c r="K224" s="198"/>
      <c r="L224" s="198"/>
      <c r="M224" s="254"/>
      <c r="N224" s="254"/>
      <c r="O224" s="731"/>
      <c r="P224" s="971"/>
      <c r="Q224" s="972">
        <f>SUM(Q218,Q222)</f>
        <v>220.80908250000002</v>
      </c>
      <c r="R224" s="973">
        <f>SUM(R218,R222)</f>
        <v>193.1027</v>
      </c>
      <c r="S224" s="1111">
        <f>SUM(S218,S222)</f>
        <v>413.91178250000002</v>
      </c>
      <c r="T224" s="943"/>
      <c r="U224" s="932"/>
      <c r="V224" s="931"/>
      <c r="W224" s="931"/>
      <c r="X224" s="931"/>
      <c r="Y224" s="931"/>
      <c r="Z224" s="931"/>
      <c r="AA224" s="933"/>
      <c r="AB224" s="887"/>
      <c r="AC224" s="934"/>
      <c r="AD224" s="887"/>
    </row>
    <row r="225" spans="1:30" ht="14.1" customHeight="1" thickBot="1" x14ac:dyDescent="0.25">
      <c r="A225" s="309"/>
      <c r="B225" s="295"/>
      <c r="C225" s="295"/>
      <c r="D225" s="251"/>
      <c r="E225" s="251"/>
      <c r="F225" s="194"/>
      <c r="G225" s="194"/>
      <c r="H225" s="824"/>
      <c r="I225" s="251"/>
      <c r="J225" s="199"/>
      <c r="K225" s="199"/>
      <c r="L225" s="199"/>
      <c r="M225" s="251"/>
      <c r="N225" s="251"/>
      <c r="O225" s="757"/>
      <c r="P225" s="111"/>
      <c r="Q225" s="691"/>
      <c r="R225" s="139"/>
      <c r="S225" s="1112"/>
      <c r="T225" s="944"/>
      <c r="U225" s="945"/>
      <c r="V225" s="946"/>
      <c r="W225" s="946"/>
      <c r="X225" s="946"/>
      <c r="Y225" s="946"/>
      <c r="Z225" s="946"/>
      <c r="AA225" s="947"/>
      <c r="AB225" s="908"/>
      <c r="AC225" s="948"/>
      <c r="AD225" s="887"/>
    </row>
    <row r="226" spans="1:30" ht="25.5" customHeight="1" x14ac:dyDescent="0.2">
      <c r="A226" s="771" t="s">
        <v>150</v>
      </c>
      <c r="B226" s="772"/>
      <c r="C226" s="772"/>
      <c r="D226" s="772"/>
      <c r="E226" s="772" t="s">
        <v>39</v>
      </c>
      <c r="F226" s="773">
        <f>SUM(F148,F192,F214,F224)</f>
        <v>20665</v>
      </c>
      <c r="G226" s="773">
        <f>SUM(G148,G192,G214,G224)</f>
        <v>7850972</v>
      </c>
      <c r="H226" s="856">
        <f>SUM(H148,H192,H214,H224)</f>
        <v>8048.6800000000012</v>
      </c>
      <c r="I226" s="772"/>
      <c r="J226" s="774"/>
      <c r="K226" s="774"/>
      <c r="L226" s="774"/>
      <c r="M226" s="772"/>
      <c r="N226" s="772"/>
      <c r="O226" s="775"/>
      <c r="P226" s="997"/>
      <c r="Q226" s="998">
        <f>SUM(Q148,Q192,Q214,Q224)</f>
        <v>2343.3632474999999</v>
      </c>
      <c r="R226" s="999">
        <f>SUM(R148,R192,R214,R224)</f>
        <v>6275.1574604999996</v>
      </c>
      <c r="S226" s="1113">
        <f>SUM(S148,S192,S214,S224)</f>
        <v>8618.520708</v>
      </c>
      <c r="T226" s="949">
        <f>'BESCOM D-22(Current Tariff)'!R221</f>
        <v>8618.520708</v>
      </c>
      <c r="U226" s="950">
        <f>S226-T226</f>
        <v>0</v>
      </c>
      <c r="V226" s="951">
        <f>U226/H226*10</f>
        <v>0</v>
      </c>
      <c r="W226" s="950">
        <f>U226/T226%</f>
        <v>0</v>
      </c>
      <c r="X226" s="952">
        <f>H226*X$4/10</f>
        <v>7002.3516</v>
      </c>
      <c r="Y226" s="952">
        <f>(T226-X226)/X226%</f>
        <v>23.080376426685003</v>
      </c>
      <c r="Z226" s="952">
        <f>H226*Z$4/10</f>
        <v>7002.3516</v>
      </c>
      <c r="AA226" s="953">
        <f>(S226-Z226)/Z226%</f>
        <v>23.080376426685003</v>
      </c>
      <c r="AB226" s="954">
        <f>(S226-(H226*AB$2/10))/(H226*AB$2/10)*100</f>
        <v>31.225401337274427</v>
      </c>
      <c r="AC226" s="955">
        <f>(T226-(H226*AB$3/10))/(H226*AB$3/10)*100</f>
        <v>35.716004424861772</v>
      </c>
      <c r="AD226" s="908">
        <f>S226/H226*10</f>
        <v>10.707992749121594</v>
      </c>
    </row>
    <row r="227" spans="1:30" ht="27.75" customHeight="1" x14ac:dyDescent="0.2">
      <c r="A227" s="777"/>
      <c r="B227" s="483" t="s">
        <v>364</v>
      </c>
      <c r="C227" s="483" t="s">
        <v>442</v>
      </c>
      <c r="D227" s="778"/>
      <c r="E227" s="778"/>
      <c r="F227" s="451"/>
      <c r="G227" s="451"/>
      <c r="H227" s="857">
        <v>350</v>
      </c>
      <c r="I227" s="777"/>
      <c r="J227" s="779"/>
      <c r="K227" s="779"/>
      <c r="L227" s="779"/>
      <c r="M227" s="777"/>
      <c r="N227" s="781">
        <v>6</v>
      </c>
      <c r="O227" s="780"/>
      <c r="P227" s="1000"/>
      <c r="Q227" s="1060">
        <v>0</v>
      </c>
      <c r="R227" s="704">
        <f>N227*H227/10</f>
        <v>210</v>
      </c>
      <c r="S227" s="1114">
        <f>Q227+R227</f>
        <v>210</v>
      </c>
      <c r="T227" s="930"/>
      <c r="U227" s="931"/>
      <c r="V227" s="931"/>
      <c r="W227" s="931"/>
      <c r="X227" s="931"/>
      <c r="Y227" s="931"/>
      <c r="Z227" s="931"/>
      <c r="AA227" s="931"/>
      <c r="AB227" s="887"/>
      <c r="AC227" s="887"/>
      <c r="AD227" s="887"/>
    </row>
    <row r="228" spans="1:30" ht="25.5" customHeight="1" thickBot="1" x14ac:dyDescent="0.25">
      <c r="A228" s="333" t="s">
        <v>151</v>
      </c>
      <c r="B228" s="506"/>
      <c r="C228" s="506"/>
      <c r="D228" s="506"/>
      <c r="E228" s="506" t="s">
        <v>39</v>
      </c>
      <c r="F228" s="508">
        <f>SUM(F142,F226)</f>
        <v>13566099</v>
      </c>
      <c r="G228" s="776">
        <f>SUM(G142,G226)</f>
        <v>41993045.731631607</v>
      </c>
      <c r="H228" s="858">
        <f>SUM(H142,H226,H227)</f>
        <v>29396.61</v>
      </c>
      <c r="I228" s="506"/>
      <c r="J228" s="507"/>
      <c r="K228" s="507"/>
      <c r="L228" s="507"/>
      <c r="M228" s="506"/>
      <c r="N228" s="506"/>
      <c r="O228" s="758"/>
      <c r="P228" s="1001"/>
      <c r="Q228" s="1002">
        <f>SUM(Q142,Q226)</f>
        <v>5980.02136370885</v>
      </c>
      <c r="R228" s="1003">
        <f>SUM(R142,R226,R227)</f>
        <v>19024.214776728499</v>
      </c>
      <c r="S228" s="1115">
        <f>SUM(S142,S226,S227)</f>
        <v>25004.236140437351</v>
      </c>
      <c r="T228" s="956">
        <f>'BESCOM D-22(Current Tariff)'!R223</f>
        <v>25004.236140437351</v>
      </c>
      <c r="U228" s="956">
        <f>S228-T228</f>
        <v>0</v>
      </c>
      <c r="V228" s="956">
        <f>U228/H228*10</f>
        <v>0</v>
      </c>
      <c r="W228" s="956">
        <f>U228/T228%</f>
        <v>0</v>
      </c>
      <c r="X228" s="956">
        <f>H228*X$4/10</f>
        <v>25575.0507</v>
      </c>
      <c r="Y228" s="956">
        <f>(T228-X228)/X228%</f>
        <v>-2.2319195619919077</v>
      </c>
      <c r="Z228" s="956">
        <f>H228*Z$4/10</f>
        <v>25575.0507</v>
      </c>
      <c r="AA228" s="956">
        <f>(S228-Z228)/Z228%</f>
        <v>-2.2319195619919077</v>
      </c>
      <c r="AB228" s="957">
        <f>(S228-(H228*AB$2/10))/(H228*AB$2/10)*100</f>
        <v>4.2380269375821529</v>
      </c>
      <c r="AC228" s="958">
        <f>(T228-(H228*AB$3/10))/(H228*AB$3/10)*100</f>
        <v>7.8051077073093058</v>
      </c>
      <c r="AD228" s="913">
        <f>S228/H228*10</f>
        <v>8.5058229981067033</v>
      </c>
    </row>
    <row r="229" spans="1:30" ht="18.75" thickBot="1" x14ac:dyDescent="0.25">
      <c r="A229" s="334"/>
      <c r="B229" s="335"/>
      <c r="C229" s="336" t="s">
        <v>345</v>
      </c>
      <c r="D229" s="335"/>
      <c r="E229" s="335"/>
      <c r="F229" s="337"/>
      <c r="G229" s="458"/>
      <c r="H229" s="859"/>
      <c r="I229" s="338"/>
      <c r="J229" s="338"/>
      <c r="K229" s="338"/>
      <c r="L229" s="338"/>
      <c r="M229" s="338"/>
      <c r="N229" s="338"/>
      <c r="O229" s="759"/>
      <c r="P229" s="1061"/>
      <c r="Q229" s="1062"/>
      <c r="R229" s="1063">
        <f>'BESCOM D-22(Current Tariff)'!Q224</f>
        <v>591.98</v>
      </c>
      <c r="S229" s="1116">
        <f>R229</f>
        <v>591.98</v>
      </c>
      <c r="T229" s="959">
        <f>'BESCOM D-22(Current Tariff)'!R224</f>
        <v>591.98</v>
      </c>
      <c r="U229" s="960">
        <f>S229-T229</f>
        <v>0</v>
      </c>
      <c r="V229" s="960"/>
      <c r="W229" s="960">
        <f>U229/T229%</f>
        <v>0</v>
      </c>
      <c r="X229" s="960">
        <f>H229*X$4/10</f>
        <v>0</v>
      </c>
      <c r="Y229" s="960"/>
      <c r="Z229" s="960">
        <f>H229*Z$4/10</f>
        <v>0</v>
      </c>
      <c r="AA229" s="961"/>
      <c r="AB229" s="962"/>
      <c r="AC229" s="963"/>
      <c r="AD229" s="887"/>
    </row>
    <row r="230" spans="1:30" ht="24" customHeight="1" thickBot="1" x14ac:dyDescent="0.25">
      <c r="A230" s="1572" t="s">
        <v>343</v>
      </c>
      <c r="B230" s="1573"/>
      <c r="C230" s="1574"/>
      <c r="D230" s="339"/>
      <c r="E230" s="339"/>
      <c r="F230" s="340"/>
      <c r="G230" s="341"/>
      <c r="H230" s="860">
        <f>H229+H228</f>
        <v>29396.61</v>
      </c>
      <c r="I230" s="341"/>
      <c r="J230" s="341"/>
      <c r="K230" s="341"/>
      <c r="L230" s="341"/>
      <c r="M230" s="341"/>
      <c r="N230" s="341"/>
      <c r="O230" s="760"/>
      <c r="P230" s="1064"/>
      <c r="Q230" s="1065">
        <f>Q228+Q229</f>
        <v>5980.02136370885</v>
      </c>
      <c r="R230" s="1004">
        <f>R228+R229</f>
        <v>19616.194776728498</v>
      </c>
      <c r="S230" s="1117">
        <f>S229+S228</f>
        <v>25596.216140437351</v>
      </c>
      <c r="T230" s="964">
        <f>'BESCOM D-22(Current Tariff)'!R225</f>
        <v>25596.216140437351</v>
      </c>
      <c r="U230" s="965">
        <f>S230-T230</f>
        <v>0</v>
      </c>
      <c r="V230" s="966">
        <f>U230/H230*10</f>
        <v>0</v>
      </c>
      <c r="W230" s="967">
        <f>U230/T230%</f>
        <v>0</v>
      </c>
      <c r="X230" s="921">
        <f>H230*X$4/10</f>
        <v>25575.0507</v>
      </c>
      <c r="Y230" s="917">
        <f>(T230-X230)/X230%</f>
        <v>8.2758156320492493E-2</v>
      </c>
      <c r="Z230" s="966">
        <f>H230*Z$4/10</f>
        <v>25575.0507</v>
      </c>
      <c r="AA230" s="967">
        <f>(S230-Z230)/Z230%</f>
        <v>8.2758156320492493E-2</v>
      </c>
      <c r="AB230" s="968">
        <f>(S230-(H230*AB$2/10))/(H230*AB$2/10)*100</f>
        <v>6.705881857841697</v>
      </c>
      <c r="AC230" s="969">
        <f>(T230-(H230*AB$3/10))/(H230*AB$3/10)*100</f>
        <v>10.357413936627163</v>
      </c>
      <c r="AD230" s="887">
        <f>S230/H230*10</f>
        <v>8.7071999595998832</v>
      </c>
    </row>
    <row r="231" spans="1:30" ht="24.75" customHeight="1" thickBot="1" x14ac:dyDescent="0.2">
      <c r="A231" s="100"/>
      <c r="B231" s="100"/>
      <c r="C231" s="100"/>
      <c r="D231" s="100"/>
      <c r="E231" s="100"/>
      <c r="F231" s="342">
        <f>'BESCOM D-22(Current Tariff)'!I223</f>
        <v>13566099</v>
      </c>
      <c r="G231" s="342">
        <f>'BESCOM D-22(Current Tariff)'!J223</f>
        <v>41993045.731631607</v>
      </c>
      <c r="H231" s="861">
        <f>'BESCOM D-22(Current Tariff)'!K223</f>
        <v>29396.61</v>
      </c>
      <c r="I231" s="100"/>
      <c r="J231" s="100"/>
      <c r="K231" s="100"/>
      <c r="L231" s="100"/>
      <c r="M231" s="100"/>
      <c r="N231" s="100"/>
      <c r="O231" s="761"/>
      <c r="P231" s="1066" t="s">
        <v>392</v>
      </c>
      <c r="Q231" s="1067">
        <f>'BESCOM D-22(Current Tariff)'!P225</f>
        <v>5980.02136370885</v>
      </c>
      <c r="R231" s="1068">
        <f>T230-Q231</f>
        <v>19616.194776728502</v>
      </c>
      <c r="S231" s="1068">
        <f>R231+Q231</f>
        <v>25596.216140437351</v>
      </c>
      <c r="T231" s="463">
        <f>S230-T230</f>
        <v>0</v>
      </c>
      <c r="U231" s="509"/>
      <c r="V231" s="509"/>
      <c r="W231" s="509"/>
      <c r="X231" s="509"/>
      <c r="Y231" s="343"/>
      <c r="Z231" s="343"/>
      <c r="AA231" s="343"/>
      <c r="AB231" s="85"/>
      <c r="AC231" s="85"/>
    </row>
    <row r="232" spans="1:30" ht="34.5" customHeight="1" thickBot="1" x14ac:dyDescent="0.2">
      <c r="A232" s="100"/>
      <c r="B232" s="100"/>
      <c r="C232" s="100"/>
      <c r="D232" s="100"/>
      <c r="E232" s="100"/>
      <c r="F232" s="342">
        <f>F228-F231</f>
        <v>0</v>
      </c>
      <c r="G232" s="342">
        <f>G228-G231</f>
        <v>0</v>
      </c>
      <c r="H232" s="861">
        <f>H228-H231</f>
        <v>0</v>
      </c>
      <c r="I232" s="100"/>
      <c r="J232" s="100"/>
      <c r="K232" s="100"/>
      <c r="L232" s="100"/>
      <c r="M232" s="100"/>
      <c r="N232" s="100"/>
      <c r="O232" s="761"/>
      <c r="P232" s="1069" t="s">
        <v>393</v>
      </c>
      <c r="Q232" s="1070">
        <f>Q230-Q231</f>
        <v>0</v>
      </c>
      <c r="R232" s="1050">
        <f>R230-R231</f>
        <v>0</v>
      </c>
      <c r="S232" s="1050">
        <f>S230-S231</f>
        <v>0</v>
      </c>
      <c r="T232" s="509" t="s">
        <v>391</v>
      </c>
      <c r="U232" s="554">
        <f>S232/S231</f>
        <v>0</v>
      </c>
      <c r="V232" s="555"/>
      <c r="W232" s="509">
        <f>X232-U230</f>
        <v>1198.0203999999999</v>
      </c>
      <c r="X232" s="509">
        <f>29950.51*0.4/10</f>
        <v>1198.0203999999999</v>
      </c>
      <c r="Y232" s="343">
        <f>T231</f>
        <v>0</v>
      </c>
      <c r="Z232" s="343">
        <f>Y232-X232</f>
        <v>-1198.0203999999999</v>
      </c>
      <c r="AA232" s="343"/>
      <c r="AB232" s="85"/>
      <c r="AC232" s="85"/>
    </row>
    <row r="233" spans="1:30" ht="29.25" customHeight="1" thickBot="1" x14ac:dyDescent="0.25">
      <c r="A233" s="100"/>
      <c r="B233" s="100"/>
      <c r="C233" s="100"/>
      <c r="D233" s="100"/>
      <c r="E233" s="100"/>
      <c r="F233" s="100"/>
      <c r="G233" s="100"/>
      <c r="H233" s="862">
        <f>H228-H73</f>
        <v>22248.99</v>
      </c>
      <c r="I233" s="100"/>
      <c r="J233" s="100"/>
      <c r="K233" s="100"/>
      <c r="L233" s="100"/>
      <c r="M233" s="100"/>
      <c r="N233" s="100"/>
      <c r="O233" s="761"/>
      <c r="P233" s="1057"/>
      <c r="Q233" s="1071"/>
      <c r="R233" s="1072">
        <f>Q232+R232</f>
        <v>0</v>
      </c>
      <c r="S233" s="1072"/>
      <c r="T233" s="1577"/>
      <c r="U233" s="1577"/>
      <c r="V233" s="1577"/>
      <c r="W233" s="1577"/>
      <c r="X233" s="1577"/>
      <c r="Y233" s="556"/>
      <c r="Z233" s="556"/>
      <c r="AA233" s="556"/>
      <c r="AB233" s="557"/>
      <c r="AC233" s="85"/>
    </row>
    <row r="234" spans="1:30" ht="41.25" customHeight="1" thickBot="1" x14ac:dyDescent="0.25">
      <c r="A234" s="100"/>
      <c r="B234" s="100"/>
      <c r="C234" s="100"/>
      <c r="D234" s="100"/>
      <c r="E234" s="100"/>
      <c r="F234" s="100"/>
      <c r="G234" s="100"/>
      <c r="H234" s="862">
        <f>H233-H7</f>
        <v>22073.460000000003</v>
      </c>
      <c r="I234" s="100"/>
      <c r="J234" s="100"/>
      <c r="K234" s="100"/>
      <c r="L234" s="100"/>
      <c r="M234" s="100"/>
      <c r="N234" s="100" t="s">
        <v>421</v>
      </c>
      <c r="O234" s="761">
        <v>26162.71</v>
      </c>
      <c r="P234" s="1073"/>
      <c r="Q234" s="1005">
        <f>Q233-Q232</f>
        <v>0</v>
      </c>
      <c r="R234" s="1074"/>
      <c r="S234" s="1075"/>
      <c r="T234" s="559" t="s">
        <v>352</v>
      </c>
      <c r="U234" s="560" t="s">
        <v>353</v>
      </c>
      <c r="V234" s="558"/>
      <c r="W234" s="85"/>
      <c r="X234" s="85"/>
      <c r="Y234" s="509" t="s">
        <v>354</v>
      </c>
      <c r="Z234" s="344"/>
      <c r="AA234" s="345"/>
      <c r="AB234" s="561"/>
      <c r="AC234" s="85"/>
    </row>
    <row r="235" spans="1:30" ht="40.5" customHeight="1" thickBot="1" x14ac:dyDescent="0.25">
      <c r="A235" s="100"/>
      <c r="B235" s="100"/>
      <c r="C235" s="100"/>
      <c r="D235" s="100"/>
      <c r="E235" s="100"/>
      <c r="F235" s="100"/>
      <c r="G235" s="100"/>
      <c r="H235" s="863"/>
      <c r="I235" s="100"/>
      <c r="J235" s="100"/>
      <c r="K235" s="100"/>
      <c r="L235" s="100"/>
      <c r="M235" s="100"/>
      <c r="N235" s="117" t="s">
        <v>423</v>
      </c>
      <c r="O235" s="762">
        <f>S230</f>
        <v>25596.216140437351</v>
      </c>
      <c r="P235" s="1076"/>
      <c r="Q235" s="1575" t="s">
        <v>355</v>
      </c>
      <c r="R235" s="1576"/>
      <c r="S235" s="1006" t="s">
        <v>356</v>
      </c>
      <c r="T235" s="563" t="s">
        <v>357</v>
      </c>
      <c r="U235" s="562" t="s">
        <v>357</v>
      </c>
      <c r="V235" s="564" t="s">
        <v>410</v>
      </c>
      <c r="W235" s="344"/>
      <c r="X235" s="85"/>
      <c r="Y235" s="85"/>
      <c r="Z235" s="85"/>
      <c r="AA235" s="345"/>
      <c r="AB235" s="561"/>
      <c r="AC235" s="85"/>
    </row>
    <row r="236" spans="1:30" ht="23.25" customHeight="1" x14ac:dyDescent="0.2">
      <c r="A236" s="100"/>
      <c r="B236" s="100"/>
      <c r="C236" s="100"/>
      <c r="D236" s="100"/>
      <c r="E236" s="100"/>
      <c r="F236" s="342"/>
      <c r="G236" s="100"/>
      <c r="H236" s="863"/>
      <c r="I236" s="100"/>
      <c r="J236" s="100"/>
      <c r="K236" s="100"/>
      <c r="L236" s="100"/>
      <c r="M236" s="100"/>
      <c r="N236" s="100" t="s">
        <v>422</v>
      </c>
      <c r="O236" s="761">
        <v>1616.81</v>
      </c>
      <c r="P236" s="1073"/>
      <c r="Q236" s="1578" t="s">
        <v>379</v>
      </c>
      <c r="R236" s="1579"/>
      <c r="S236" s="1077">
        <f>H7</f>
        <v>175.53</v>
      </c>
      <c r="T236" s="1082">
        <f>T7</f>
        <v>152.71109999999999</v>
      </c>
      <c r="U236" s="1083">
        <f>S7</f>
        <v>152.71109999999999</v>
      </c>
      <c r="V236" s="1084">
        <f>U236-T236</f>
        <v>0</v>
      </c>
      <c r="W236" s="556"/>
      <c r="X236" s="85"/>
      <c r="Y236" s="85"/>
      <c r="Z236" s="85"/>
      <c r="AA236" s="345"/>
      <c r="AB236" s="561"/>
      <c r="AC236" s="85"/>
    </row>
    <row r="237" spans="1:30" ht="24" customHeight="1" x14ac:dyDescent="0.2">
      <c r="A237" s="100"/>
      <c r="B237" s="100"/>
      <c r="C237" s="100"/>
      <c r="D237" s="100"/>
      <c r="E237" s="100"/>
      <c r="F237" s="342"/>
      <c r="G237" s="100"/>
      <c r="H237" s="863"/>
      <c r="I237" s="100"/>
      <c r="J237" s="100"/>
      <c r="K237" s="100"/>
      <c r="L237" s="100"/>
      <c r="M237" s="100"/>
      <c r="N237" s="100" t="s">
        <v>457</v>
      </c>
      <c r="O237" s="761">
        <v>587.92999999999995</v>
      </c>
      <c r="P237" s="1073"/>
      <c r="Q237" s="1580" t="s">
        <v>378</v>
      </c>
      <c r="R237" s="1581"/>
      <c r="S237" s="1077">
        <f>H70</f>
        <v>7147.62</v>
      </c>
      <c r="T237" s="1082">
        <f>'BESCOM D-22(Current Tariff)'!R70</f>
        <v>3252.1670999999997</v>
      </c>
      <c r="U237" s="1083">
        <f>S71</f>
        <v>3252.1670999999997</v>
      </c>
      <c r="V237" s="1084">
        <f>U237-T237</f>
        <v>0</v>
      </c>
      <c r="W237" s="556"/>
      <c r="X237" s="85"/>
      <c r="Y237" s="85"/>
      <c r="Z237" s="85"/>
      <c r="AA237" s="345"/>
      <c r="AB237" s="561"/>
      <c r="AC237" s="85"/>
    </row>
    <row r="238" spans="1:30" ht="21.75" customHeight="1" x14ac:dyDescent="0.2">
      <c r="A238" s="100"/>
      <c r="B238" s="100"/>
      <c r="C238" s="100"/>
      <c r="D238" s="100"/>
      <c r="E238" s="100"/>
      <c r="F238" s="342"/>
      <c r="G238" s="100"/>
      <c r="H238" s="863"/>
      <c r="I238" s="100"/>
      <c r="J238" s="100"/>
      <c r="K238" s="100"/>
      <c r="L238" s="100"/>
      <c r="M238" s="100"/>
      <c r="O238" s="100">
        <f>O236-O237</f>
        <v>1028.8800000000001</v>
      </c>
      <c r="P238" s="1073">
        <f>U230</f>
        <v>0</v>
      </c>
      <c r="Q238" s="1580" t="s">
        <v>358</v>
      </c>
      <c r="R238" s="1581"/>
      <c r="S238" s="1078">
        <f>S240-S237-S236</f>
        <v>22073.460000000003</v>
      </c>
      <c r="T238" s="1085">
        <f>T240-T236-T237-T239</f>
        <v>21599.357940437352</v>
      </c>
      <c r="U238" s="1083">
        <f>U240-U239-U237-U236</f>
        <v>21599.357940437352</v>
      </c>
      <c r="V238" s="1086">
        <f>U238-T238</f>
        <v>0</v>
      </c>
      <c r="W238" s="556"/>
      <c r="X238" s="85"/>
      <c r="Y238" s="85"/>
      <c r="Z238" s="85"/>
      <c r="AA238" s="565"/>
      <c r="AB238" s="566"/>
      <c r="AC238" s="85"/>
    </row>
    <row r="239" spans="1:30" ht="21" customHeight="1" thickBot="1" x14ac:dyDescent="0.25">
      <c r="A239" s="100"/>
      <c r="B239" s="100"/>
      <c r="C239" s="100"/>
      <c r="D239" s="100"/>
      <c r="E239" s="100"/>
      <c r="F239" s="342"/>
      <c r="G239" s="100"/>
      <c r="H239" s="863"/>
      <c r="I239" s="100"/>
      <c r="J239" s="100"/>
      <c r="K239" s="100"/>
      <c r="L239" s="100"/>
      <c r="M239" s="100"/>
      <c r="N239" s="100"/>
      <c r="O239" s="761"/>
      <c r="P239" s="1073">
        <f>O238-P238</f>
        <v>1028.8800000000001</v>
      </c>
      <c r="Q239" s="1582" t="s">
        <v>359</v>
      </c>
      <c r="R239" s="1583"/>
      <c r="S239" s="1076"/>
      <c r="T239" s="1087">
        <f>'BESCOM D-22(Current Tariff)'!Q224</f>
        <v>591.98</v>
      </c>
      <c r="U239" s="1088">
        <f>S229</f>
        <v>591.98</v>
      </c>
      <c r="V239" s="1089">
        <f>U239-T239</f>
        <v>0</v>
      </c>
      <c r="W239" s="555"/>
      <c r="X239" s="85"/>
      <c r="Y239" s="85"/>
      <c r="Z239" s="85"/>
      <c r="AA239" s="177"/>
      <c r="AB239" s="177"/>
      <c r="AC239" s="85"/>
    </row>
    <row r="240" spans="1:30" ht="21.75" customHeight="1" thickBot="1" x14ac:dyDescent="0.25">
      <c r="A240" s="100"/>
      <c r="B240" s="100"/>
      <c r="C240" s="100"/>
      <c r="D240" s="100"/>
      <c r="E240" s="100"/>
      <c r="F240" s="342"/>
      <c r="G240" s="100"/>
      <c r="H240" s="863"/>
      <c r="I240" s="100"/>
      <c r="J240" s="100"/>
      <c r="K240" s="100"/>
      <c r="L240" s="100"/>
      <c r="M240" s="100"/>
      <c r="N240" s="100"/>
      <c r="O240" s="761"/>
      <c r="P240" s="1079"/>
      <c r="Q240" s="1575" t="s">
        <v>49</v>
      </c>
      <c r="R240" s="1576"/>
      <c r="S240" s="1007">
        <f>H230</f>
        <v>29396.61</v>
      </c>
      <c r="T240" s="562">
        <f>'BESCOM D-22(Current Tariff)'!R225</f>
        <v>25596.216140437351</v>
      </c>
      <c r="U240" s="567">
        <f>S230</f>
        <v>25596.216140437351</v>
      </c>
      <c r="V240" s="568">
        <f>U240-T240</f>
        <v>0</v>
      </c>
      <c r="W240" s="584">
        <f>V240/T240</f>
        <v>0</v>
      </c>
      <c r="X240" s="85"/>
      <c r="Y240" s="85"/>
      <c r="Z240" s="85"/>
      <c r="AA240" s="343"/>
      <c r="AB240" s="85"/>
      <c r="AC240" s="85"/>
    </row>
    <row r="241" spans="6:27" ht="21" customHeight="1" x14ac:dyDescent="0.15">
      <c r="F241" s="2"/>
      <c r="P241" s="1079"/>
      <c r="Q241" s="1080"/>
      <c r="R241" s="1081"/>
      <c r="S241" s="1081">
        <v>0.01</v>
      </c>
      <c r="T241" s="1090">
        <v>23117.56</v>
      </c>
      <c r="U241" s="203"/>
      <c r="V241" s="203"/>
      <c r="W241" s="203"/>
      <c r="X241" s="120"/>
      <c r="Y241" s="120"/>
      <c r="AA241" s="3"/>
    </row>
    <row r="242" spans="6:27" ht="27" customHeight="1" x14ac:dyDescent="0.15">
      <c r="F242" s="2"/>
      <c r="T242" s="569">
        <f>T240-T241</f>
        <v>2478.6561404373497</v>
      </c>
      <c r="V242" s="83">
        <f>V240-V241</f>
        <v>0</v>
      </c>
      <c r="X242" s="83"/>
      <c r="AA242" s="3"/>
    </row>
    <row r="243" spans="6:27" x14ac:dyDescent="0.15">
      <c r="F243" s="2"/>
      <c r="AA243" s="3"/>
    </row>
    <row r="244" spans="6:27" x14ac:dyDescent="0.15">
      <c r="F244" s="2"/>
      <c r="AA244" s="3"/>
    </row>
    <row r="245" spans="6:27" x14ac:dyDescent="0.15">
      <c r="F245" s="2"/>
      <c r="AA245" s="3"/>
    </row>
    <row r="246" spans="6:27" x14ac:dyDescent="0.15">
      <c r="AA246" s="3"/>
    </row>
    <row r="247" spans="6:27" x14ac:dyDescent="0.15">
      <c r="AA247" s="3"/>
    </row>
    <row r="248" spans="6:27" x14ac:dyDescent="0.15">
      <c r="AA248" s="3"/>
    </row>
    <row r="249" spans="6:27" x14ac:dyDescent="0.15">
      <c r="AA249" s="3"/>
    </row>
    <row r="250" spans="6:27" x14ac:dyDescent="0.15">
      <c r="AA250" s="3"/>
    </row>
    <row r="251" spans="6:27" x14ac:dyDescent="0.15">
      <c r="AA251" s="3"/>
    </row>
    <row r="252" spans="6:27" x14ac:dyDescent="0.15">
      <c r="AA252" s="3"/>
    </row>
    <row r="253" spans="6:27" x14ac:dyDescent="0.15">
      <c r="AA253" s="3"/>
    </row>
    <row r="254" spans="6:27" x14ac:dyDescent="0.15">
      <c r="AA254" s="3"/>
    </row>
    <row r="255" spans="6:27" x14ac:dyDescent="0.15">
      <c r="AA255" s="3"/>
    </row>
    <row r="256" spans="6:27" x14ac:dyDescent="0.15">
      <c r="AA256" s="3"/>
    </row>
    <row r="257" spans="27:27" x14ac:dyDescent="0.15">
      <c r="AA257" s="3"/>
    </row>
    <row r="258" spans="27:27" x14ac:dyDescent="0.15">
      <c r="AA258" s="3"/>
    </row>
    <row r="259" spans="27:27" x14ac:dyDescent="0.15">
      <c r="AA259" s="3"/>
    </row>
    <row r="260" spans="27:27" x14ac:dyDescent="0.15">
      <c r="AA260" s="3"/>
    </row>
    <row r="261" spans="27:27" x14ac:dyDescent="0.15">
      <c r="AA261" s="3"/>
    </row>
    <row r="262" spans="27:27" x14ac:dyDescent="0.15">
      <c r="AA262" s="3"/>
    </row>
    <row r="263" spans="27:27" x14ac:dyDescent="0.15">
      <c r="AA263" s="3"/>
    </row>
    <row r="264" spans="27:27" x14ac:dyDescent="0.15">
      <c r="AA264" s="3"/>
    </row>
    <row r="265" spans="27:27" x14ac:dyDescent="0.15">
      <c r="AA265" s="3"/>
    </row>
    <row r="266" spans="27:27" x14ac:dyDescent="0.15">
      <c r="AA266" s="3"/>
    </row>
  </sheetData>
  <mergeCells count="34">
    <mergeCell ref="Q240:R240"/>
    <mergeCell ref="T233:X233"/>
    <mergeCell ref="Q235:R235"/>
    <mergeCell ref="Q236:R236"/>
    <mergeCell ref="Q237:R237"/>
    <mergeCell ref="Q238:R238"/>
    <mergeCell ref="Q239:R239"/>
    <mergeCell ref="C150:C151"/>
    <mergeCell ref="C156:C157"/>
    <mergeCell ref="C178:C181"/>
    <mergeCell ref="C184:C187"/>
    <mergeCell ref="A230:C230"/>
    <mergeCell ref="AA5:AA6"/>
    <mergeCell ref="AB5:AB6"/>
    <mergeCell ref="AC5:AC6"/>
    <mergeCell ref="AD5:AD6"/>
    <mergeCell ref="C12:C14"/>
    <mergeCell ref="L5:L6"/>
    <mergeCell ref="J5:J6"/>
    <mergeCell ref="K5:K6"/>
    <mergeCell ref="H5:H6"/>
    <mergeCell ref="M5:M6"/>
    <mergeCell ref="C135:C138"/>
    <mergeCell ref="Y1:Z1"/>
    <mergeCell ref="Y2:Z2"/>
    <mergeCell ref="G3:J3"/>
    <mergeCell ref="Y3:Z3"/>
    <mergeCell ref="U5:U6"/>
    <mergeCell ref="V5:V6"/>
    <mergeCell ref="W5:W6"/>
    <mergeCell ref="X5:X6"/>
    <mergeCell ref="Y5:Y6"/>
    <mergeCell ref="Z5:Z6"/>
    <mergeCell ref="C35:C36"/>
  </mergeCells>
  <pageMargins left="0.39370078740157483" right="0.19685039370078741" top="0.51181102362204722" bottom="0" header="0" footer="0"/>
  <pageSetup paperSize="9" scale="29" fitToHeight="0" orientation="landscape" r:id="rId1"/>
  <headerFooter alignWithMargins="0"/>
  <rowBreaks count="2" manualBreakCount="2">
    <brk id="88" max="27" man="1"/>
    <brk id="192" max="2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showOutlineSymbols="0" view="pageBreakPreview" zoomScale="90" zoomScaleNormal="100" zoomScaleSheetLayoutView="90" workbookViewId="0">
      <selection activeCell="K34" sqref="K34"/>
    </sheetView>
  </sheetViews>
  <sheetFormatPr defaultColWidth="12.40625" defaultRowHeight="14.25" x14ac:dyDescent="0.15"/>
  <cols>
    <col min="1" max="1" width="5.93359375" style="1" customWidth="1"/>
    <col min="2" max="14" width="19.01171875" style="1" customWidth="1"/>
    <col min="15" max="16384" width="12.40625" style="1"/>
  </cols>
  <sheetData>
    <row r="1" spans="1:14" x14ac:dyDescent="0.15">
      <c r="A1" s="4"/>
      <c r="B1" s="5"/>
      <c r="C1" s="5"/>
      <c r="D1" s="5"/>
      <c r="E1" s="5"/>
      <c r="F1" s="5"/>
      <c r="G1" s="5"/>
      <c r="H1" s="5"/>
      <c r="I1" s="5"/>
      <c r="J1" s="5"/>
      <c r="K1" s="5"/>
      <c r="L1" s="5"/>
      <c r="M1" s="5"/>
      <c r="N1" s="6"/>
    </row>
    <row r="2" spans="1:14" ht="14.1" customHeight="1" x14ac:dyDescent="0.15">
      <c r="A2" s="7"/>
      <c r="B2" s="8"/>
      <c r="C2" s="9" t="str">
        <f>'BESCOM D-22(Current Tariff)'!C2</f>
        <v>NAME OF THE ELECTRICITY SUPPLY COMPANY :-</v>
      </c>
      <c r="D2" s="10"/>
      <c r="E2" s="11"/>
      <c r="F2" s="12" t="str">
        <f>IF(+'BESCOM D-22(Current Tariff)'!E2="","",+'BESCOM D-22(Current Tariff)'!E2)</f>
        <v>BESCOM</v>
      </c>
      <c r="G2" s="11"/>
      <c r="H2" s="11"/>
      <c r="I2" s="11"/>
      <c r="J2" s="11"/>
      <c r="K2" s="11"/>
      <c r="L2" s="11"/>
      <c r="M2" s="13"/>
      <c r="N2" s="14"/>
    </row>
    <row r="3" spans="1:14" ht="14.1" customHeight="1" thickBot="1" x14ac:dyDescent="0.2">
      <c r="A3" s="15"/>
      <c r="B3" s="16"/>
      <c r="C3" s="16"/>
      <c r="D3" s="16"/>
      <c r="E3" s="16"/>
      <c r="F3" s="17"/>
      <c r="G3" s="17"/>
      <c r="H3" s="17"/>
      <c r="I3" s="17"/>
      <c r="J3" s="17"/>
      <c r="K3" s="17"/>
      <c r="L3" s="17"/>
      <c r="M3" s="17"/>
      <c r="N3" s="18"/>
    </row>
    <row r="4" spans="1:14" ht="14.1" customHeight="1" x14ac:dyDescent="0.15">
      <c r="A4" s="19"/>
      <c r="B4" s="20"/>
      <c r="C4" s="21"/>
      <c r="D4" s="22"/>
      <c r="E4" s="23"/>
      <c r="F4" s="24"/>
      <c r="G4" s="25"/>
      <c r="H4" s="26"/>
      <c r="I4" s="24"/>
      <c r="J4" s="25"/>
      <c r="K4" s="26"/>
      <c r="L4" s="24"/>
      <c r="M4" s="25"/>
      <c r="N4" s="26"/>
    </row>
    <row r="5" spans="1:14" ht="14.1" customHeight="1" x14ac:dyDescent="0.2">
      <c r="A5" s="27"/>
      <c r="B5" s="28"/>
      <c r="C5" s="29" t="s">
        <v>153</v>
      </c>
      <c r="D5" s="30"/>
      <c r="E5" s="31"/>
      <c r="F5" s="32" t="s">
        <v>154</v>
      </c>
      <c r="G5" s="33"/>
      <c r="H5" s="34"/>
      <c r="I5" s="32" t="s">
        <v>155</v>
      </c>
      <c r="J5" s="33"/>
      <c r="K5" s="34"/>
      <c r="L5" s="32" t="s">
        <v>156</v>
      </c>
      <c r="M5" s="33"/>
      <c r="N5" s="34"/>
    </row>
    <row r="6" spans="1:14" ht="14.1" customHeight="1" thickBot="1" x14ac:dyDescent="0.2">
      <c r="A6" s="27"/>
      <c r="B6" s="30"/>
      <c r="C6" s="27"/>
      <c r="D6" s="30"/>
      <c r="E6" s="31"/>
      <c r="F6" s="35"/>
      <c r="G6" s="33"/>
      <c r="H6" s="34"/>
      <c r="I6" s="35"/>
      <c r="J6" s="33"/>
      <c r="K6" s="34"/>
      <c r="L6" s="35"/>
      <c r="M6" s="33"/>
      <c r="N6" s="34"/>
    </row>
    <row r="7" spans="1:14" ht="14.1" customHeight="1" x14ac:dyDescent="0.15">
      <c r="A7" s="36" t="s">
        <v>20</v>
      </c>
      <c r="B7" s="37" t="s">
        <v>21</v>
      </c>
      <c r="C7" s="38" t="s">
        <v>29</v>
      </c>
      <c r="D7" s="39" t="s">
        <v>4</v>
      </c>
      <c r="E7" s="40" t="s">
        <v>30</v>
      </c>
      <c r="F7" s="38" t="s">
        <v>29</v>
      </c>
      <c r="G7" s="39" t="s">
        <v>4</v>
      </c>
      <c r="H7" s="40" t="s">
        <v>30</v>
      </c>
      <c r="I7" s="38" t="s">
        <v>29</v>
      </c>
      <c r="J7" s="39" t="s">
        <v>4</v>
      </c>
      <c r="K7" s="40" t="s">
        <v>30</v>
      </c>
      <c r="L7" s="38" t="s">
        <v>29</v>
      </c>
      <c r="M7" s="39" t="s">
        <v>4</v>
      </c>
      <c r="N7" s="40" t="s">
        <v>30</v>
      </c>
    </row>
    <row r="8" spans="1:14" ht="14.1" customHeight="1" x14ac:dyDescent="0.15">
      <c r="A8" s="41"/>
      <c r="B8" s="42" t="s">
        <v>31</v>
      </c>
      <c r="C8" s="43" t="s">
        <v>37</v>
      </c>
      <c r="D8" s="44" t="s">
        <v>37</v>
      </c>
      <c r="E8" s="45" t="s">
        <v>37</v>
      </c>
      <c r="F8" s="43" t="s">
        <v>37</v>
      </c>
      <c r="G8" s="44" t="s">
        <v>37</v>
      </c>
      <c r="H8" s="45" t="s">
        <v>37</v>
      </c>
      <c r="I8" s="43" t="s">
        <v>37</v>
      </c>
      <c r="J8" s="44" t="s">
        <v>37</v>
      </c>
      <c r="K8" s="45" t="s">
        <v>37</v>
      </c>
      <c r="L8" s="43"/>
      <c r="M8" s="44"/>
      <c r="N8" s="45"/>
    </row>
    <row r="9" spans="1:14" ht="14.1" customHeight="1" x14ac:dyDescent="0.15">
      <c r="A9" s="46">
        <v>1</v>
      </c>
      <c r="B9" s="47" t="s">
        <v>38</v>
      </c>
      <c r="C9" s="48">
        <f>'BESCOM D-22(Current Tariff)'!P8</f>
        <v>0</v>
      </c>
      <c r="D9" s="49">
        <f>'BESCOM D-22(Current Tariff)'!Q8</f>
        <v>152.71109999999999</v>
      </c>
      <c r="E9" s="50">
        <f>'BESCOM D-22(Current Tariff)'!R8</f>
        <v>152.71109999999999</v>
      </c>
      <c r="F9" s="48" t="e">
        <f>#REF!</f>
        <v>#REF!</v>
      </c>
      <c r="G9" s="49" t="e">
        <f>#REF!</f>
        <v>#REF!</v>
      </c>
      <c r="H9" s="50" t="e">
        <f>#REF!</f>
        <v>#REF!</v>
      </c>
      <c r="I9" s="48" t="e">
        <f t="shared" ref="I9:I38" si="0">F9-C9</f>
        <v>#REF!</v>
      </c>
      <c r="J9" s="49" t="e">
        <f t="shared" ref="J9:J38" si="1">G9-D9</f>
        <v>#REF!</v>
      </c>
      <c r="K9" s="50" t="e">
        <f t="shared" ref="K9:K38" si="2">H9-E9</f>
        <v>#REF!</v>
      </c>
      <c r="L9" s="48" t="e">
        <f t="shared" ref="L9:L38" si="3">IF(ISERR(+I9*100/C9)=1,"",I9*100/C9)</f>
        <v>#REF!</v>
      </c>
      <c r="M9" s="49" t="e">
        <f t="shared" ref="M9:M38" si="4">IF(ISERR(+J9*100/D9)=1,"",J9*100/D9)</f>
        <v>#REF!</v>
      </c>
      <c r="N9" s="50" t="e">
        <f t="shared" ref="N9:N38" si="5">IF(ISERR(+K9*100/E9)=1,"",K9*100/E9)</f>
        <v>#REF!</v>
      </c>
    </row>
    <row r="10" spans="1:14" ht="14.1" customHeight="1" x14ac:dyDescent="0.15">
      <c r="A10" s="51"/>
      <c r="B10" s="52" t="s">
        <v>157</v>
      </c>
      <c r="C10" s="53">
        <f>'BESCOM D-22(Current Tariff)'!P10</f>
        <v>7.4170319999999998</v>
      </c>
      <c r="D10" s="54">
        <f>'BESCOM D-22(Current Tariff)'!Q10</f>
        <v>190.97034779999998</v>
      </c>
      <c r="E10" s="55">
        <f>'BESCOM D-22(Current Tariff)'!R10</f>
        <v>198.38737979999999</v>
      </c>
      <c r="F10" s="53" t="e">
        <f>#REF!</f>
        <v>#REF!</v>
      </c>
      <c r="G10" s="54" t="e">
        <f>#REF!</f>
        <v>#REF!</v>
      </c>
      <c r="H10" s="55" t="e">
        <f>#REF!</f>
        <v>#REF!</v>
      </c>
      <c r="I10" s="53" t="e">
        <f t="shared" si="0"/>
        <v>#REF!</v>
      </c>
      <c r="J10" s="54" t="e">
        <f t="shared" si="1"/>
        <v>#REF!</v>
      </c>
      <c r="K10" s="55" t="e">
        <f t="shared" si="2"/>
        <v>#REF!</v>
      </c>
      <c r="L10" s="53" t="e">
        <f t="shared" si="3"/>
        <v>#REF!</v>
      </c>
      <c r="M10" s="54" t="e">
        <f t="shared" si="4"/>
        <v>#REF!</v>
      </c>
      <c r="N10" s="55" t="e">
        <f t="shared" si="5"/>
        <v>#REF!</v>
      </c>
    </row>
    <row r="11" spans="1:14" ht="14.1" customHeight="1" x14ac:dyDescent="0.15">
      <c r="A11" s="56">
        <v>2</v>
      </c>
      <c r="B11" s="57" t="s">
        <v>41</v>
      </c>
      <c r="C11" s="48">
        <f>'BESCOM D-22(Current Tariff)'!P19</f>
        <v>1900.4442968465999</v>
      </c>
      <c r="D11" s="49">
        <f>'BESCOM D-22(Current Tariff)'!Q19</f>
        <v>4434.4716157499997</v>
      </c>
      <c r="E11" s="50">
        <f>'BESCOM D-22(Current Tariff)'!R19</f>
        <v>6334.9159125965998</v>
      </c>
      <c r="F11" s="48" t="e">
        <f>#REF!</f>
        <v>#REF!</v>
      </c>
      <c r="G11" s="49" t="e">
        <f>#REF!</f>
        <v>#REF!</v>
      </c>
      <c r="H11" s="50" t="e">
        <f>#REF!</f>
        <v>#REF!</v>
      </c>
      <c r="I11" s="48" t="e">
        <f t="shared" si="0"/>
        <v>#REF!</v>
      </c>
      <c r="J11" s="49" t="e">
        <f t="shared" si="1"/>
        <v>#REF!</v>
      </c>
      <c r="K11" s="50" t="e">
        <f t="shared" si="2"/>
        <v>#REF!</v>
      </c>
      <c r="L11" s="48" t="e">
        <f t="shared" si="3"/>
        <v>#REF!</v>
      </c>
      <c r="M11" s="49" t="e">
        <f t="shared" si="4"/>
        <v>#REF!</v>
      </c>
      <c r="N11" s="50" t="e">
        <f t="shared" si="5"/>
        <v>#REF!</v>
      </c>
    </row>
    <row r="12" spans="1:14" ht="14.1" customHeight="1" x14ac:dyDescent="0.15">
      <c r="A12" s="56">
        <v>3</v>
      </c>
      <c r="B12" s="57" t="s">
        <v>50</v>
      </c>
      <c r="C12" s="48" t="e">
        <f>'BESCOM D-22(Current Tariff)'!#REF!</f>
        <v>#REF!</v>
      </c>
      <c r="D12" s="49" t="e">
        <f>'BESCOM D-22(Current Tariff)'!#REF!</f>
        <v>#REF!</v>
      </c>
      <c r="E12" s="50" t="e">
        <f>'BESCOM D-22(Current Tariff)'!#REF!</f>
        <v>#REF!</v>
      </c>
      <c r="F12" s="48" t="e">
        <f>#REF!</f>
        <v>#REF!</v>
      </c>
      <c r="G12" s="49" t="e">
        <f>#REF!</f>
        <v>#REF!</v>
      </c>
      <c r="H12" s="50" t="e">
        <f>#REF!</f>
        <v>#REF!</v>
      </c>
      <c r="I12" s="48" t="e">
        <f t="shared" si="0"/>
        <v>#REF!</v>
      </c>
      <c r="J12" s="49" t="e">
        <f t="shared" si="1"/>
        <v>#REF!</v>
      </c>
      <c r="K12" s="50" t="e">
        <f t="shared" si="2"/>
        <v>#REF!</v>
      </c>
      <c r="L12" s="48" t="e">
        <f t="shared" si="3"/>
        <v>#REF!</v>
      </c>
      <c r="M12" s="49" t="e">
        <f t="shared" si="4"/>
        <v>#REF!</v>
      </c>
      <c r="N12" s="50" t="e">
        <f t="shared" si="5"/>
        <v>#REF!</v>
      </c>
    </row>
    <row r="13" spans="1:14" ht="14.1" customHeight="1" x14ac:dyDescent="0.15">
      <c r="A13" s="46">
        <v>4</v>
      </c>
      <c r="B13" s="57" t="s">
        <v>52</v>
      </c>
      <c r="C13" s="48">
        <f>'BESCOM D-22(Current Tariff)'!P30</f>
        <v>300.74509571999999</v>
      </c>
      <c r="D13" s="49">
        <f>'BESCOM D-22(Current Tariff)'!Q30</f>
        <v>435.23551167850007</v>
      </c>
      <c r="E13" s="50">
        <f>'BESCOM D-22(Current Tariff)'!R30</f>
        <v>735.98060739850007</v>
      </c>
      <c r="F13" s="48" t="e">
        <f>#REF!</f>
        <v>#REF!</v>
      </c>
      <c r="G13" s="49" t="e">
        <f>#REF!</f>
        <v>#REF!</v>
      </c>
      <c r="H13" s="50" t="e">
        <f>#REF!</f>
        <v>#REF!</v>
      </c>
      <c r="I13" s="48" t="e">
        <f t="shared" si="0"/>
        <v>#REF!</v>
      </c>
      <c r="J13" s="49" t="e">
        <f t="shared" si="1"/>
        <v>#REF!</v>
      </c>
      <c r="K13" s="50" t="e">
        <f t="shared" si="2"/>
        <v>#REF!</v>
      </c>
      <c r="L13" s="48" t="e">
        <f t="shared" si="3"/>
        <v>#REF!</v>
      </c>
      <c r="M13" s="49" t="e">
        <f t="shared" si="4"/>
        <v>#REF!</v>
      </c>
      <c r="N13" s="50" t="e">
        <f t="shared" si="5"/>
        <v>#REF!</v>
      </c>
    </row>
    <row r="14" spans="1:14" ht="14.1" customHeight="1" x14ac:dyDescent="0.15">
      <c r="A14" s="58"/>
      <c r="B14" s="59" t="s">
        <v>158</v>
      </c>
      <c r="C14" s="60">
        <f>'BESCOM D-22(Current Tariff)'!P32</f>
        <v>2201.1893925666</v>
      </c>
      <c r="D14" s="61">
        <f>'BESCOM D-22(Current Tariff)'!Q32</f>
        <v>4869.7071274284999</v>
      </c>
      <c r="E14" s="62">
        <f>'BESCOM D-22(Current Tariff)'!R32</f>
        <v>7070.8965199950999</v>
      </c>
      <c r="F14" s="60" t="e">
        <f>#REF!</f>
        <v>#REF!</v>
      </c>
      <c r="G14" s="61" t="e">
        <f>#REF!</f>
        <v>#REF!</v>
      </c>
      <c r="H14" s="62" t="e">
        <f>#REF!</f>
        <v>#REF!</v>
      </c>
      <c r="I14" s="60" t="e">
        <f t="shared" si="0"/>
        <v>#REF!</v>
      </c>
      <c r="J14" s="61" t="e">
        <f t="shared" si="1"/>
        <v>#REF!</v>
      </c>
      <c r="K14" s="62" t="e">
        <f t="shared" si="2"/>
        <v>#REF!</v>
      </c>
      <c r="L14" s="60" t="e">
        <f t="shared" si="3"/>
        <v>#REF!</v>
      </c>
      <c r="M14" s="61" t="e">
        <f t="shared" si="4"/>
        <v>#REF!</v>
      </c>
      <c r="N14" s="62" t="e">
        <f t="shared" si="5"/>
        <v>#REF!</v>
      </c>
    </row>
    <row r="15" spans="1:14" ht="14.1" customHeight="1" x14ac:dyDescent="0.15">
      <c r="A15" s="56">
        <v>5</v>
      </c>
      <c r="B15" s="57" t="s">
        <v>57</v>
      </c>
      <c r="C15" s="48">
        <f>'BESCOM D-22(Current Tariff)'!P40</f>
        <v>3.7698538752000301</v>
      </c>
      <c r="D15" s="49">
        <f>'BESCOM D-22(Current Tariff)'!Q40</f>
        <v>43.077650000000006</v>
      </c>
      <c r="E15" s="50">
        <f>'BESCOM D-22(Current Tariff)'!R40</f>
        <v>46.847503875200033</v>
      </c>
      <c r="F15" s="48" t="e">
        <f>#REF!</f>
        <v>#REF!</v>
      </c>
      <c r="G15" s="49" t="e">
        <f>#REF!</f>
        <v>#REF!</v>
      </c>
      <c r="H15" s="50" t="e">
        <f>#REF!</f>
        <v>#REF!</v>
      </c>
      <c r="I15" s="48" t="e">
        <f t="shared" si="0"/>
        <v>#REF!</v>
      </c>
      <c r="J15" s="49" t="e">
        <f t="shared" si="1"/>
        <v>#REF!</v>
      </c>
      <c r="K15" s="50" t="e">
        <f t="shared" si="2"/>
        <v>#REF!</v>
      </c>
      <c r="L15" s="48" t="e">
        <f t="shared" si="3"/>
        <v>#REF!</v>
      </c>
      <c r="M15" s="49" t="e">
        <f t="shared" si="4"/>
        <v>#REF!</v>
      </c>
      <c r="N15" s="50" t="e">
        <f t="shared" si="5"/>
        <v>#REF!</v>
      </c>
    </row>
    <row r="16" spans="1:14" ht="14.1" customHeight="1" x14ac:dyDescent="0.15">
      <c r="A16" s="56">
        <v>6</v>
      </c>
      <c r="B16" s="57" t="s">
        <v>64</v>
      </c>
      <c r="C16" s="48">
        <f>'BESCOM D-22(Current Tariff)'!P48</f>
        <v>0.94171545000000001</v>
      </c>
      <c r="D16" s="49">
        <f>'BESCOM D-22(Current Tariff)'!Q48</f>
        <v>6.0619874999999999</v>
      </c>
      <c r="E16" s="50">
        <f>'BESCOM D-22(Current Tariff)'!R48</f>
        <v>7.0037029500000001</v>
      </c>
      <c r="F16" s="48" t="e">
        <f>#REF!</f>
        <v>#REF!</v>
      </c>
      <c r="G16" s="49" t="e">
        <f>#REF!</f>
        <v>#REF!</v>
      </c>
      <c r="H16" s="50" t="e">
        <f>#REF!</f>
        <v>#REF!</v>
      </c>
      <c r="I16" s="48" t="e">
        <f t="shared" si="0"/>
        <v>#REF!</v>
      </c>
      <c r="J16" s="49" t="e">
        <f t="shared" si="1"/>
        <v>#REF!</v>
      </c>
      <c r="K16" s="50" t="e">
        <f t="shared" si="2"/>
        <v>#REF!</v>
      </c>
      <c r="L16" s="48" t="e">
        <f t="shared" si="3"/>
        <v>#REF!</v>
      </c>
      <c r="M16" s="49" t="e">
        <f t="shared" si="4"/>
        <v>#REF!</v>
      </c>
      <c r="N16" s="50" t="e">
        <f t="shared" si="5"/>
        <v>#REF!</v>
      </c>
    </row>
    <row r="17" spans="1:14" ht="14.1" customHeight="1" x14ac:dyDescent="0.15">
      <c r="A17" s="58"/>
      <c r="B17" s="59" t="s">
        <v>159</v>
      </c>
      <c r="C17" s="63">
        <f>'BESCOM D-22(Current Tariff)'!P50</f>
        <v>4.7115693252000304</v>
      </c>
      <c r="D17" s="64">
        <f>'BESCOM D-22(Current Tariff)'!Q50</f>
        <v>49.139637500000006</v>
      </c>
      <c r="E17" s="65">
        <f>'BESCOM D-22(Current Tariff)'!R50</f>
        <v>53.85120682520003</v>
      </c>
      <c r="F17" s="63" t="e">
        <f>#REF!</f>
        <v>#REF!</v>
      </c>
      <c r="G17" s="64" t="e">
        <f>#REF!</f>
        <v>#REF!</v>
      </c>
      <c r="H17" s="65" t="e">
        <f>#REF!</f>
        <v>#REF!</v>
      </c>
      <c r="I17" s="63" t="e">
        <f t="shared" si="0"/>
        <v>#REF!</v>
      </c>
      <c r="J17" s="64" t="e">
        <f t="shared" si="1"/>
        <v>#REF!</v>
      </c>
      <c r="K17" s="65" t="e">
        <f t="shared" si="2"/>
        <v>#REF!</v>
      </c>
      <c r="L17" s="63" t="e">
        <f t="shared" si="3"/>
        <v>#REF!</v>
      </c>
      <c r="M17" s="64" t="e">
        <f t="shared" si="4"/>
        <v>#REF!</v>
      </c>
      <c r="N17" s="65" t="e">
        <f t="shared" si="5"/>
        <v>#REF!</v>
      </c>
    </row>
    <row r="18" spans="1:14" ht="14.1" customHeight="1" x14ac:dyDescent="0.15">
      <c r="A18" s="51"/>
      <c r="B18" s="52" t="s">
        <v>160</v>
      </c>
      <c r="C18" s="53">
        <f>'BESCOM D-22(Current Tariff)'!P52</f>
        <v>2205.9009618917999</v>
      </c>
      <c r="D18" s="54">
        <f>'BESCOM D-22(Current Tariff)'!Q52</f>
        <v>4918.8467649285003</v>
      </c>
      <c r="E18" s="55">
        <f>'BESCOM D-22(Current Tariff)'!R52</f>
        <v>7124.7477268203002</v>
      </c>
      <c r="F18" s="53" t="e">
        <f>#REF!</f>
        <v>#REF!</v>
      </c>
      <c r="G18" s="54" t="e">
        <f>#REF!</f>
        <v>#REF!</v>
      </c>
      <c r="H18" s="55" t="e">
        <f>#REF!</f>
        <v>#REF!</v>
      </c>
      <c r="I18" s="53" t="e">
        <f t="shared" si="0"/>
        <v>#REF!</v>
      </c>
      <c r="J18" s="54" t="e">
        <f t="shared" si="1"/>
        <v>#REF!</v>
      </c>
      <c r="K18" s="55" t="e">
        <f t="shared" si="2"/>
        <v>#REF!</v>
      </c>
      <c r="L18" s="53" t="e">
        <f t="shared" si="3"/>
        <v>#REF!</v>
      </c>
      <c r="M18" s="54" t="e">
        <f t="shared" si="4"/>
        <v>#REF!</v>
      </c>
      <c r="N18" s="55" t="e">
        <f t="shared" si="5"/>
        <v>#REF!</v>
      </c>
    </row>
    <row r="19" spans="1:14" ht="14.1" customHeight="1" x14ac:dyDescent="0.15">
      <c r="A19" s="56">
        <v>7</v>
      </c>
      <c r="B19" s="57" t="s">
        <v>69</v>
      </c>
      <c r="C19" s="48">
        <f>'BESCOM D-22(Current Tariff)'!P58</f>
        <v>417.74732858100003</v>
      </c>
      <c r="D19" s="49">
        <f>'BESCOM D-22(Current Tariff)'!Q58</f>
        <v>1984.7355000000002</v>
      </c>
      <c r="E19" s="50">
        <f>'BESCOM D-22(Current Tariff)'!R58</f>
        <v>2402.4828285810004</v>
      </c>
      <c r="F19" s="48" t="e">
        <f>#REF!</f>
        <v>#REF!</v>
      </c>
      <c r="G19" s="49" t="e">
        <f>#REF!</f>
        <v>#REF!</v>
      </c>
      <c r="H19" s="50" t="e">
        <f>#REF!</f>
        <v>#REF!</v>
      </c>
      <c r="I19" s="48" t="e">
        <f t="shared" si="0"/>
        <v>#REF!</v>
      </c>
      <c r="J19" s="49" t="e">
        <f t="shared" si="1"/>
        <v>#REF!</v>
      </c>
      <c r="K19" s="50" t="e">
        <f t="shared" si="2"/>
        <v>#REF!</v>
      </c>
      <c r="L19" s="48" t="e">
        <f t="shared" si="3"/>
        <v>#REF!</v>
      </c>
      <c r="M19" s="49" t="e">
        <f t="shared" si="4"/>
        <v>#REF!</v>
      </c>
      <c r="N19" s="50" t="e">
        <f t="shared" si="5"/>
        <v>#REF!</v>
      </c>
    </row>
    <row r="20" spans="1:14" ht="14.1" customHeight="1" x14ac:dyDescent="0.15">
      <c r="A20" s="56">
        <v>8</v>
      </c>
      <c r="B20" s="57" t="s">
        <v>76</v>
      </c>
      <c r="C20" s="48" t="e">
        <f>'BESCOM D-22(Current Tariff)'!#REF!</f>
        <v>#REF!</v>
      </c>
      <c r="D20" s="49" t="e">
        <f>'BESCOM D-22(Current Tariff)'!#REF!</f>
        <v>#REF!</v>
      </c>
      <c r="E20" s="50" t="e">
        <f>'BESCOM D-22(Current Tariff)'!#REF!</f>
        <v>#REF!</v>
      </c>
      <c r="F20" s="48" t="e">
        <f>#REF!</f>
        <v>#REF!</v>
      </c>
      <c r="G20" s="49" t="e">
        <f>#REF!</f>
        <v>#REF!</v>
      </c>
      <c r="H20" s="50" t="e">
        <f>#REF!</f>
        <v>#REF!</v>
      </c>
      <c r="I20" s="48" t="e">
        <f t="shared" si="0"/>
        <v>#REF!</v>
      </c>
      <c r="J20" s="49" t="e">
        <f t="shared" si="1"/>
        <v>#REF!</v>
      </c>
      <c r="K20" s="50" t="e">
        <f t="shared" si="2"/>
        <v>#REF!</v>
      </c>
      <c r="L20" s="48" t="e">
        <f t="shared" si="3"/>
        <v>#REF!</v>
      </c>
      <c r="M20" s="49" t="e">
        <f t="shared" si="4"/>
        <v>#REF!</v>
      </c>
      <c r="N20" s="50" t="e">
        <f t="shared" si="5"/>
        <v>#REF!</v>
      </c>
    </row>
    <row r="21" spans="1:14" ht="14.1" customHeight="1" x14ac:dyDescent="0.15">
      <c r="A21" s="56">
        <v>9</v>
      </c>
      <c r="B21" s="84" t="s">
        <v>178</v>
      </c>
      <c r="C21" s="48">
        <f>'BESCOM D-22(Current Tariff)'!P64</f>
        <v>38.316986348699814</v>
      </c>
      <c r="D21" s="48">
        <f>'BESCOM D-22(Current Tariff)'!Q64</f>
        <v>183.56165000000001</v>
      </c>
      <c r="E21" s="48">
        <f>'BESCOM D-22(Current Tariff)'!R64</f>
        <v>221.87863634869984</v>
      </c>
      <c r="F21" s="48" t="e">
        <f>#REF!</f>
        <v>#REF!</v>
      </c>
      <c r="G21" s="48" t="e">
        <f>#REF!</f>
        <v>#REF!</v>
      </c>
      <c r="H21" s="48" t="e">
        <f>#REF!</f>
        <v>#REF!</v>
      </c>
      <c r="I21" s="48" t="e">
        <f>F21-C21</f>
        <v>#REF!</v>
      </c>
      <c r="J21" s="49" t="e">
        <f>G21-D21</f>
        <v>#REF!</v>
      </c>
      <c r="K21" s="50" t="e">
        <f>H21-E21</f>
        <v>#REF!</v>
      </c>
      <c r="L21" s="48" t="e">
        <f>IF(ISERR(+I21*100/C21)=1,"",I21*100/C21)</f>
        <v>#REF!</v>
      </c>
      <c r="M21" s="49" t="e">
        <f>IF(ISERR(+J21*100/D21)=1,"",J21*100/D21)</f>
        <v>#REF!</v>
      </c>
      <c r="N21" s="50" t="e">
        <f>IF(ISERR(+K21*100/E21)=1,"",K21*100/E21)</f>
        <v>#REF!</v>
      </c>
    </row>
    <row r="22" spans="1:14" ht="14.1" customHeight="1" x14ac:dyDescent="0.15">
      <c r="A22" s="51"/>
      <c r="B22" s="52" t="s">
        <v>161</v>
      </c>
      <c r="C22" s="53">
        <f>'BESCOM D-22(Current Tariff)'!P66</f>
        <v>456.06431492969983</v>
      </c>
      <c r="D22" s="54">
        <f>'BESCOM D-22(Current Tariff)'!Q66</f>
        <v>2168.2971500000003</v>
      </c>
      <c r="E22" s="55">
        <f>'BESCOM D-22(Current Tariff)'!R66</f>
        <v>2624.3614649297001</v>
      </c>
      <c r="F22" s="53" t="e">
        <f>#REF!</f>
        <v>#REF!</v>
      </c>
      <c r="G22" s="54" t="e">
        <f>#REF!</f>
        <v>#REF!</v>
      </c>
      <c r="H22" s="55" t="e">
        <f>#REF!</f>
        <v>#REF!</v>
      </c>
      <c r="I22" s="53" t="e">
        <f t="shared" si="0"/>
        <v>#REF!</v>
      </c>
      <c r="J22" s="54" t="e">
        <f t="shared" si="1"/>
        <v>#REF!</v>
      </c>
      <c r="K22" s="55" t="e">
        <f t="shared" si="2"/>
        <v>#REF!</v>
      </c>
      <c r="L22" s="53" t="e">
        <f t="shared" si="3"/>
        <v>#REF!</v>
      </c>
      <c r="M22" s="54" t="e">
        <f t="shared" si="4"/>
        <v>#REF!</v>
      </c>
      <c r="N22" s="55" t="e">
        <f t="shared" si="5"/>
        <v>#REF!</v>
      </c>
    </row>
    <row r="23" spans="1:14" ht="14.1" customHeight="1" x14ac:dyDescent="0.15">
      <c r="A23" s="56">
        <v>9</v>
      </c>
      <c r="B23" s="57" t="s">
        <v>80</v>
      </c>
      <c r="C23" s="48">
        <f>'BESCOM D-22(Current Tariff)'!P70</f>
        <v>0</v>
      </c>
      <c r="D23" s="49">
        <f>'BESCOM D-22(Current Tariff)'!Q70</f>
        <v>3252.1670999999997</v>
      </c>
      <c r="E23" s="50">
        <f>'BESCOM D-22(Current Tariff)'!R70</f>
        <v>3252.1670999999997</v>
      </c>
      <c r="F23" s="48" t="e">
        <f>#REF!</f>
        <v>#REF!</v>
      </c>
      <c r="G23" s="49" t="e">
        <f>#REF!</f>
        <v>#REF!</v>
      </c>
      <c r="H23" s="50" t="e">
        <f>#REF!</f>
        <v>#REF!</v>
      </c>
      <c r="I23" s="48" t="e">
        <f t="shared" si="0"/>
        <v>#REF!</v>
      </c>
      <c r="J23" s="49" t="e">
        <f t="shared" si="1"/>
        <v>#REF!</v>
      </c>
      <c r="K23" s="50" t="e">
        <f t="shared" si="2"/>
        <v>#REF!</v>
      </c>
      <c r="L23" s="48" t="e">
        <f t="shared" si="3"/>
        <v>#REF!</v>
      </c>
      <c r="M23" s="49" t="e">
        <f t="shared" si="4"/>
        <v>#REF!</v>
      </c>
      <c r="N23" s="50" t="e">
        <f t="shared" si="5"/>
        <v>#REF!</v>
      </c>
    </row>
    <row r="24" spans="1:14" ht="14.1" customHeight="1" x14ac:dyDescent="0.15">
      <c r="A24" s="56">
        <v>11</v>
      </c>
      <c r="B24" s="57" t="s">
        <v>83</v>
      </c>
      <c r="C24" s="48" t="e">
        <f>'BESCOM D-22(Current Tariff)'!#REF!</f>
        <v>#REF!</v>
      </c>
      <c r="D24" s="49" t="e">
        <f>'BESCOM D-22(Current Tariff)'!#REF!</f>
        <v>#REF!</v>
      </c>
      <c r="E24" s="50" t="e">
        <f>'BESCOM D-22(Current Tariff)'!#REF!</f>
        <v>#REF!</v>
      </c>
      <c r="F24" s="48" t="e">
        <f>#REF!</f>
        <v>#REF!</v>
      </c>
      <c r="G24" s="49" t="e">
        <f>#REF!</f>
        <v>#REF!</v>
      </c>
      <c r="H24" s="50" t="e">
        <f>#REF!</f>
        <v>#REF!</v>
      </c>
      <c r="I24" s="48" t="e">
        <f t="shared" si="0"/>
        <v>#REF!</v>
      </c>
      <c r="J24" s="49" t="e">
        <f t="shared" si="1"/>
        <v>#REF!</v>
      </c>
      <c r="K24" s="50" t="e">
        <f t="shared" si="2"/>
        <v>#REF!</v>
      </c>
      <c r="L24" s="48" t="e">
        <f t="shared" si="3"/>
        <v>#REF!</v>
      </c>
      <c r="M24" s="49" t="e">
        <f t="shared" si="4"/>
        <v>#REF!</v>
      </c>
      <c r="N24" s="50" t="e">
        <f t="shared" si="5"/>
        <v>#REF!</v>
      </c>
    </row>
    <row r="25" spans="1:14" ht="14.1" customHeight="1" x14ac:dyDescent="0.15">
      <c r="A25" s="58"/>
      <c r="B25" s="59" t="s">
        <v>162</v>
      </c>
      <c r="C25" s="60">
        <f>'BESCOM D-22(Current Tariff)'!P71</f>
        <v>0</v>
      </c>
      <c r="D25" s="61">
        <f>'BESCOM D-22(Current Tariff)'!Q71</f>
        <v>3252.1670999999997</v>
      </c>
      <c r="E25" s="62">
        <f>'BESCOM D-22(Current Tariff)'!R71</f>
        <v>3252.1670999999997</v>
      </c>
      <c r="F25" s="60" t="e">
        <f>#REF!</f>
        <v>#REF!</v>
      </c>
      <c r="G25" s="61" t="e">
        <f>#REF!</f>
        <v>#REF!</v>
      </c>
      <c r="H25" s="62" t="e">
        <f>#REF!</f>
        <v>#REF!</v>
      </c>
      <c r="I25" s="60" t="e">
        <f t="shared" si="0"/>
        <v>#REF!</v>
      </c>
      <c r="J25" s="61" t="e">
        <f t="shared" si="1"/>
        <v>#REF!</v>
      </c>
      <c r="K25" s="62" t="e">
        <f t="shared" si="2"/>
        <v>#REF!</v>
      </c>
      <c r="L25" s="60" t="e">
        <f t="shared" si="3"/>
        <v>#REF!</v>
      </c>
      <c r="M25" s="61" t="e">
        <f t="shared" si="4"/>
        <v>#REF!</v>
      </c>
      <c r="N25" s="62" t="e">
        <f t="shared" si="5"/>
        <v>#REF!</v>
      </c>
    </row>
    <row r="26" spans="1:14" ht="14.1" customHeight="1" x14ac:dyDescent="0.15">
      <c r="A26" s="56">
        <v>12</v>
      </c>
      <c r="B26" s="57" t="s">
        <v>8</v>
      </c>
      <c r="C26" s="48">
        <f>'BESCOM D-22(Current Tariff)'!P75</f>
        <v>0.51004800000000006</v>
      </c>
      <c r="D26" s="49">
        <f>'BESCOM D-22(Current Tariff)'!Q75</f>
        <v>0.72930000000000006</v>
      </c>
      <c r="E26" s="50">
        <f>'BESCOM D-22(Current Tariff)'!R75</f>
        <v>1.2393480000000001</v>
      </c>
      <c r="F26" s="48" t="e">
        <f>#REF!</f>
        <v>#REF!</v>
      </c>
      <c r="G26" s="49" t="e">
        <f>#REF!</f>
        <v>#REF!</v>
      </c>
      <c r="H26" s="50" t="e">
        <f>#REF!</f>
        <v>#REF!</v>
      </c>
      <c r="I26" s="48" t="e">
        <f t="shared" si="0"/>
        <v>#REF!</v>
      </c>
      <c r="J26" s="49" t="e">
        <f t="shared" si="1"/>
        <v>#REF!</v>
      </c>
      <c r="K26" s="50" t="e">
        <f t="shared" si="2"/>
        <v>#REF!</v>
      </c>
      <c r="L26" s="48" t="e">
        <f t="shared" si="3"/>
        <v>#REF!</v>
      </c>
      <c r="M26" s="49" t="e">
        <f t="shared" si="4"/>
        <v>#REF!</v>
      </c>
      <c r="N26" s="50" t="e">
        <f t="shared" si="5"/>
        <v>#REF!</v>
      </c>
    </row>
    <row r="27" spans="1:14" ht="14.1" customHeight="1" x14ac:dyDescent="0.15">
      <c r="A27" s="58"/>
      <c r="B27" s="59" t="s">
        <v>163</v>
      </c>
      <c r="C27" s="60">
        <f>'BESCOM D-22(Current Tariff)'!P77</f>
        <v>0.51004800000000006</v>
      </c>
      <c r="D27" s="61">
        <f>'BESCOM D-22(Current Tariff)'!Q77</f>
        <v>0.72930000000000006</v>
      </c>
      <c r="E27" s="62">
        <f>'BESCOM D-22(Current Tariff)'!R77</f>
        <v>1.2393480000000001</v>
      </c>
      <c r="F27" s="60" t="e">
        <f>#REF!</f>
        <v>#REF!</v>
      </c>
      <c r="G27" s="61" t="e">
        <f>#REF!</f>
        <v>#REF!</v>
      </c>
      <c r="H27" s="62" t="e">
        <f>#REF!</f>
        <v>#REF!</v>
      </c>
      <c r="I27" s="60" t="e">
        <f t="shared" si="0"/>
        <v>#REF!</v>
      </c>
      <c r="J27" s="61" t="e">
        <f t="shared" si="1"/>
        <v>#REF!</v>
      </c>
      <c r="K27" s="62" t="e">
        <f t="shared" si="2"/>
        <v>#REF!</v>
      </c>
      <c r="L27" s="60" t="e">
        <f t="shared" si="3"/>
        <v>#REF!</v>
      </c>
      <c r="M27" s="61" t="e">
        <f t="shared" si="4"/>
        <v>#REF!</v>
      </c>
      <c r="N27" s="62" t="e">
        <f t="shared" si="5"/>
        <v>#REF!</v>
      </c>
    </row>
    <row r="28" spans="1:14" ht="14.1" customHeight="1" x14ac:dyDescent="0.15">
      <c r="A28" s="56">
        <v>13</v>
      </c>
      <c r="B28" s="57" t="s">
        <v>87</v>
      </c>
      <c r="C28" s="48">
        <f>'BESCOM D-22(Current Tariff)'!P81</f>
        <v>2.0032800000000002</v>
      </c>
      <c r="D28" s="49">
        <f>'BESCOM D-22(Current Tariff)'!Q81</f>
        <v>2.3633999999999995</v>
      </c>
      <c r="E28" s="50">
        <f>'BESCOM D-22(Current Tariff)'!R81</f>
        <v>4.3666799999999997</v>
      </c>
      <c r="F28" s="48" t="e">
        <f>#REF!</f>
        <v>#REF!</v>
      </c>
      <c r="G28" s="49" t="e">
        <f>#REF!</f>
        <v>#REF!</v>
      </c>
      <c r="H28" s="50" t="e">
        <f>#REF!</f>
        <v>#REF!</v>
      </c>
      <c r="I28" s="48" t="e">
        <f t="shared" si="0"/>
        <v>#REF!</v>
      </c>
      <c r="J28" s="49" t="e">
        <f t="shared" si="1"/>
        <v>#REF!</v>
      </c>
      <c r="K28" s="50" t="e">
        <f t="shared" si="2"/>
        <v>#REF!</v>
      </c>
      <c r="L28" s="48" t="e">
        <f t="shared" si="3"/>
        <v>#REF!</v>
      </c>
      <c r="M28" s="49" t="e">
        <f t="shared" si="4"/>
        <v>#REF!</v>
      </c>
      <c r="N28" s="50" t="e">
        <f t="shared" si="5"/>
        <v>#REF!</v>
      </c>
    </row>
    <row r="29" spans="1:14" ht="14.1" customHeight="1" x14ac:dyDescent="0.15">
      <c r="A29" s="58"/>
      <c r="B29" s="59" t="s">
        <v>164</v>
      </c>
      <c r="C29" s="60">
        <f>'BESCOM D-22(Current Tariff)'!P84</f>
        <v>2.0032800000000002</v>
      </c>
      <c r="D29" s="61">
        <f>'BESCOM D-22(Current Tariff)'!Q84</f>
        <v>2.3633999999999995</v>
      </c>
      <c r="E29" s="62">
        <f>'BESCOM D-22(Current Tariff)'!R84</f>
        <v>4.3666799999999997</v>
      </c>
      <c r="F29" s="60" t="e">
        <f>#REF!</f>
        <v>#REF!</v>
      </c>
      <c r="G29" s="61" t="e">
        <f>#REF!</f>
        <v>#REF!</v>
      </c>
      <c r="H29" s="62" t="e">
        <f>#REF!</f>
        <v>#REF!</v>
      </c>
      <c r="I29" s="60" t="e">
        <f t="shared" si="0"/>
        <v>#REF!</v>
      </c>
      <c r="J29" s="61" t="e">
        <f t="shared" si="1"/>
        <v>#REF!</v>
      </c>
      <c r="K29" s="62" t="e">
        <f t="shared" si="2"/>
        <v>#REF!</v>
      </c>
      <c r="L29" s="60" t="e">
        <f t="shared" si="3"/>
        <v>#REF!</v>
      </c>
      <c r="M29" s="61" t="e">
        <f t="shared" si="4"/>
        <v>#REF!</v>
      </c>
      <c r="N29" s="62" t="e">
        <f t="shared" si="5"/>
        <v>#REF!</v>
      </c>
    </row>
    <row r="30" spans="1:14" ht="14.1" customHeight="1" x14ac:dyDescent="0.15">
      <c r="A30" s="51"/>
      <c r="B30" s="52" t="s">
        <v>165</v>
      </c>
      <c r="C30" s="53">
        <f>'BESCOM D-22(Current Tariff)'!P86</f>
        <v>2.5133280000000005</v>
      </c>
      <c r="D30" s="54">
        <f>'BESCOM D-22(Current Tariff)'!Q86</f>
        <v>3255.2597999999998</v>
      </c>
      <c r="E30" s="55">
        <f>'BESCOM D-22(Current Tariff)'!R86</f>
        <v>3257.7731279999998</v>
      </c>
      <c r="F30" s="53" t="e">
        <f>#REF!</f>
        <v>#REF!</v>
      </c>
      <c r="G30" s="54" t="e">
        <f>#REF!</f>
        <v>#REF!</v>
      </c>
      <c r="H30" s="55" t="e">
        <f>#REF!</f>
        <v>#REF!</v>
      </c>
      <c r="I30" s="53" t="e">
        <f t="shared" si="0"/>
        <v>#REF!</v>
      </c>
      <c r="J30" s="54" t="e">
        <f t="shared" si="1"/>
        <v>#REF!</v>
      </c>
      <c r="K30" s="55" t="e">
        <f t="shared" si="2"/>
        <v>#REF!</v>
      </c>
      <c r="L30" s="53" t="e">
        <f t="shared" si="3"/>
        <v>#REF!</v>
      </c>
      <c r="M30" s="54" t="e">
        <f t="shared" si="4"/>
        <v>#REF!</v>
      </c>
      <c r="N30" s="55" t="e">
        <f t="shared" si="5"/>
        <v>#REF!</v>
      </c>
    </row>
    <row r="31" spans="1:14" ht="14.1" customHeight="1" x14ac:dyDescent="0.15">
      <c r="A31" s="56">
        <v>14</v>
      </c>
      <c r="B31" s="57" t="s">
        <v>9</v>
      </c>
      <c r="C31" s="48">
        <f>'BESCOM D-22(Current Tariff)'!P96</f>
        <v>318.61242417</v>
      </c>
      <c r="D31" s="49">
        <f>'BESCOM D-22(Current Tariff)'!Q96</f>
        <v>631.15179999999998</v>
      </c>
      <c r="E31" s="50">
        <f>'BESCOM D-22(Current Tariff)'!R96</f>
        <v>949.76422417000003</v>
      </c>
      <c r="F31" s="48" t="e">
        <f>#REF!</f>
        <v>#REF!</v>
      </c>
      <c r="G31" s="49" t="e">
        <f>#REF!</f>
        <v>#REF!</v>
      </c>
      <c r="H31" s="50" t="e">
        <f>#REF!</f>
        <v>#REF!</v>
      </c>
      <c r="I31" s="48" t="e">
        <f t="shared" si="0"/>
        <v>#REF!</v>
      </c>
      <c r="J31" s="49" t="e">
        <f t="shared" si="1"/>
        <v>#REF!</v>
      </c>
      <c r="K31" s="50" t="e">
        <f t="shared" si="2"/>
        <v>#REF!</v>
      </c>
      <c r="L31" s="48" t="e">
        <f t="shared" si="3"/>
        <v>#REF!</v>
      </c>
      <c r="M31" s="49" t="e">
        <f t="shared" si="4"/>
        <v>#REF!</v>
      </c>
      <c r="N31" s="50" t="e">
        <f t="shared" si="5"/>
        <v>#REF!</v>
      </c>
    </row>
    <row r="32" spans="1:14" ht="14.1" customHeight="1" x14ac:dyDescent="0.15">
      <c r="A32" s="56">
        <v>15</v>
      </c>
      <c r="B32" s="57" t="s">
        <v>11</v>
      </c>
      <c r="C32" s="48">
        <f>'BESCOM D-22(Current Tariff)'!P106</f>
        <v>177.53823821735048</v>
      </c>
      <c r="D32" s="49">
        <f>'BESCOM D-22(Current Tariff)'!Q106</f>
        <v>231.13375350000001</v>
      </c>
      <c r="E32" s="50">
        <f>'BESCOM D-22(Current Tariff)'!R106</f>
        <v>408.67199171735047</v>
      </c>
      <c r="F32" s="48" t="e">
        <f>#REF!</f>
        <v>#REF!</v>
      </c>
      <c r="G32" s="49" t="e">
        <f>#REF!</f>
        <v>#REF!</v>
      </c>
      <c r="H32" s="50" t="e">
        <f>#REF!</f>
        <v>#REF!</v>
      </c>
      <c r="I32" s="48" t="e">
        <f t="shared" si="0"/>
        <v>#REF!</v>
      </c>
      <c r="J32" s="49" t="e">
        <f t="shared" si="1"/>
        <v>#REF!</v>
      </c>
      <c r="K32" s="50" t="e">
        <f t="shared" si="2"/>
        <v>#REF!</v>
      </c>
      <c r="L32" s="48" t="e">
        <f t="shared" si="3"/>
        <v>#REF!</v>
      </c>
      <c r="M32" s="49" t="e">
        <f t="shared" si="4"/>
        <v>#REF!</v>
      </c>
      <c r="N32" s="50" t="e">
        <f t="shared" si="5"/>
        <v>#REF!</v>
      </c>
    </row>
    <row r="33" spans="1:14" ht="14.1" customHeight="1" x14ac:dyDescent="0.15">
      <c r="A33" s="51"/>
      <c r="B33" s="52" t="s">
        <v>166</v>
      </c>
      <c r="C33" s="53">
        <f>'BESCOM D-22(Current Tariff)'!P108</f>
        <v>496.15066238735051</v>
      </c>
      <c r="D33" s="54">
        <f>'BESCOM D-22(Current Tariff)'!Q108</f>
        <v>862.28555349999999</v>
      </c>
      <c r="E33" s="55">
        <f>'BESCOM D-22(Current Tariff)'!R108</f>
        <v>1358.4362158873505</v>
      </c>
      <c r="F33" s="53" t="e">
        <f>#REF!</f>
        <v>#REF!</v>
      </c>
      <c r="G33" s="54" t="e">
        <f>#REF!</f>
        <v>#REF!</v>
      </c>
      <c r="H33" s="55" t="e">
        <f>#REF!</f>
        <v>#REF!</v>
      </c>
      <c r="I33" s="53" t="e">
        <f t="shared" si="0"/>
        <v>#REF!</v>
      </c>
      <c r="J33" s="54" t="e">
        <f t="shared" si="1"/>
        <v>#REF!</v>
      </c>
      <c r="K33" s="55" t="e">
        <f t="shared" si="2"/>
        <v>#REF!</v>
      </c>
      <c r="L33" s="53" t="e">
        <f t="shared" si="3"/>
        <v>#REF!</v>
      </c>
      <c r="M33" s="54" t="e">
        <f t="shared" si="4"/>
        <v>#REF!</v>
      </c>
      <c r="N33" s="55" t="e">
        <f t="shared" si="5"/>
        <v>#REF!</v>
      </c>
    </row>
    <row r="34" spans="1:14" ht="14.1" customHeight="1" x14ac:dyDescent="0.15">
      <c r="A34" s="56">
        <v>16</v>
      </c>
      <c r="B34" s="57" t="s">
        <v>12</v>
      </c>
      <c r="C34" s="48">
        <f>'BESCOM D-22(Current Tariff)'!P112</f>
        <v>118.863462</v>
      </c>
      <c r="D34" s="49">
        <f>'BESCOM D-22(Current Tariff)'!Q112</f>
        <v>757.91</v>
      </c>
      <c r="E34" s="50">
        <f>'BESCOM D-22(Current Tariff)'!R112</f>
        <v>876.77346199999999</v>
      </c>
      <c r="F34" s="48" t="e">
        <f>#REF!</f>
        <v>#REF!</v>
      </c>
      <c r="G34" s="49" t="e">
        <f>#REF!</f>
        <v>#REF!</v>
      </c>
      <c r="H34" s="50" t="e">
        <f>#REF!</f>
        <v>#REF!</v>
      </c>
      <c r="I34" s="48" t="e">
        <f t="shared" si="0"/>
        <v>#REF!</v>
      </c>
      <c r="J34" s="49" t="e">
        <f t="shared" si="1"/>
        <v>#REF!</v>
      </c>
      <c r="K34" s="50" t="e">
        <f t="shared" si="2"/>
        <v>#REF!</v>
      </c>
      <c r="L34" s="48" t="e">
        <f t="shared" si="3"/>
        <v>#REF!</v>
      </c>
      <c r="M34" s="49" t="e">
        <f t="shared" si="4"/>
        <v>#REF!</v>
      </c>
      <c r="N34" s="50" t="e">
        <f t="shared" si="5"/>
        <v>#REF!</v>
      </c>
    </row>
    <row r="35" spans="1:14" ht="14.1" customHeight="1" x14ac:dyDescent="0.15">
      <c r="A35" s="56">
        <v>17</v>
      </c>
      <c r="B35" s="57" t="s">
        <v>12</v>
      </c>
      <c r="C35" s="48">
        <f>'BESCOM D-22(Current Tariff)'!P116</f>
        <v>34.807499999999997</v>
      </c>
      <c r="D35" s="49">
        <f>'BESCOM D-22(Current Tariff)'!Q116</f>
        <v>384.38570000000004</v>
      </c>
      <c r="E35" s="50">
        <f>'BESCOM D-22(Current Tariff)'!R116</f>
        <v>419.19320000000005</v>
      </c>
      <c r="F35" s="48" t="e">
        <f>#REF!</f>
        <v>#REF!</v>
      </c>
      <c r="G35" s="49" t="e">
        <f>#REF!</f>
        <v>#REF!</v>
      </c>
      <c r="H35" s="50" t="e">
        <f>#REF!</f>
        <v>#REF!</v>
      </c>
      <c r="I35" s="48" t="e">
        <f t="shared" si="0"/>
        <v>#REF!</v>
      </c>
      <c r="J35" s="49" t="e">
        <f t="shared" si="1"/>
        <v>#REF!</v>
      </c>
      <c r="K35" s="50" t="e">
        <f t="shared" si="2"/>
        <v>#REF!</v>
      </c>
      <c r="L35" s="48" t="e">
        <f t="shared" si="3"/>
        <v>#REF!</v>
      </c>
      <c r="M35" s="49" t="e">
        <f t="shared" si="4"/>
        <v>#REF!</v>
      </c>
      <c r="N35" s="50" t="e">
        <f t="shared" si="5"/>
        <v>#REF!</v>
      </c>
    </row>
    <row r="36" spans="1:14" ht="14.1" customHeight="1" x14ac:dyDescent="0.15">
      <c r="A36" s="51"/>
      <c r="B36" s="52" t="s">
        <v>167</v>
      </c>
      <c r="C36" s="53">
        <f>'BESCOM D-22(Current Tariff)'!P123</f>
        <v>153.78184200000001</v>
      </c>
      <c r="D36" s="54">
        <f>'BESCOM D-22(Current Tariff)'!Q123</f>
        <v>1142.4457000000002</v>
      </c>
      <c r="E36" s="55">
        <f>'BESCOM D-22(Current Tariff)'!R123</f>
        <v>1296.2275420000001</v>
      </c>
      <c r="F36" s="53" t="e">
        <f>#REF!</f>
        <v>#REF!</v>
      </c>
      <c r="G36" s="54" t="e">
        <f>#REF!</f>
        <v>#REF!</v>
      </c>
      <c r="H36" s="55" t="e">
        <f>#REF!</f>
        <v>#REF!</v>
      </c>
      <c r="I36" s="53" t="e">
        <f t="shared" si="0"/>
        <v>#REF!</v>
      </c>
      <c r="J36" s="54" t="e">
        <f t="shared" si="1"/>
        <v>#REF!</v>
      </c>
      <c r="K36" s="55" t="e">
        <f t="shared" si="2"/>
        <v>#REF!</v>
      </c>
      <c r="L36" s="53" t="e">
        <f t="shared" si="3"/>
        <v>#REF!</v>
      </c>
      <c r="M36" s="54" t="e">
        <f t="shared" si="4"/>
        <v>#REF!</v>
      </c>
      <c r="N36" s="55" t="e">
        <f t="shared" si="5"/>
        <v>#REF!</v>
      </c>
    </row>
    <row r="37" spans="1:14" ht="14.1" customHeight="1" x14ac:dyDescent="0.15">
      <c r="A37" s="56">
        <v>18</v>
      </c>
      <c r="B37" s="57" t="s">
        <v>15</v>
      </c>
      <c r="C37" s="48">
        <f>'BESCOM D-22(Current Tariff)'!P129</f>
        <v>311.44179000000003</v>
      </c>
      <c r="D37" s="49">
        <f>'BESCOM D-22(Current Tariff)'!Q129</f>
        <v>0</v>
      </c>
      <c r="E37" s="50">
        <f>'BESCOM D-22(Current Tariff)'!R129</f>
        <v>311.44179000000003</v>
      </c>
      <c r="F37" s="48" t="e">
        <f>#REF!</f>
        <v>#REF!</v>
      </c>
      <c r="G37" s="49" t="e">
        <f>#REF!</f>
        <v>#REF!</v>
      </c>
      <c r="H37" s="50" t="e">
        <f>#REF!</f>
        <v>#REF!</v>
      </c>
      <c r="I37" s="48" t="e">
        <f t="shared" si="0"/>
        <v>#REF!</v>
      </c>
      <c r="J37" s="49" t="e">
        <f t="shared" si="1"/>
        <v>#REF!</v>
      </c>
      <c r="K37" s="50" t="e">
        <f t="shared" si="2"/>
        <v>#REF!</v>
      </c>
      <c r="L37" s="48" t="e">
        <f t="shared" si="3"/>
        <v>#REF!</v>
      </c>
      <c r="M37" s="49" t="e">
        <f t="shared" si="4"/>
        <v>#REF!</v>
      </c>
      <c r="N37" s="50" t="e">
        <f t="shared" si="5"/>
        <v>#REF!</v>
      </c>
    </row>
    <row r="38" spans="1:14" ht="14.1" customHeight="1" x14ac:dyDescent="0.15">
      <c r="A38" s="51"/>
      <c r="B38" s="52" t="s">
        <v>168</v>
      </c>
      <c r="C38" s="53">
        <f>'BESCOM D-22(Current Tariff)'!P134</f>
        <v>314.82997500000005</v>
      </c>
      <c r="D38" s="54">
        <f>'BESCOM D-22(Current Tariff)'!Q134</f>
        <v>0.95199999999999996</v>
      </c>
      <c r="E38" s="55">
        <f>'BESCOM D-22(Current Tariff)'!R134</f>
        <v>315.78197500000005</v>
      </c>
      <c r="F38" s="53" t="e">
        <f>#REF!</f>
        <v>#REF!</v>
      </c>
      <c r="G38" s="54" t="e">
        <f>#REF!</f>
        <v>#REF!</v>
      </c>
      <c r="H38" s="55" t="e">
        <f>#REF!</f>
        <v>#REF!</v>
      </c>
      <c r="I38" s="53" t="e">
        <f t="shared" si="0"/>
        <v>#REF!</v>
      </c>
      <c r="J38" s="54" t="e">
        <f t="shared" si="1"/>
        <v>#REF!</v>
      </c>
      <c r="K38" s="55" t="e">
        <f t="shared" si="2"/>
        <v>#REF!</v>
      </c>
      <c r="L38" s="53" t="e">
        <f t="shared" si="3"/>
        <v>#REF!</v>
      </c>
      <c r="M38" s="54" t="e">
        <f t="shared" si="4"/>
        <v>#REF!</v>
      </c>
      <c r="N38" s="55" t="e">
        <f t="shared" si="5"/>
        <v>#REF!</v>
      </c>
    </row>
    <row r="39" spans="1:14" ht="14.1" customHeight="1" x14ac:dyDescent="0.15">
      <c r="A39" s="66"/>
      <c r="B39" s="67" t="s">
        <v>113</v>
      </c>
      <c r="C39" s="68">
        <f>'BESCOM D-22(Current Tariff)'!P136</f>
        <v>3636.6581162088501</v>
      </c>
      <c r="D39" s="69">
        <f>'BESCOM D-22(Current Tariff)'!Q136</f>
        <v>12539.0573162285</v>
      </c>
      <c r="E39" s="70">
        <f>'BESCOM D-22(Current Tariff)'!R136</f>
        <v>16175.715432437351</v>
      </c>
      <c r="F39" s="68" t="e">
        <f>#REF!</f>
        <v>#REF!</v>
      </c>
      <c r="G39" s="69" t="e">
        <f>#REF!</f>
        <v>#REF!</v>
      </c>
      <c r="H39" s="70" t="e">
        <f>#REF!</f>
        <v>#REF!</v>
      </c>
      <c r="I39" s="68" t="e">
        <f t="shared" ref="I39:I62" si="6">F39-C39</f>
        <v>#REF!</v>
      </c>
      <c r="J39" s="69" t="e">
        <f t="shared" ref="J39:J62" si="7">G39-D39</f>
        <v>#REF!</v>
      </c>
      <c r="K39" s="70" t="e">
        <f t="shared" ref="K39:K62" si="8">H39-E39</f>
        <v>#REF!</v>
      </c>
      <c r="L39" s="68" t="e">
        <f t="shared" ref="L39:L62" si="9">IF(ISERR(+I39*100/C39)=1,"",I39*100/C39)</f>
        <v>#REF!</v>
      </c>
      <c r="M39" s="69" t="e">
        <f t="shared" ref="M39:M62" si="10">IF(ISERR(+J39*100/D39)=1,"",J39*100/D39)</f>
        <v>#REF!</v>
      </c>
      <c r="N39" s="70" t="e">
        <f t="shared" ref="N39:N62" si="11">IF(ISERR(+K39*100/E39)=1,"",K39*100/E39)</f>
        <v>#REF!</v>
      </c>
    </row>
    <row r="40" spans="1:14" ht="14.1" customHeight="1" x14ac:dyDescent="0.15">
      <c r="A40" s="56">
        <v>1</v>
      </c>
      <c r="B40" s="57" t="s">
        <v>16</v>
      </c>
      <c r="C40" s="48">
        <f>'BESCOM D-22(Current Tariff)'!P140</f>
        <v>57.566249999999997</v>
      </c>
      <c r="D40" s="49">
        <f>'BESCOM D-22(Current Tariff)'!Q140</f>
        <v>488.21359999999993</v>
      </c>
      <c r="E40" s="50">
        <f>'BESCOM D-22(Current Tariff)'!R140</f>
        <v>545.7798499999999</v>
      </c>
      <c r="F40" s="48" t="e">
        <f>#REF!</f>
        <v>#REF!</v>
      </c>
      <c r="G40" s="49" t="e">
        <f>#REF!</f>
        <v>#REF!</v>
      </c>
      <c r="H40" s="50" t="e">
        <f>#REF!</f>
        <v>#REF!</v>
      </c>
      <c r="I40" s="48" t="e">
        <f t="shared" si="6"/>
        <v>#REF!</v>
      </c>
      <c r="J40" s="49" t="e">
        <f t="shared" si="7"/>
        <v>#REF!</v>
      </c>
      <c r="K40" s="50" t="e">
        <f t="shared" si="8"/>
        <v>#REF!</v>
      </c>
      <c r="L40" s="48" t="e">
        <f t="shared" si="9"/>
        <v>#REF!</v>
      </c>
      <c r="M40" s="49" t="e">
        <f t="shared" si="10"/>
        <v>#REF!</v>
      </c>
      <c r="N40" s="50" t="e">
        <f t="shared" si="11"/>
        <v>#REF!</v>
      </c>
    </row>
    <row r="41" spans="1:14" ht="14.1" customHeight="1" x14ac:dyDescent="0.15">
      <c r="A41" s="51"/>
      <c r="B41" s="52" t="s">
        <v>169</v>
      </c>
      <c r="C41" s="53">
        <f>'BESCOM D-22(Current Tariff)'!P142</f>
        <v>57.566249999999997</v>
      </c>
      <c r="D41" s="54">
        <f>'BESCOM D-22(Current Tariff)'!Q142</f>
        <v>488.21359999999993</v>
      </c>
      <c r="E41" s="55">
        <f>'BESCOM D-22(Current Tariff)'!R142</f>
        <v>545.7798499999999</v>
      </c>
      <c r="F41" s="53" t="e">
        <f>#REF!</f>
        <v>#REF!</v>
      </c>
      <c r="G41" s="54" t="e">
        <f>#REF!</f>
        <v>#REF!</v>
      </c>
      <c r="H41" s="55" t="e">
        <f>#REF!</f>
        <v>#REF!</v>
      </c>
      <c r="I41" s="53" t="e">
        <f t="shared" si="6"/>
        <v>#REF!</v>
      </c>
      <c r="J41" s="54" t="e">
        <f t="shared" si="7"/>
        <v>#REF!</v>
      </c>
      <c r="K41" s="55" t="e">
        <f t="shared" si="8"/>
        <v>#REF!</v>
      </c>
      <c r="L41" s="53" t="e">
        <f t="shared" si="9"/>
        <v>#REF!</v>
      </c>
      <c r="M41" s="54" t="e">
        <f t="shared" si="10"/>
        <v>#REF!</v>
      </c>
      <c r="N41" s="55" t="e">
        <f t="shared" si="11"/>
        <v>#REF!</v>
      </c>
    </row>
    <row r="42" spans="1:14" ht="14.1" customHeight="1" x14ac:dyDescent="0.15">
      <c r="A42" s="56">
        <v>2</v>
      </c>
      <c r="B42" s="57" t="s">
        <v>120</v>
      </c>
      <c r="C42" s="48">
        <f>'BESCOM D-22(Current Tariff)'!P148</f>
        <v>662.53398749999997</v>
      </c>
      <c r="D42" s="49">
        <f>'BESCOM D-22(Current Tariff)'!Q148</f>
        <v>1895.5929599999997</v>
      </c>
      <c r="E42" s="50">
        <f>'BESCOM D-22(Current Tariff)'!R148</f>
        <v>2558.1269474999999</v>
      </c>
      <c r="F42" s="48" t="e">
        <f>#REF!</f>
        <v>#REF!</v>
      </c>
      <c r="G42" s="49" t="e">
        <f>#REF!</f>
        <v>#REF!</v>
      </c>
      <c r="H42" s="50" t="e">
        <f>#REF!</f>
        <v>#REF!</v>
      </c>
      <c r="I42" s="48" t="e">
        <f t="shared" si="6"/>
        <v>#REF!</v>
      </c>
      <c r="J42" s="49" t="e">
        <f t="shared" si="7"/>
        <v>#REF!</v>
      </c>
      <c r="K42" s="50" t="e">
        <f t="shared" si="8"/>
        <v>#REF!</v>
      </c>
      <c r="L42" s="48" t="e">
        <f t="shared" si="9"/>
        <v>#REF!</v>
      </c>
      <c r="M42" s="49" t="e">
        <f t="shared" si="10"/>
        <v>#REF!</v>
      </c>
      <c r="N42" s="50" t="e">
        <f t="shared" si="11"/>
        <v>#REF!</v>
      </c>
    </row>
    <row r="43" spans="1:14" ht="14.1" customHeight="1" x14ac:dyDescent="0.15">
      <c r="A43" s="56">
        <v>3</v>
      </c>
      <c r="B43" s="57" t="s">
        <v>124</v>
      </c>
      <c r="C43" s="48">
        <f>'BESCOM D-22(Current Tariff)'!P154</f>
        <v>452.71330649999999</v>
      </c>
      <c r="D43" s="49">
        <f>'BESCOM D-22(Current Tariff)'!Q154</f>
        <v>1518.6339199999998</v>
      </c>
      <c r="E43" s="50">
        <f>'BESCOM D-22(Current Tariff)'!R154</f>
        <v>1971.3472264999998</v>
      </c>
      <c r="F43" s="48" t="e">
        <f>#REF!</f>
        <v>#REF!</v>
      </c>
      <c r="G43" s="49" t="e">
        <f>#REF!</f>
        <v>#REF!</v>
      </c>
      <c r="H43" s="50" t="e">
        <f>#REF!</f>
        <v>#REF!</v>
      </c>
      <c r="I43" s="48" t="e">
        <f t="shared" si="6"/>
        <v>#REF!</v>
      </c>
      <c r="J43" s="49" t="e">
        <f t="shared" si="7"/>
        <v>#REF!</v>
      </c>
      <c r="K43" s="50" t="e">
        <f t="shared" si="8"/>
        <v>#REF!</v>
      </c>
      <c r="L43" s="48" t="e">
        <f t="shared" si="9"/>
        <v>#REF!</v>
      </c>
      <c r="M43" s="49" t="e">
        <f t="shared" si="10"/>
        <v>#REF!</v>
      </c>
      <c r="N43" s="50" t="e">
        <f t="shared" si="11"/>
        <v>#REF!</v>
      </c>
    </row>
    <row r="44" spans="1:14" ht="14.1" customHeight="1" x14ac:dyDescent="0.15">
      <c r="A44" s="58"/>
      <c r="B44" s="59" t="s">
        <v>170</v>
      </c>
      <c r="C44" s="60">
        <f>'BESCOM D-22(Current Tariff)'!P156</f>
        <v>1115.247294</v>
      </c>
      <c r="D44" s="61">
        <f>'BESCOM D-22(Current Tariff)'!Q156</f>
        <v>3414.2268799999993</v>
      </c>
      <c r="E44" s="62">
        <f>'BESCOM D-22(Current Tariff)'!R156</f>
        <v>4529.4741739999999</v>
      </c>
      <c r="F44" s="60" t="e">
        <f>#REF!</f>
        <v>#REF!</v>
      </c>
      <c r="G44" s="61" t="e">
        <f>#REF!</f>
        <v>#REF!</v>
      </c>
      <c r="H44" s="62" t="e">
        <f>#REF!</f>
        <v>#REF!</v>
      </c>
      <c r="I44" s="60" t="e">
        <f t="shared" si="6"/>
        <v>#REF!</v>
      </c>
      <c r="J44" s="61" t="e">
        <f t="shared" si="7"/>
        <v>#REF!</v>
      </c>
      <c r="K44" s="62" t="e">
        <f t="shared" si="8"/>
        <v>#REF!</v>
      </c>
      <c r="L44" s="60" t="e">
        <f t="shared" si="9"/>
        <v>#REF!</v>
      </c>
      <c r="M44" s="61" t="e">
        <f t="shared" si="10"/>
        <v>#REF!</v>
      </c>
      <c r="N44" s="62" t="e">
        <f t="shared" si="11"/>
        <v>#REF!</v>
      </c>
    </row>
    <row r="45" spans="1:14" ht="14.1" customHeight="1" x14ac:dyDescent="0.15">
      <c r="A45" s="56">
        <v>4</v>
      </c>
      <c r="B45" s="57" t="s">
        <v>130</v>
      </c>
      <c r="C45" s="48">
        <f>'BESCOM D-22(Current Tariff)'!P162</f>
        <v>831.12813000000006</v>
      </c>
      <c r="D45" s="49">
        <f>'BESCOM D-22(Current Tariff)'!Q162</f>
        <v>1741.1739165000004</v>
      </c>
      <c r="E45" s="50">
        <f>'BESCOM D-22(Current Tariff)'!R162</f>
        <v>2572.3020465000004</v>
      </c>
      <c r="F45" s="48" t="e">
        <f>#REF!</f>
        <v>#REF!</v>
      </c>
      <c r="G45" s="49" t="e">
        <f>#REF!</f>
        <v>#REF!</v>
      </c>
      <c r="H45" s="50" t="e">
        <f>#REF!</f>
        <v>#REF!</v>
      </c>
      <c r="I45" s="48" t="e">
        <f t="shared" si="6"/>
        <v>#REF!</v>
      </c>
      <c r="J45" s="49" t="e">
        <f t="shared" si="7"/>
        <v>#REF!</v>
      </c>
      <c r="K45" s="50" t="e">
        <f t="shared" si="8"/>
        <v>#REF!</v>
      </c>
      <c r="L45" s="48" t="e">
        <f t="shared" si="9"/>
        <v>#REF!</v>
      </c>
      <c r="M45" s="49" t="e">
        <f t="shared" si="10"/>
        <v>#REF!</v>
      </c>
      <c r="N45" s="50" t="e">
        <f t="shared" si="11"/>
        <v>#REF!</v>
      </c>
    </row>
    <row r="46" spans="1:14" ht="14.1" customHeight="1" x14ac:dyDescent="0.15">
      <c r="A46" s="56">
        <v>5</v>
      </c>
      <c r="B46" s="57" t="s">
        <v>133</v>
      </c>
      <c r="C46" s="48">
        <f>'BESCOM D-22(Current Tariff)'!P168</f>
        <v>49.197456000000003</v>
      </c>
      <c r="D46" s="49">
        <f>'BESCOM D-22(Current Tariff)'!Q168</f>
        <v>127.98297199999999</v>
      </c>
      <c r="E46" s="49">
        <f>'BESCOM D-22(Current Tariff)'!R168</f>
        <v>177.18042800000001</v>
      </c>
      <c r="F46" s="48" t="e">
        <f>#REF!</f>
        <v>#REF!</v>
      </c>
      <c r="G46" s="49" t="e">
        <f>#REF!</f>
        <v>#REF!</v>
      </c>
      <c r="H46" s="49" t="e">
        <f>#REF!</f>
        <v>#REF!</v>
      </c>
      <c r="I46" s="48" t="e">
        <f t="shared" si="6"/>
        <v>#REF!</v>
      </c>
      <c r="J46" s="49" t="e">
        <f t="shared" si="7"/>
        <v>#REF!</v>
      </c>
      <c r="K46" s="50" t="e">
        <f t="shared" si="8"/>
        <v>#REF!</v>
      </c>
      <c r="L46" s="48" t="e">
        <f t="shared" si="9"/>
        <v>#REF!</v>
      </c>
      <c r="M46" s="49" t="e">
        <f t="shared" si="10"/>
        <v>#REF!</v>
      </c>
      <c r="N46" s="50" t="e">
        <f t="shared" si="11"/>
        <v>#REF!</v>
      </c>
    </row>
    <row r="47" spans="1:14" ht="14.1" customHeight="1" x14ac:dyDescent="0.15">
      <c r="A47" s="58"/>
      <c r="B47" s="59" t="s">
        <v>171</v>
      </c>
      <c r="C47" s="60">
        <f>'BESCOM D-22(Current Tariff)'!P170</f>
        <v>880.32558600000004</v>
      </c>
      <c r="D47" s="61">
        <f>'BESCOM D-22(Current Tariff)'!Q170</f>
        <v>1869.1568885000004</v>
      </c>
      <c r="E47" s="62">
        <f>'BESCOM D-22(Current Tariff)'!R170</f>
        <v>2749.4824745000005</v>
      </c>
      <c r="F47" s="60" t="e">
        <f>#REF!</f>
        <v>#REF!</v>
      </c>
      <c r="G47" s="61" t="e">
        <f>#REF!</f>
        <v>#REF!</v>
      </c>
      <c r="H47" s="62" t="e">
        <f>#REF!</f>
        <v>#REF!</v>
      </c>
      <c r="I47" s="60" t="e">
        <f t="shared" si="6"/>
        <v>#REF!</v>
      </c>
      <c r="J47" s="61" t="e">
        <f t="shared" si="7"/>
        <v>#REF!</v>
      </c>
      <c r="K47" s="62" t="e">
        <f t="shared" si="8"/>
        <v>#REF!</v>
      </c>
      <c r="L47" s="60" t="e">
        <f t="shared" si="9"/>
        <v>#REF!</v>
      </c>
      <c r="M47" s="61" t="e">
        <f t="shared" si="10"/>
        <v>#REF!</v>
      </c>
      <c r="N47" s="62" t="e">
        <f t="shared" si="11"/>
        <v>#REF!</v>
      </c>
    </row>
    <row r="48" spans="1:14" ht="14.1" customHeight="1" x14ac:dyDescent="0.15">
      <c r="A48" s="56">
        <v>4</v>
      </c>
      <c r="B48" s="57" t="s">
        <v>331</v>
      </c>
      <c r="C48" s="48">
        <f>'BESCOM D-22(Current Tariff)'!P177</f>
        <v>26.055900000000001</v>
      </c>
      <c r="D48" s="49">
        <f>'BESCOM D-22(Current Tariff)'!Q177</f>
        <v>123.27053599999999</v>
      </c>
      <c r="E48" s="50">
        <f>'BESCOM D-22(Current Tariff)'!R177</f>
        <v>149.326436</v>
      </c>
      <c r="F48" s="48" t="e">
        <f>#REF!</f>
        <v>#REF!</v>
      </c>
      <c r="G48" s="49" t="e">
        <f>#REF!</f>
        <v>#REF!</v>
      </c>
      <c r="H48" s="50" t="e">
        <f>#REF!</f>
        <v>#REF!</v>
      </c>
      <c r="I48" s="48" t="e">
        <f t="shared" ref="I48:K50" si="12">F48-C48</f>
        <v>#REF!</v>
      </c>
      <c r="J48" s="49" t="e">
        <f t="shared" si="12"/>
        <v>#REF!</v>
      </c>
      <c r="K48" s="50" t="e">
        <f t="shared" si="12"/>
        <v>#REF!</v>
      </c>
      <c r="L48" s="48" t="e">
        <f t="shared" ref="L48:N50" si="13">IF(ISERR(+I48*100/C48)=1,"",I48*100/C48)</f>
        <v>#REF!</v>
      </c>
      <c r="M48" s="49" t="e">
        <f t="shared" si="13"/>
        <v>#REF!</v>
      </c>
      <c r="N48" s="50" t="e">
        <f t="shared" si="13"/>
        <v>#REF!</v>
      </c>
    </row>
    <row r="49" spans="1:14" ht="14.1" customHeight="1" x14ac:dyDescent="0.15">
      <c r="A49" s="56">
        <v>5</v>
      </c>
      <c r="B49" s="57" t="s">
        <v>332</v>
      </c>
      <c r="C49" s="48">
        <f>'BESCOM D-22(Current Tariff)'!P183</f>
        <v>43.315575000000003</v>
      </c>
      <c r="D49" s="49">
        <f>'BESCOM D-22(Current Tariff)'!Q183</f>
        <v>142.98015600000002</v>
      </c>
      <c r="E49" s="49">
        <f>'BESCOM D-22(Current Tariff)'!R183</f>
        <v>186.29573100000002</v>
      </c>
      <c r="F49" s="48" t="e">
        <f>#REF!</f>
        <v>#REF!</v>
      </c>
      <c r="G49" s="48" t="e">
        <f>#REF!</f>
        <v>#REF!</v>
      </c>
      <c r="H49" s="49" t="e">
        <f>#REF!</f>
        <v>#REF!</v>
      </c>
      <c r="I49" s="48" t="e">
        <f t="shared" si="12"/>
        <v>#REF!</v>
      </c>
      <c r="J49" s="49" t="e">
        <f t="shared" si="12"/>
        <v>#REF!</v>
      </c>
      <c r="K49" s="50" t="e">
        <f t="shared" si="12"/>
        <v>#REF!</v>
      </c>
      <c r="L49" s="48" t="e">
        <f t="shared" si="13"/>
        <v>#REF!</v>
      </c>
      <c r="M49" s="49" t="e">
        <f t="shared" si="13"/>
        <v>#REF!</v>
      </c>
      <c r="N49" s="50" t="e">
        <f t="shared" si="13"/>
        <v>#REF!</v>
      </c>
    </row>
    <row r="50" spans="1:14" ht="14.1" customHeight="1" x14ac:dyDescent="0.15">
      <c r="A50" s="58"/>
      <c r="B50" s="59" t="s">
        <v>171</v>
      </c>
      <c r="C50" s="60">
        <f>'BESCOM D-22(Current Tariff)'!P185</f>
        <v>69.371475000000004</v>
      </c>
      <c r="D50" s="61">
        <f>'BESCOM D-22(Current Tariff)'!Q185</f>
        <v>266.25069200000002</v>
      </c>
      <c r="E50" s="62">
        <f>'BESCOM D-22(Current Tariff)'!R185</f>
        <v>335.62216699999999</v>
      </c>
      <c r="F50" s="60" t="e">
        <f>#REF!</f>
        <v>#REF!</v>
      </c>
      <c r="G50" s="61" t="e">
        <f>#REF!</f>
        <v>#REF!</v>
      </c>
      <c r="H50" s="62" t="e">
        <f>#REF!</f>
        <v>#REF!</v>
      </c>
      <c r="I50" s="60" t="e">
        <f t="shared" si="12"/>
        <v>#REF!</v>
      </c>
      <c r="J50" s="61" t="e">
        <f t="shared" si="12"/>
        <v>#REF!</v>
      </c>
      <c r="K50" s="62" t="e">
        <f t="shared" si="12"/>
        <v>#REF!</v>
      </c>
      <c r="L50" s="60" t="e">
        <f t="shared" si="13"/>
        <v>#REF!</v>
      </c>
      <c r="M50" s="61" t="e">
        <f t="shared" si="13"/>
        <v>#REF!</v>
      </c>
      <c r="N50" s="62" t="e">
        <f t="shared" si="13"/>
        <v>#REF!</v>
      </c>
    </row>
    <row r="51" spans="1:14" ht="14.1" customHeight="1" x14ac:dyDescent="0.15">
      <c r="A51" s="51"/>
      <c r="B51" s="52" t="s">
        <v>172</v>
      </c>
      <c r="C51" s="53">
        <f>'BESCOM D-22(Current Tariff)'!P187</f>
        <v>2064.9443550000001</v>
      </c>
      <c r="D51" s="54">
        <f>'BESCOM D-22(Current Tariff)'!Q187</f>
        <v>5549.6344604999995</v>
      </c>
      <c r="E51" s="55">
        <f>'BESCOM D-22(Current Tariff)'!R187</f>
        <v>7614.5788155000009</v>
      </c>
      <c r="F51" s="53" t="e">
        <f>#REF!</f>
        <v>#REF!</v>
      </c>
      <c r="G51" s="54" t="e">
        <f>#REF!</f>
        <v>#REF!</v>
      </c>
      <c r="H51" s="55" t="e">
        <f>#REF!</f>
        <v>#REF!</v>
      </c>
      <c r="I51" s="53" t="e">
        <f t="shared" si="6"/>
        <v>#REF!</v>
      </c>
      <c r="J51" s="54" t="e">
        <f t="shared" si="7"/>
        <v>#REF!</v>
      </c>
      <c r="K51" s="55" t="e">
        <f t="shared" si="8"/>
        <v>#REF!</v>
      </c>
      <c r="L51" s="53" t="e">
        <f t="shared" si="9"/>
        <v>#REF!</v>
      </c>
      <c r="M51" s="54" t="e">
        <f t="shared" si="10"/>
        <v>#REF!</v>
      </c>
      <c r="N51" s="55" t="e">
        <f t="shared" si="11"/>
        <v>#REF!</v>
      </c>
    </row>
    <row r="52" spans="1:14" ht="14.1" customHeight="1" x14ac:dyDescent="0.15">
      <c r="A52" s="56">
        <v>6</v>
      </c>
      <c r="B52" s="57" t="s">
        <v>137</v>
      </c>
      <c r="C52" s="48">
        <f>'BESCOM D-22(Current Tariff)'!P191</f>
        <v>0</v>
      </c>
      <c r="D52" s="49">
        <f>'BESCOM D-22(Current Tariff)'!Q191</f>
        <v>42.764399999999995</v>
      </c>
      <c r="E52" s="50">
        <f>'BESCOM D-22(Current Tariff)'!R191</f>
        <v>42.764399999999995</v>
      </c>
      <c r="F52" s="48" t="e">
        <f>#REF!</f>
        <v>#REF!</v>
      </c>
      <c r="G52" s="49" t="e">
        <f>#REF!</f>
        <v>#REF!</v>
      </c>
      <c r="H52" s="50" t="e">
        <f>#REF!</f>
        <v>#REF!</v>
      </c>
      <c r="I52" s="48" t="e">
        <f t="shared" si="6"/>
        <v>#REF!</v>
      </c>
      <c r="J52" s="49" t="e">
        <f t="shared" si="7"/>
        <v>#REF!</v>
      </c>
      <c r="K52" s="50" t="e">
        <f t="shared" si="8"/>
        <v>#REF!</v>
      </c>
      <c r="L52" s="48" t="e">
        <f t="shared" si="9"/>
        <v>#REF!</v>
      </c>
      <c r="M52" s="49" t="e">
        <f t="shared" si="10"/>
        <v>#REF!</v>
      </c>
      <c r="N52" s="50" t="e">
        <f t="shared" si="11"/>
        <v>#REF!</v>
      </c>
    </row>
    <row r="53" spans="1:14" ht="14.1" customHeight="1" x14ac:dyDescent="0.15">
      <c r="A53" s="56">
        <v>7</v>
      </c>
      <c r="B53" s="57" t="s">
        <v>140</v>
      </c>
      <c r="C53" s="48">
        <f>'BESCOM D-22(Current Tariff)'!P195</f>
        <v>4.3560000000000001E-2</v>
      </c>
      <c r="D53" s="49">
        <f>'BESCOM D-22(Current Tariff)'!Q195</f>
        <v>1.575E-2</v>
      </c>
      <c r="E53" s="50">
        <f>'BESCOM D-22(Current Tariff)'!R195</f>
        <v>5.9310000000000002E-2</v>
      </c>
      <c r="F53" s="48" t="e">
        <f>#REF!</f>
        <v>#REF!</v>
      </c>
      <c r="G53" s="49" t="e">
        <f>#REF!</f>
        <v>#REF!</v>
      </c>
      <c r="H53" s="50" t="e">
        <f>#REF!</f>
        <v>#REF!</v>
      </c>
      <c r="I53" s="48" t="e">
        <f t="shared" si="6"/>
        <v>#REF!</v>
      </c>
      <c r="J53" s="49" t="e">
        <f t="shared" si="7"/>
        <v>#REF!</v>
      </c>
      <c r="K53" s="50" t="e">
        <f t="shared" si="8"/>
        <v>#REF!</v>
      </c>
      <c r="L53" s="48" t="e">
        <f t="shared" si="9"/>
        <v>#REF!</v>
      </c>
      <c r="M53" s="49" t="e">
        <f t="shared" si="10"/>
        <v>#REF!</v>
      </c>
      <c r="N53" s="50" t="e">
        <f t="shared" si="11"/>
        <v>#REF!</v>
      </c>
    </row>
    <row r="54" spans="1:14" ht="14.1" customHeight="1" x14ac:dyDescent="0.15">
      <c r="A54" s="58"/>
      <c r="B54" s="59" t="s">
        <v>173</v>
      </c>
      <c r="C54" s="60">
        <f>'BESCOM D-22(Current Tariff)'!P201</f>
        <v>4.3560000000000001E-2</v>
      </c>
      <c r="D54" s="61">
        <f>'BESCOM D-22(Current Tariff)'!Q201</f>
        <v>42.780149999999992</v>
      </c>
      <c r="E54" s="62">
        <f>'BESCOM D-22(Current Tariff)'!R201</f>
        <v>42.823709999999998</v>
      </c>
      <c r="F54" s="60" t="e">
        <f>#REF!</f>
        <v>#REF!</v>
      </c>
      <c r="G54" s="61" t="e">
        <f>#REF!</f>
        <v>#REF!</v>
      </c>
      <c r="H54" s="62" t="e">
        <f>#REF!</f>
        <v>#REF!</v>
      </c>
      <c r="I54" s="60" t="e">
        <f t="shared" si="6"/>
        <v>#REF!</v>
      </c>
      <c r="J54" s="61" t="e">
        <f t="shared" si="7"/>
        <v>#REF!</v>
      </c>
      <c r="K54" s="62" t="e">
        <f t="shared" si="8"/>
        <v>#REF!</v>
      </c>
      <c r="L54" s="60" t="e">
        <f t="shared" si="9"/>
        <v>#REF!</v>
      </c>
      <c r="M54" s="61" t="e">
        <f t="shared" si="10"/>
        <v>#REF!</v>
      </c>
      <c r="N54" s="62" t="e">
        <f t="shared" si="11"/>
        <v>#REF!</v>
      </c>
    </row>
    <row r="55" spans="1:14" ht="14.1" customHeight="1" x14ac:dyDescent="0.15">
      <c r="A55" s="56">
        <v>8</v>
      </c>
      <c r="B55" s="57" t="s">
        <v>143</v>
      </c>
      <c r="C55" s="48">
        <f>'BESCOM D-22(Current Tariff)'!P205</f>
        <v>0</v>
      </c>
      <c r="D55" s="49">
        <f>'BESCOM D-22(Current Tariff)'!Q205</f>
        <v>1.4265500000000002</v>
      </c>
      <c r="E55" s="50">
        <f>'BESCOM D-22(Current Tariff)'!R205</f>
        <v>1.4265500000000002</v>
      </c>
      <c r="F55" s="48" t="e">
        <f>#REF!</f>
        <v>#REF!</v>
      </c>
      <c r="G55" s="49" t="e">
        <f>#REF!</f>
        <v>#REF!</v>
      </c>
      <c r="H55" s="50" t="e">
        <f>#REF!</f>
        <v>#REF!</v>
      </c>
      <c r="I55" s="48" t="e">
        <f t="shared" si="6"/>
        <v>#REF!</v>
      </c>
      <c r="J55" s="49" t="e">
        <f t="shared" si="7"/>
        <v>#REF!</v>
      </c>
      <c r="K55" s="50" t="e">
        <f t="shared" si="8"/>
        <v>#REF!</v>
      </c>
      <c r="L55" s="48" t="e">
        <f t="shared" si="9"/>
        <v>#REF!</v>
      </c>
      <c r="M55" s="49" t="e">
        <f t="shared" si="10"/>
        <v>#REF!</v>
      </c>
      <c r="N55" s="50" t="e">
        <f t="shared" si="11"/>
        <v>#REF!</v>
      </c>
    </row>
    <row r="56" spans="1:14" ht="14.1" customHeight="1" x14ac:dyDescent="0.15">
      <c r="A56" s="58"/>
      <c r="B56" s="59" t="s">
        <v>174</v>
      </c>
      <c r="C56" s="60">
        <f>'BESCOM D-22(Current Tariff)'!P207</f>
        <v>0</v>
      </c>
      <c r="D56" s="61">
        <f>'BESCOM D-22(Current Tariff)'!Q207</f>
        <v>1.4265500000000002</v>
      </c>
      <c r="E56" s="62">
        <f>'BESCOM D-22(Current Tariff)'!R207</f>
        <v>1.4265500000000002</v>
      </c>
      <c r="F56" s="60" t="e">
        <f>#REF!</f>
        <v>#REF!</v>
      </c>
      <c r="G56" s="61" t="e">
        <f>#REF!</f>
        <v>#REF!</v>
      </c>
      <c r="H56" s="62" t="e">
        <f>#REF!</f>
        <v>#REF!</v>
      </c>
      <c r="I56" s="60" t="e">
        <f t="shared" si="6"/>
        <v>#REF!</v>
      </c>
      <c r="J56" s="61" t="e">
        <f t="shared" si="7"/>
        <v>#REF!</v>
      </c>
      <c r="K56" s="62" t="e">
        <f t="shared" si="8"/>
        <v>#REF!</v>
      </c>
      <c r="L56" s="60" t="e">
        <f t="shared" si="9"/>
        <v>#REF!</v>
      </c>
      <c r="M56" s="61" t="e">
        <f t="shared" si="10"/>
        <v>#REF!</v>
      </c>
      <c r="N56" s="62" t="e">
        <f t="shared" si="11"/>
        <v>#REF!</v>
      </c>
    </row>
    <row r="57" spans="1:14" ht="14.1" customHeight="1" x14ac:dyDescent="0.15">
      <c r="A57" s="51"/>
      <c r="B57" s="52" t="s">
        <v>175</v>
      </c>
      <c r="C57" s="53">
        <f>'BESCOM D-22(Current Tariff)'!P209</f>
        <v>4.3560000000000001E-2</v>
      </c>
      <c r="D57" s="54">
        <f>'BESCOM D-22(Current Tariff)'!Q209</f>
        <v>44.206699999999991</v>
      </c>
      <c r="E57" s="55">
        <f>'BESCOM D-22(Current Tariff)'!R209</f>
        <v>44.250259999999997</v>
      </c>
      <c r="F57" s="53" t="e">
        <f>#REF!</f>
        <v>#REF!</v>
      </c>
      <c r="G57" s="54" t="e">
        <f>#REF!</f>
        <v>#REF!</v>
      </c>
      <c r="H57" s="55" t="e">
        <f>#REF!</f>
        <v>#REF!</v>
      </c>
      <c r="I57" s="53" t="e">
        <f t="shared" si="6"/>
        <v>#REF!</v>
      </c>
      <c r="J57" s="54" t="e">
        <f t="shared" si="7"/>
        <v>#REF!</v>
      </c>
      <c r="K57" s="55" t="e">
        <f t="shared" si="8"/>
        <v>#REF!</v>
      </c>
      <c r="L57" s="53" t="e">
        <f t="shared" si="9"/>
        <v>#REF!</v>
      </c>
      <c r="M57" s="54" t="e">
        <f t="shared" si="10"/>
        <v>#REF!</v>
      </c>
      <c r="N57" s="55" t="e">
        <f t="shared" si="11"/>
        <v>#REF!</v>
      </c>
    </row>
    <row r="58" spans="1:14" ht="14.1" customHeight="1" x14ac:dyDescent="0.15">
      <c r="A58" s="56">
        <v>9</v>
      </c>
      <c r="B58" s="57" t="s">
        <v>312</v>
      </c>
      <c r="C58" s="48">
        <f>'BESCOM D-22(Current Tariff)'!P213</f>
        <v>14.1059625</v>
      </c>
      <c r="D58" s="49">
        <f>'BESCOM D-22(Current Tariff)'!Q213</f>
        <v>72.512299999999996</v>
      </c>
      <c r="E58" s="50">
        <f>'BESCOM D-22(Current Tariff)'!R213</f>
        <v>86.6182625</v>
      </c>
      <c r="F58" s="48" t="e">
        <f>#REF!</f>
        <v>#REF!</v>
      </c>
      <c r="G58" s="49" t="e">
        <f>#REF!</f>
        <v>#REF!</v>
      </c>
      <c r="H58" s="50" t="e">
        <f>#REF!</f>
        <v>#REF!</v>
      </c>
      <c r="I58" s="48" t="e">
        <f t="shared" si="6"/>
        <v>#REF!</v>
      </c>
      <c r="J58" s="49" t="e">
        <f t="shared" si="7"/>
        <v>#REF!</v>
      </c>
      <c r="K58" s="50" t="e">
        <f t="shared" si="8"/>
        <v>#REF!</v>
      </c>
      <c r="L58" s="48" t="e">
        <f t="shared" si="9"/>
        <v>#REF!</v>
      </c>
      <c r="M58" s="49" t="e">
        <f t="shared" si="10"/>
        <v>#REF!</v>
      </c>
      <c r="N58" s="50" t="e">
        <f t="shared" si="11"/>
        <v>#REF!</v>
      </c>
    </row>
    <row r="59" spans="1:14" ht="14.1" customHeight="1" x14ac:dyDescent="0.15">
      <c r="A59" s="56">
        <v>10</v>
      </c>
      <c r="B59" s="57" t="s">
        <v>313</v>
      </c>
      <c r="C59" s="48">
        <f>'BESCOM D-22(Current Tariff)'!P217</f>
        <v>206.70312000000001</v>
      </c>
      <c r="D59" s="49">
        <f>'BESCOM D-22(Current Tariff)'!Q217</f>
        <v>120.5904</v>
      </c>
      <c r="E59" s="50">
        <f>'BESCOM D-22(Current Tariff)'!R217</f>
        <v>327.29352</v>
      </c>
      <c r="F59" s="48" t="e">
        <f>#REF!</f>
        <v>#REF!</v>
      </c>
      <c r="G59" s="49" t="e">
        <f>#REF!</f>
        <v>#REF!</v>
      </c>
      <c r="H59" s="50" t="e">
        <f>#REF!</f>
        <v>#REF!</v>
      </c>
      <c r="I59" s="48" t="e">
        <f t="shared" si="6"/>
        <v>#REF!</v>
      </c>
      <c r="J59" s="49" t="e">
        <f t="shared" si="7"/>
        <v>#REF!</v>
      </c>
      <c r="K59" s="50" t="e">
        <f t="shared" si="8"/>
        <v>#REF!</v>
      </c>
      <c r="L59" s="48" t="e">
        <f t="shared" si="9"/>
        <v>#REF!</v>
      </c>
      <c r="M59" s="49" t="e">
        <f t="shared" si="10"/>
        <v>#REF!</v>
      </c>
      <c r="N59" s="50" t="e">
        <f t="shared" si="11"/>
        <v>#REF!</v>
      </c>
    </row>
    <row r="60" spans="1:14" ht="14.1" customHeight="1" x14ac:dyDescent="0.15">
      <c r="A60" s="51"/>
      <c r="B60" s="52" t="s">
        <v>176</v>
      </c>
      <c r="C60" s="53">
        <f>'BESCOM D-22(Current Tariff)'!P219</f>
        <v>220.80908250000002</v>
      </c>
      <c r="D60" s="54">
        <f>'BESCOM D-22(Current Tariff)'!Q219</f>
        <v>193.1027</v>
      </c>
      <c r="E60" s="55">
        <f>'BESCOM D-22(Current Tariff)'!R219</f>
        <v>413.91178250000002</v>
      </c>
      <c r="F60" s="53" t="e">
        <f>#REF!</f>
        <v>#REF!</v>
      </c>
      <c r="G60" s="54" t="e">
        <f>#REF!</f>
        <v>#REF!</v>
      </c>
      <c r="H60" s="55" t="e">
        <f>#REF!</f>
        <v>#REF!</v>
      </c>
      <c r="I60" s="53" t="e">
        <f t="shared" si="6"/>
        <v>#REF!</v>
      </c>
      <c r="J60" s="54" t="e">
        <f t="shared" si="7"/>
        <v>#REF!</v>
      </c>
      <c r="K60" s="55" t="e">
        <f t="shared" si="8"/>
        <v>#REF!</v>
      </c>
      <c r="L60" s="53" t="e">
        <f t="shared" si="9"/>
        <v>#REF!</v>
      </c>
      <c r="M60" s="54" t="e">
        <f t="shared" si="10"/>
        <v>#REF!</v>
      </c>
      <c r="N60" s="55" t="e">
        <f t="shared" si="11"/>
        <v>#REF!</v>
      </c>
    </row>
    <row r="61" spans="1:14" ht="14.1" customHeight="1" x14ac:dyDescent="0.15">
      <c r="A61" s="66"/>
      <c r="B61" s="67" t="s">
        <v>150</v>
      </c>
      <c r="C61" s="68">
        <f>'BESCOM D-22(Current Tariff)'!P221</f>
        <v>2343.3632474999999</v>
      </c>
      <c r="D61" s="69">
        <f>'BESCOM D-22(Current Tariff)'!Q221</f>
        <v>6275.1574604999996</v>
      </c>
      <c r="E61" s="70">
        <f>'BESCOM D-22(Current Tariff)'!R221</f>
        <v>8618.520708</v>
      </c>
      <c r="F61" s="68" t="e">
        <f>#REF!</f>
        <v>#REF!</v>
      </c>
      <c r="G61" s="69" t="e">
        <f>#REF!</f>
        <v>#REF!</v>
      </c>
      <c r="H61" s="70" t="e">
        <f>#REF!</f>
        <v>#REF!</v>
      </c>
      <c r="I61" s="68" t="e">
        <f t="shared" si="6"/>
        <v>#REF!</v>
      </c>
      <c r="J61" s="69" t="e">
        <f t="shared" si="7"/>
        <v>#REF!</v>
      </c>
      <c r="K61" s="70" t="e">
        <f t="shared" si="8"/>
        <v>#REF!</v>
      </c>
      <c r="L61" s="68" t="e">
        <f t="shared" si="9"/>
        <v>#REF!</v>
      </c>
      <c r="M61" s="69" t="e">
        <f t="shared" si="10"/>
        <v>#REF!</v>
      </c>
      <c r="N61" s="70" t="e">
        <f t="shared" si="11"/>
        <v>#REF!</v>
      </c>
    </row>
    <row r="62" spans="1:14" ht="14.1" customHeight="1" thickBot="1" x14ac:dyDescent="0.2">
      <c r="A62" s="71"/>
      <c r="B62" s="72" t="s">
        <v>151</v>
      </c>
      <c r="C62" s="73">
        <f>'BESCOM D-22(Current Tariff)'!P223</f>
        <v>5980.02136370885</v>
      </c>
      <c r="D62" s="74">
        <f>'BESCOM D-22(Current Tariff)'!Q223</f>
        <v>19024.214776728499</v>
      </c>
      <c r="E62" s="75">
        <f>'BESCOM D-22(Current Tariff)'!R223</f>
        <v>25004.236140437351</v>
      </c>
      <c r="F62" s="73" t="e">
        <f>#REF!</f>
        <v>#REF!</v>
      </c>
      <c r="G62" s="74" t="e">
        <f>#REF!</f>
        <v>#REF!</v>
      </c>
      <c r="H62" s="75" t="e">
        <f>#REF!</f>
        <v>#REF!</v>
      </c>
      <c r="I62" s="73" t="e">
        <f t="shared" si="6"/>
        <v>#REF!</v>
      </c>
      <c r="J62" s="74" t="e">
        <f t="shared" si="7"/>
        <v>#REF!</v>
      </c>
      <c r="K62" s="75" t="e">
        <f t="shared" si="8"/>
        <v>#REF!</v>
      </c>
      <c r="L62" s="73" t="e">
        <f t="shared" si="9"/>
        <v>#REF!</v>
      </c>
      <c r="M62" s="74" t="e">
        <f t="shared" si="10"/>
        <v>#REF!</v>
      </c>
      <c r="N62" s="75" t="e">
        <f t="shared" si="11"/>
        <v>#REF!</v>
      </c>
    </row>
    <row r="63" spans="1:14" x14ac:dyDescent="0.15">
      <c r="B63" s="76"/>
      <c r="F63" s="85" t="e">
        <f>F62-C62</f>
        <v>#REF!</v>
      </c>
      <c r="K63" s="85"/>
    </row>
    <row r="64" spans="1:14" x14ac:dyDescent="0.15">
      <c r="B64" s="76"/>
      <c r="K64" s="85"/>
    </row>
    <row r="65" spans="2:10" x14ac:dyDescent="0.15">
      <c r="B65" s="76"/>
      <c r="J65" s="85"/>
    </row>
    <row r="66" spans="2:10" x14ac:dyDescent="0.15">
      <c r="B66" s="76"/>
      <c r="J66" s="85"/>
    </row>
    <row r="67" spans="2:10" x14ac:dyDescent="0.15">
      <c r="B67" s="76"/>
      <c r="J67" s="85"/>
    </row>
    <row r="68" spans="2:10" x14ac:dyDescent="0.15">
      <c r="B68" s="76"/>
      <c r="J68" s="85"/>
    </row>
    <row r="69" spans="2:10" x14ac:dyDescent="0.15">
      <c r="B69" s="76"/>
    </row>
    <row r="70" spans="2:10" x14ac:dyDescent="0.15">
      <c r="B70" s="76"/>
    </row>
    <row r="71" spans="2:10" x14ac:dyDescent="0.15">
      <c r="B71" s="76"/>
    </row>
  </sheetData>
  <phoneticPr fontId="6" type="noConversion"/>
  <pageMargins left="1" right="0" top="1" bottom="0" header="0" footer="0"/>
  <pageSetup paperSize="9" scale="50" fitToHeight="10" orientation="landscape" copies="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99"/>
  <sheetViews>
    <sheetView topLeftCell="C102" zoomScaleNormal="100" zoomScalePageLayoutView="62" workbookViewId="0">
      <selection activeCell="E113" sqref="E113"/>
    </sheetView>
  </sheetViews>
  <sheetFormatPr defaultColWidth="9.16796875" defaultRowHeight="12.75" x14ac:dyDescent="0.15"/>
  <cols>
    <col min="1" max="1" width="5.12109375" style="120" customWidth="1"/>
    <col min="2" max="2" width="15.1015625" style="120" customWidth="1"/>
    <col min="3" max="3" width="24.2734375" style="120" customWidth="1"/>
    <col min="4" max="4" width="37.7578125" style="120" customWidth="1"/>
    <col min="5" max="5" width="13.078125" style="124" customWidth="1"/>
    <col min="6" max="6" width="36.94921875" style="120" customWidth="1"/>
    <col min="7" max="7" width="14.0234375" style="124" customWidth="1"/>
    <col min="8" max="16384" width="9.16796875" style="120"/>
  </cols>
  <sheetData>
    <row r="1" spans="1:9" s="116" customFormat="1" x14ac:dyDescent="0.15">
      <c r="A1" s="1608"/>
      <c r="B1" s="1608"/>
      <c r="C1" s="1608"/>
      <c r="D1" s="1608"/>
      <c r="E1" s="117"/>
      <c r="G1" s="117"/>
    </row>
    <row r="2" spans="1:9" s="116" customFormat="1" ht="27.75" customHeight="1" x14ac:dyDescent="0.25">
      <c r="A2" s="1611" t="s">
        <v>280</v>
      </c>
      <c r="B2" s="1611"/>
      <c r="C2" s="1611"/>
      <c r="D2" s="1611"/>
      <c r="E2" s="1611"/>
      <c r="F2" s="1611"/>
      <c r="G2" s="1611"/>
      <c r="I2" s="118">
        <v>0.8</v>
      </c>
    </row>
    <row r="3" spans="1:9" s="116" customFormat="1" x14ac:dyDescent="0.15">
      <c r="A3" s="88"/>
      <c r="B3" s="88"/>
      <c r="C3" s="88"/>
      <c r="D3" s="88"/>
      <c r="E3" s="89"/>
      <c r="F3" s="88"/>
      <c r="G3" s="87" t="s">
        <v>334</v>
      </c>
    </row>
    <row r="4" spans="1:9" s="116" customFormat="1" ht="24" x14ac:dyDescent="0.15">
      <c r="A4" s="86" t="s">
        <v>0</v>
      </c>
      <c r="B4" s="86" t="s">
        <v>1</v>
      </c>
      <c r="C4" s="86" t="s">
        <v>2</v>
      </c>
      <c r="D4" s="1593" t="s">
        <v>278</v>
      </c>
      <c r="E4" s="1593"/>
      <c r="F4" s="1593" t="s">
        <v>279</v>
      </c>
      <c r="G4" s="1593"/>
    </row>
    <row r="5" spans="1:9" x14ac:dyDescent="0.15">
      <c r="A5" s="119"/>
      <c r="B5" s="119"/>
      <c r="C5" s="88"/>
      <c r="D5" s="86" t="s">
        <v>3</v>
      </c>
      <c r="E5" s="87" t="s">
        <v>186</v>
      </c>
      <c r="F5" s="86" t="s">
        <v>3</v>
      </c>
      <c r="G5" s="87" t="s">
        <v>186</v>
      </c>
    </row>
    <row r="6" spans="1:9" ht="19.5" customHeight="1" x14ac:dyDescent="0.15">
      <c r="A6" s="1584">
        <v>1</v>
      </c>
      <c r="B6" s="1609" t="s">
        <v>187</v>
      </c>
      <c r="C6" s="1597" t="s">
        <v>188</v>
      </c>
      <c r="D6" s="88" t="s">
        <v>189</v>
      </c>
      <c r="E6" s="89">
        <v>30</v>
      </c>
      <c r="F6" s="88" t="s">
        <v>189</v>
      </c>
      <c r="G6" s="89">
        <v>30</v>
      </c>
    </row>
    <row r="7" spans="1:9" ht="120.75" x14ac:dyDescent="0.15">
      <c r="A7" s="1586"/>
      <c r="B7" s="1610"/>
      <c r="C7" s="1599"/>
      <c r="D7" s="88" t="s">
        <v>315</v>
      </c>
      <c r="E7" s="89">
        <v>5.36</v>
      </c>
      <c r="F7" s="88" t="s">
        <v>338</v>
      </c>
      <c r="G7" s="89">
        <f>E7+I2</f>
        <v>6.16</v>
      </c>
    </row>
    <row r="8" spans="1:9" x14ac:dyDescent="0.15">
      <c r="A8" s="1584">
        <v>2</v>
      </c>
      <c r="B8" s="1597" t="s">
        <v>281</v>
      </c>
      <c r="C8" s="1589" t="s">
        <v>284</v>
      </c>
      <c r="D8" s="88" t="s">
        <v>190</v>
      </c>
      <c r="E8" s="89" t="s">
        <v>186</v>
      </c>
      <c r="F8" s="88" t="s">
        <v>190</v>
      </c>
      <c r="G8" s="89" t="s">
        <v>186</v>
      </c>
    </row>
    <row r="9" spans="1:9" ht="24" x14ac:dyDescent="0.15">
      <c r="A9" s="1585"/>
      <c r="B9" s="1598"/>
      <c r="C9" s="1590"/>
      <c r="D9" s="88" t="s">
        <v>191</v>
      </c>
      <c r="E9" s="89">
        <v>25</v>
      </c>
      <c r="F9" s="88" t="s">
        <v>191</v>
      </c>
      <c r="G9" s="89">
        <v>25</v>
      </c>
    </row>
    <row r="10" spans="1:9" ht="24" x14ac:dyDescent="0.15">
      <c r="A10" s="1585"/>
      <c r="B10" s="1598"/>
      <c r="C10" s="1590"/>
      <c r="D10" s="88" t="s">
        <v>192</v>
      </c>
      <c r="E10" s="89">
        <v>35</v>
      </c>
      <c r="F10" s="88" t="s">
        <v>192</v>
      </c>
      <c r="G10" s="89">
        <v>35</v>
      </c>
    </row>
    <row r="11" spans="1:9" ht="24" x14ac:dyDescent="0.15">
      <c r="A11" s="1585"/>
      <c r="B11" s="1598"/>
      <c r="C11" s="1590"/>
      <c r="D11" s="88" t="s">
        <v>193</v>
      </c>
      <c r="E11" s="89"/>
      <c r="F11" s="88" t="s">
        <v>193</v>
      </c>
      <c r="G11" s="89"/>
    </row>
    <row r="12" spans="1:9" x14ac:dyDescent="0.15">
      <c r="A12" s="1585"/>
      <c r="B12" s="1598"/>
      <c r="C12" s="1590"/>
      <c r="D12" s="88" t="s">
        <v>194</v>
      </c>
      <c r="E12" s="121">
        <v>2.7</v>
      </c>
      <c r="F12" s="88" t="s">
        <v>194</v>
      </c>
      <c r="G12" s="121">
        <f>E12+$I$2</f>
        <v>3.5</v>
      </c>
    </row>
    <row r="13" spans="1:9" x14ac:dyDescent="0.15">
      <c r="A13" s="1585"/>
      <c r="B13" s="1598"/>
      <c r="C13" s="1590"/>
      <c r="D13" s="88" t="s">
        <v>195</v>
      </c>
      <c r="E13" s="121">
        <v>4</v>
      </c>
      <c r="F13" s="88" t="s">
        <v>195</v>
      </c>
      <c r="G13" s="121">
        <f>E13+$I$2</f>
        <v>4.8</v>
      </c>
    </row>
    <row r="14" spans="1:9" x14ac:dyDescent="0.15">
      <c r="A14" s="1585"/>
      <c r="B14" s="1598"/>
      <c r="C14" s="1590"/>
      <c r="D14" s="88" t="s">
        <v>196</v>
      </c>
      <c r="E14" s="89">
        <v>5.25</v>
      </c>
      <c r="F14" s="88" t="s">
        <v>196</v>
      </c>
      <c r="G14" s="121">
        <f>E14+$I$2</f>
        <v>6.05</v>
      </c>
    </row>
    <row r="15" spans="1:9" ht="21" customHeight="1" x14ac:dyDescent="0.15">
      <c r="A15" s="1585"/>
      <c r="B15" s="1598"/>
      <c r="C15" s="1591"/>
      <c r="D15" s="88" t="s">
        <v>282</v>
      </c>
      <c r="E15" s="89">
        <v>6.25</v>
      </c>
      <c r="F15" s="88" t="s">
        <v>282</v>
      </c>
      <c r="G15" s="121">
        <f>E15+$I$2</f>
        <v>7.05</v>
      </c>
    </row>
    <row r="16" spans="1:9" x14ac:dyDescent="0.15">
      <c r="A16" s="1585"/>
      <c r="B16" s="1598"/>
      <c r="C16" s="1589" t="s">
        <v>283</v>
      </c>
      <c r="D16" s="88" t="s">
        <v>190</v>
      </c>
      <c r="E16" s="89" t="s">
        <v>186</v>
      </c>
      <c r="F16" s="88" t="s">
        <v>190</v>
      </c>
      <c r="G16" s="89" t="s">
        <v>186</v>
      </c>
    </row>
    <row r="17" spans="1:7" ht="24" x14ac:dyDescent="0.15">
      <c r="A17" s="1585"/>
      <c r="B17" s="1598"/>
      <c r="C17" s="1590"/>
      <c r="D17" s="88" t="s">
        <v>191</v>
      </c>
      <c r="E17" s="89">
        <v>15</v>
      </c>
      <c r="F17" s="88" t="s">
        <v>191</v>
      </c>
      <c r="G17" s="89">
        <v>15</v>
      </c>
    </row>
    <row r="18" spans="1:7" ht="24" x14ac:dyDescent="0.15">
      <c r="A18" s="1585"/>
      <c r="B18" s="1598"/>
      <c r="C18" s="1590"/>
      <c r="D18" s="88" t="s">
        <v>197</v>
      </c>
      <c r="E18" s="89">
        <v>25</v>
      </c>
      <c r="F18" s="88" t="s">
        <v>197</v>
      </c>
      <c r="G18" s="89">
        <v>25</v>
      </c>
    </row>
    <row r="19" spans="1:7" ht="24" x14ac:dyDescent="0.15">
      <c r="A19" s="1585"/>
      <c r="B19" s="1598"/>
      <c r="C19" s="1590"/>
      <c r="D19" s="88" t="s">
        <v>198</v>
      </c>
      <c r="E19" s="89"/>
      <c r="F19" s="88" t="s">
        <v>198</v>
      </c>
      <c r="G19" s="89"/>
    </row>
    <row r="20" spans="1:7" x14ac:dyDescent="0.15">
      <c r="A20" s="1585"/>
      <c r="B20" s="1598"/>
      <c r="C20" s="1590"/>
      <c r="D20" s="88" t="s">
        <v>194</v>
      </c>
      <c r="E20" s="121">
        <v>2.6</v>
      </c>
      <c r="F20" s="88" t="s">
        <v>194</v>
      </c>
      <c r="G20" s="121">
        <f>E20+$I$2</f>
        <v>3.4000000000000004</v>
      </c>
    </row>
    <row r="21" spans="1:7" x14ac:dyDescent="0.15">
      <c r="A21" s="1585"/>
      <c r="B21" s="1598"/>
      <c r="C21" s="1590"/>
      <c r="D21" s="88" t="s">
        <v>195</v>
      </c>
      <c r="E21" s="121">
        <v>3.7</v>
      </c>
      <c r="F21" s="88" t="s">
        <v>195</v>
      </c>
      <c r="G21" s="121">
        <f>E21+$I$2</f>
        <v>4.5</v>
      </c>
    </row>
    <row r="22" spans="1:7" x14ac:dyDescent="0.15">
      <c r="A22" s="1585"/>
      <c r="B22" s="1598"/>
      <c r="C22" s="1590"/>
      <c r="D22" s="88" t="s">
        <v>196</v>
      </c>
      <c r="E22" s="89">
        <v>4.95</v>
      </c>
      <c r="F22" s="88" t="s">
        <v>196</v>
      </c>
      <c r="G22" s="121">
        <f>E22+$I$2</f>
        <v>5.75</v>
      </c>
    </row>
    <row r="23" spans="1:7" x14ac:dyDescent="0.15">
      <c r="A23" s="1585"/>
      <c r="B23" s="1598"/>
      <c r="C23" s="1591"/>
      <c r="D23" s="88" t="s">
        <v>282</v>
      </c>
      <c r="E23" s="121">
        <v>5.75</v>
      </c>
      <c r="F23" s="88" t="s">
        <v>282</v>
      </c>
      <c r="G23" s="121">
        <f>E23+$I$2</f>
        <v>6.55</v>
      </c>
    </row>
    <row r="24" spans="1:7" x14ac:dyDescent="0.15">
      <c r="A24" s="1586"/>
      <c r="B24" s="1599"/>
      <c r="C24" s="88"/>
      <c r="D24" s="1594"/>
      <c r="E24" s="1594"/>
      <c r="F24" s="1594"/>
      <c r="G24" s="1594"/>
    </row>
    <row r="25" spans="1:7" x14ac:dyDescent="0.15">
      <c r="A25" s="1584">
        <v>3</v>
      </c>
      <c r="B25" s="1604" t="s">
        <v>324</v>
      </c>
      <c r="C25" s="1589" t="s">
        <v>285</v>
      </c>
      <c r="D25" s="88" t="s">
        <v>190</v>
      </c>
      <c r="E25" s="89" t="s">
        <v>186</v>
      </c>
      <c r="F25" s="88" t="s">
        <v>190</v>
      </c>
      <c r="G25" s="89" t="s">
        <v>186</v>
      </c>
    </row>
    <row r="26" spans="1:7" ht="24" x14ac:dyDescent="0.15">
      <c r="A26" s="1585"/>
      <c r="B26" s="1590"/>
      <c r="C26" s="1590"/>
      <c r="D26" s="88" t="s">
        <v>287</v>
      </c>
      <c r="E26" s="89">
        <v>65</v>
      </c>
      <c r="F26" s="88" t="s">
        <v>287</v>
      </c>
      <c r="G26" s="89">
        <v>65</v>
      </c>
    </row>
    <row r="27" spans="1:7" x14ac:dyDescent="0.15">
      <c r="A27" s="1585"/>
      <c r="B27" s="1590"/>
      <c r="C27" s="1590"/>
      <c r="D27" s="88" t="s">
        <v>199</v>
      </c>
      <c r="E27" s="89"/>
      <c r="F27" s="88" t="s">
        <v>199</v>
      </c>
      <c r="G27" s="89"/>
    </row>
    <row r="28" spans="1:7" x14ac:dyDescent="0.15">
      <c r="A28" s="1585"/>
      <c r="B28" s="1590"/>
      <c r="C28" s="1590"/>
      <c r="D28" s="88" t="s">
        <v>200</v>
      </c>
      <c r="E28" s="89"/>
      <c r="F28" s="88" t="s">
        <v>200</v>
      </c>
      <c r="G28" s="89"/>
    </row>
    <row r="29" spans="1:7" x14ac:dyDescent="0.15">
      <c r="A29" s="1585"/>
      <c r="B29" s="1590"/>
      <c r="C29" s="1590"/>
      <c r="D29" s="88" t="s">
        <v>288</v>
      </c>
      <c r="E29" s="121">
        <v>6</v>
      </c>
      <c r="F29" s="88" t="s">
        <v>288</v>
      </c>
      <c r="G29" s="121">
        <f>E29+$I$2</f>
        <v>6.8</v>
      </c>
    </row>
    <row r="30" spans="1:7" x14ac:dyDescent="0.15">
      <c r="A30" s="1585"/>
      <c r="B30" s="1590"/>
      <c r="C30" s="1591"/>
      <c r="D30" s="88" t="s">
        <v>289</v>
      </c>
      <c r="E30" s="121">
        <v>7.2</v>
      </c>
      <c r="F30" s="88" t="s">
        <v>289</v>
      </c>
      <c r="G30" s="121">
        <f>E30+$I$2</f>
        <v>8</v>
      </c>
    </row>
    <row r="31" spans="1:7" x14ac:dyDescent="0.15">
      <c r="A31" s="1585"/>
      <c r="B31" s="1590"/>
      <c r="C31" s="1589" t="s">
        <v>286</v>
      </c>
      <c r="D31" s="88" t="s">
        <v>190</v>
      </c>
      <c r="E31" s="89" t="s">
        <v>186</v>
      </c>
      <c r="F31" s="88" t="s">
        <v>190</v>
      </c>
      <c r="G31" s="89" t="s">
        <v>186</v>
      </c>
    </row>
    <row r="32" spans="1:7" ht="24" x14ac:dyDescent="0.15">
      <c r="A32" s="1585"/>
      <c r="B32" s="1590"/>
      <c r="C32" s="1590"/>
      <c r="D32" s="88" t="s">
        <v>290</v>
      </c>
      <c r="E32" s="89">
        <v>50</v>
      </c>
      <c r="F32" s="88" t="s">
        <v>290</v>
      </c>
      <c r="G32" s="89">
        <v>50</v>
      </c>
    </row>
    <row r="33" spans="1:7" x14ac:dyDescent="0.15">
      <c r="A33" s="1585"/>
      <c r="B33" s="1590"/>
      <c r="C33" s="1590"/>
      <c r="D33" s="88" t="s">
        <v>199</v>
      </c>
      <c r="E33" s="89"/>
      <c r="F33" s="88" t="s">
        <v>199</v>
      </c>
      <c r="G33" s="89"/>
    </row>
    <row r="34" spans="1:7" x14ac:dyDescent="0.15">
      <c r="A34" s="1585"/>
      <c r="B34" s="1590"/>
      <c r="C34" s="1590"/>
      <c r="D34" s="88" t="s">
        <v>200</v>
      </c>
      <c r="E34" s="89"/>
      <c r="F34" s="88" t="s">
        <v>200</v>
      </c>
      <c r="G34" s="89"/>
    </row>
    <row r="35" spans="1:7" x14ac:dyDescent="0.15">
      <c r="A35" s="1585"/>
      <c r="B35" s="1590"/>
      <c r="C35" s="1590"/>
      <c r="D35" s="88" t="s">
        <v>288</v>
      </c>
      <c r="E35" s="122">
        <v>5.5</v>
      </c>
      <c r="F35" s="88" t="s">
        <v>288</v>
      </c>
      <c r="G35" s="122">
        <f>E35+$I$2</f>
        <v>6.3</v>
      </c>
    </row>
    <row r="36" spans="1:7" x14ac:dyDescent="0.15">
      <c r="A36" s="1586"/>
      <c r="B36" s="1606"/>
      <c r="C36" s="1591"/>
      <c r="D36" s="88" t="s">
        <v>289</v>
      </c>
      <c r="E36" s="122">
        <v>6.7</v>
      </c>
      <c r="F36" s="88" t="s">
        <v>289</v>
      </c>
      <c r="G36" s="122">
        <f>E36+$I$2</f>
        <v>7.5</v>
      </c>
    </row>
    <row r="37" spans="1:7" x14ac:dyDescent="0.15">
      <c r="A37" s="1584">
        <v>4</v>
      </c>
      <c r="B37" s="1604" t="s">
        <v>201</v>
      </c>
      <c r="C37" s="88"/>
      <c r="D37" s="1594"/>
      <c r="E37" s="1594"/>
      <c r="F37" s="1594"/>
      <c r="G37" s="1594"/>
    </row>
    <row r="38" spans="1:7" x14ac:dyDescent="0.15">
      <c r="A38" s="1585"/>
      <c r="B38" s="1605"/>
      <c r="C38" s="1604" t="s">
        <v>292</v>
      </c>
      <c r="D38" s="88" t="s">
        <v>190</v>
      </c>
      <c r="E38" s="89" t="s">
        <v>186</v>
      </c>
      <c r="F38" s="88" t="s">
        <v>190</v>
      </c>
      <c r="G38" s="89" t="s">
        <v>186</v>
      </c>
    </row>
    <row r="39" spans="1:7" x14ac:dyDescent="0.15">
      <c r="A39" s="1585"/>
      <c r="B39" s="1605"/>
      <c r="C39" s="1605"/>
      <c r="D39" s="88" t="s">
        <v>202</v>
      </c>
      <c r="E39" s="89">
        <v>40</v>
      </c>
      <c r="F39" s="88" t="s">
        <v>202</v>
      </c>
      <c r="G39" s="89">
        <v>40</v>
      </c>
    </row>
    <row r="40" spans="1:7" x14ac:dyDescent="0.15">
      <c r="A40" s="1585"/>
      <c r="B40" s="1605"/>
      <c r="C40" s="1605"/>
      <c r="D40" s="88" t="s">
        <v>199</v>
      </c>
      <c r="E40" s="89"/>
      <c r="F40" s="88" t="s">
        <v>199</v>
      </c>
      <c r="G40" s="89"/>
    </row>
    <row r="41" spans="1:7" x14ac:dyDescent="0.15">
      <c r="A41" s="1585"/>
      <c r="B41" s="1605"/>
      <c r="C41" s="1605"/>
      <c r="D41" s="88" t="s">
        <v>200</v>
      </c>
      <c r="E41" s="89"/>
      <c r="F41" s="88" t="s">
        <v>200</v>
      </c>
      <c r="G41" s="89"/>
    </row>
    <row r="42" spans="1:7" x14ac:dyDescent="0.15">
      <c r="A42" s="1585"/>
      <c r="B42" s="1605"/>
      <c r="C42" s="1605"/>
      <c r="D42" s="88" t="s">
        <v>203</v>
      </c>
      <c r="E42" s="121">
        <v>6.75</v>
      </c>
      <c r="F42" s="88" t="s">
        <v>203</v>
      </c>
      <c r="G42" s="121">
        <f>E42+$I$2</f>
        <v>7.55</v>
      </c>
    </row>
    <row r="43" spans="1:7" x14ac:dyDescent="0.15">
      <c r="A43" s="1585"/>
      <c r="B43" s="1605"/>
      <c r="C43" s="1606"/>
      <c r="D43" s="88" t="s">
        <v>204</v>
      </c>
      <c r="E43" s="121">
        <v>7.75</v>
      </c>
      <c r="F43" s="88" t="s">
        <v>204</v>
      </c>
      <c r="G43" s="121">
        <f>E43+$I$2</f>
        <v>8.5500000000000007</v>
      </c>
    </row>
    <row r="44" spans="1:7" x14ac:dyDescent="0.15">
      <c r="A44" s="1585"/>
      <c r="B44" s="1605"/>
      <c r="C44" s="1604" t="s">
        <v>291</v>
      </c>
      <c r="D44" s="88" t="s">
        <v>190</v>
      </c>
      <c r="E44" s="89" t="s">
        <v>186</v>
      </c>
      <c r="F44" s="88" t="s">
        <v>190</v>
      </c>
      <c r="G44" s="89" t="s">
        <v>186</v>
      </c>
    </row>
    <row r="45" spans="1:7" x14ac:dyDescent="0.15">
      <c r="A45" s="1585"/>
      <c r="B45" s="1605"/>
      <c r="C45" s="1605"/>
      <c r="D45" s="88" t="s">
        <v>202</v>
      </c>
      <c r="E45" s="89">
        <v>30</v>
      </c>
      <c r="F45" s="88" t="s">
        <v>202</v>
      </c>
      <c r="G45" s="89">
        <v>30</v>
      </c>
    </row>
    <row r="46" spans="1:7" x14ac:dyDescent="0.15">
      <c r="A46" s="1585"/>
      <c r="B46" s="1605"/>
      <c r="C46" s="1605"/>
      <c r="D46" s="88" t="s">
        <v>199</v>
      </c>
      <c r="E46" s="89"/>
      <c r="F46" s="88" t="s">
        <v>199</v>
      </c>
      <c r="G46" s="89"/>
    </row>
    <row r="47" spans="1:7" x14ac:dyDescent="0.15">
      <c r="A47" s="1585"/>
      <c r="B47" s="1605"/>
      <c r="C47" s="1605"/>
      <c r="D47" s="88" t="s">
        <v>200</v>
      </c>
      <c r="E47" s="89"/>
      <c r="F47" s="88" t="s">
        <v>200</v>
      </c>
      <c r="G47" s="89"/>
    </row>
    <row r="48" spans="1:7" x14ac:dyDescent="0.15">
      <c r="A48" s="1585"/>
      <c r="B48" s="1605"/>
      <c r="C48" s="1605"/>
      <c r="D48" s="88" t="s">
        <v>203</v>
      </c>
      <c r="E48" s="89">
        <v>6.25</v>
      </c>
      <c r="F48" s="88" t="s">
        <v>203</v>
      </c>
      <c r="G48" s="121">
        <f>E48+$I$2</f>
        <v>7.05</v>
      </c>
    </row>
    <row r="49" spans="1:7" x14ac:dyDescent="0.15">
      <c r="A49" s="1586"/>
      <c r="B49" s="1605"/>
      <c r="C49" s="1606"/>
      <c r="D49" s="88" t="s">
        <v>204</v>
      </c>
      <c r="E49" s="89">
        <v>7.25</v>
      </c>
      <c r="F49" s="88" t="s">
        <v>204</v>
      </c>
      <c r="G49" s="121">
        <f>E49+$I$2</f>
        <v>8.0500000000000007</v>
      </c>
    </row>
    <row r="50" spans="1:7" x14ac:dyDescent="0.15">
      <c r="A50" s="1584">
        <v>5</v>
      </c>
      <c r="B50" s="1584" t="s">
        <v>205</v>
      </c>
      <c r="C50" s="88"/>
      <c r="D50" s="88" t="s">
        <v>206</v>
      </c>
      <c r="E50" s="89" t="s">
        <v>186</v>
      </c>
      <c r="F50" s="88" t="s">
        <v>206</v>
      </c>
      <c r="G50" s="89" t="s">
        <v>186</v>
      </c>
    </row>
    <row r="51" spans="1:7" ht="57" customHeight="1" x14ac:dyDescent="0.15">
      <c r="A51" s="1585"/>
      <c r="B51" s="1607"/>
      <c r="C51" s="1600" t="s">
        <v>207</v>
      </c>
      <c r="D51" s="88" t="s">
        <v>208</v>
      </c>
      <c r="E51" s="89" t="s">
        <v>209</v>
      </c>
      <c r="F51" s="88" t="s">
        <v>208</v>
      </c>
      <c r="G51" s="89" t="s">
        <v>209</v>
      </c>
    </row>
    <row r="52" spans="1:7" ht="16.5" customHeight="1" x14ac:dyDescent="0.15">
      <c r="A52" s="1585"/>
      <c r="B52" s="1607"/>
      <c r="C52" s="1601"/>
      <c r="D52" s="88" t="s">
        <v>210</v>
      </c>
      <c r="E52" s="89"/>
      <c r="F52" s="88" t="s">
        <v>210</v>
      </c>
      <c r="G52" s="89"/>
    </row>
    <row r="53" spans="1:7" ht="15.75" customHeight="1" x14ac:dyDescent="0.15">
      <c r="A53" s="1585"/>
      <c r="B53" s="1607"/>
      <c r="C53" s="1601"/>
      <c r="D53" s="88" t="s">
        <v>4</v>
      </c>
      <c r="E53" s="89">
        <v>2.0299999999999998</v>
      </c>
      <c r="F53" s="88" t="s">
        <v>4</v>
      </c>
      <c r="G53" s="89">
        <f>E53+I2</f>
        <v>2.83</v>
      </c>
    </row>
    <row r="54" spans="1:7" ht="57" customHeight="1" x14ac:dyDescent="0.15">
      <c r="A54" s="1585"/>
      <c r="B54" s="1607"/>
      <c r="C54" s="1601"/>
      <c r="D54" s="88" t="s">
        <v>211</v>
      </c>
      <c r="E54" s="89" t="s">
        <v>209</v>
      </c>
      <c r="F54" s="88" t="s">
        <v>211</v>
      </c>
      <c r="G54" s="89" t="s">
        <v>209</v>
      </c>
    </row>
    <row r="55" spans="1:7" ht="16.5" customHeight="1" x14ac:dyDescent="0.15">
      <c r="A55" s="1585"/>
      <c r="B55" s="1607"/>
      <c r="C55" s="1601"/>
      <c r="D55" s="88" t="s">
        <v>210</v>
      </c>
      <c r="E55" s="89"/>
      <c r="F55" s="88" t="s">
        <v>210</v>
      </c>
      <c r="G55" s="89"/>
    </row>
    <row r="56" spans="1:7" ht="18.75" customHeight="1" x14ac:dyDescent="0.15">
      <c r="A56" s="1585"/>
      <c r="B56" s="1607"/>
      <c r="C56" s="1601"/>
      <c r="D56" s="88" t="s">
        <v>4</v>
      </c>
      <c r="E56" s="89">
        <v>2.0299999999999998</v>
      </c>
      <c r="F56" s="88" t="s">
        <v>4</v>
      </c>
      <c r="G56" s="89">
        <f>E56+I2</f>
        <v>2.83</v>
      </c>
    </row>
    <row r="57" spans="1:7" ht="99" customHeight="1" x14ac:dyDescent="0.15">
      <c r="A57" s="1585"/>
      <c r="B57" s="1607"/>
      <c r="C57" s="1601"/>
      <c r="D57" s="88" t="s">
        <v>212</v>
      </c>
      <c r="E57" s="89">
        <v>2.0299999999999998</v>
      </c>
      <c r="F57" s="88" t="s">
        <v>212</v>
      </c>
      <c r="G57" s="89">
        <f>E57+I2</f>
        <v>2.83</v>
      </c>
    </row>
    <row r="58" spans="1:7" ht="35.25" x14ac:dyDescent="0.15">
      <c r="A58" s="1585"/>
      <c r="B58" s="1607"/>
      <c r="C58" s="1601"/>
      <c r="D58" s="88" t="s">
        <v>213</v>
      </c>
      <c r="E58" s="89" t="s">
        <v>186</v>
      </c>
      <c r="F58" s="88" t="s">
        <v>213</v>
      </c>
      <c r="G58" s="89" t="s">
        <v>186</v>
      </c>
    </row>
    <row r="59" spans="1:7" x14ac:dyDescent="0.15">
      <c r="A59" s="1585"/>
      <c r="B59" s="1607"/>
      <c r="C59" s="1601"/>
      <c r="D59" s="88" t="s">
        <v>210</v>
      </c>
      <c r="E59" s="89"/>
      <c r="F59" s="88" t="s">
        <v>210</v>
      </c>
      <c r="G59" s="89"/>
    </row>
    <row r="60" spans="1:7" x14ac:dyDescent="0.15">
      <c r="A60" s="1585"/>
      <c r="B60" s="1586"/>
      <c r="C60" s="1602"/>
      <c r="D60" s="88" t="s">
        <v>214</v>
      </c>
      <c r="E60" s="89">
        <v>2.0299999999999998</v>
      </c>
      <c r="F60" s="88" t="s">
        <v>214</v>
      </c>
      <c r="G60" s="89">
        <f>E60+I2</f>
        <v>2.83</v>
      </c>
    </row>
    <row r="61" spans="1:7" x14ac:dyDescent="0.15">
      <c r="A61" s="1585"/>
      <c r="B61" s="119"/>
      <c r="C61" s="88"/>
      <c r="D61" s="88"/>
      <c r="E61" s="89"/>
      <c r="F61" s="88"/>
      <c r="G61" s="89"/>
    </row>
    <row r="62" spans="1:7" x14ac:dyDescent="0.15">
      <c r="A62" s="1585"/>
      <c r="B62" s="119" t="s">
        <v>215</v>
      </c>
      <c r="C62" s="1589" t="s">
        <v>216</v>
      </c>
      <c r="D62" s="88" t="s">
        <v>210</v>
      </c>
      <c r="E62" s="89">
        <v>30</v>
      </c>
      <c r="F62" s="88" t="s">
        <v>210</v>
      </c>
      <c r="G62" s="89">
        <v>30</v>
      </c>
    </row>
    <row r="63" spans="1:7" x14ac:dyDescent="0.15">
      <c r="A63" s="1585"/>
      <c r="B63" s="119"/>
      <c r="C63" s="1591"/>
      <c r="D63" s="88" t="s">
        <v>214</v>
      </c>
      <c r="E63" s="89">
        <v>2.15</v>
      </c>
      <c r="F63" s="88" t="s">
        <v>214</v>
      </c>
      <c r="G63" s="121">
        <f>E63+$I$2</f>
        <v>2.95</v>
      </c>
    </row>
    <row r="64" spans="1:7" x14ac:dyDescent="0.15">
      <c r="A64" s="1585"/>
      <c r="B64" s="119"/>
      <c r="C64" s="119"/>
      <c r="D64" s="88"/>
      <c r="E64" s="89"/>
      <c r="F64" s="88"/>
      <c r="G64" s="89"/>
    </row>
    <row r="65" spans="1:7" x14ac:dyDescent="0.15">
      <c r="A65" s="1585"/>
      <c r="B65" s="119" t="s">
        <v>217</v>
      </c>
      <c r="C65" s="1588" t="s">
        <v>218</v>
      </c>
      <c r="D65" s="88" t="s">
        <v>210</v>
      </c>
      <c r="E65" s="89">
        <v>20</v>
      </c>
      <c r="F65" s="88" t="s">
        <v>210</v>
      </c>
      <c r="G65" s="89">
        <v>20</v>
      </c>
    </row>
    <row r="66" spans="1:7" x14ac:dyDescent="0.15">
      <c r="A66" s="1585"/>
      <c r="B66" s="119"/>
      <c r="C66" s="1588"/>
      <c r="D66" s="88" t="s">
        <v>214</v>
      </c>
      <c r="E66" s="89">
        <v>2.15</v>
      </c>
      <c r="F66" s="88" t="s">
        <v>214</v>
      </c>
      <c r="G66" s="121">
        <f>E63+$I$2</f>
        <v>2.95</v>
      </c>
    </row>
    <row r="67" spans="1:7" x14ac:dyDescent="0.15">
      <c r="A67" s="1585"/>
      <c r="B67" s="119" t="s">
        <v>219</v>
      </c>
      <c r="C67" s="1588" t="s">
        <v>218</v>
      </c>
      <c r="D67" s="88" t="s">
        <v>210</v>
      </c>
      <c r="E67" s="89">
        <v>30</v>
      </c>
      <c r="F67" s="88" t="s">
        <v>210</v>
      </c>
      <c r="G67" s="89">
        <v>30</v>
      </c>
    </row>
    <row r="68" spans="1:7" x14ac:dyDescent="0.15">
      <c r="A68" s="1586"/>
      <c r="B68" s="119"/>
      <c r="C68" s="1588"/>
      <c r="D68" s="88" t="s">
        <v>214</v>
      </c>
      <c r="E68" s="89">
        <v>2.15</v>
      </c>
      <c r="F68" s="88" t="s">
        <v>214</v>
      </c>
      <c r="G68" s="121">
        <f>E68+$I$2</f>
        <v>2.95</v>
      </c>
    </row>
    <row r="69" spans="1:7" x14ac:dyDescent="0.15">
      <c r="A69" s="1584">
        <v>6</v>
      </c>
      <c r="B69" s="1600" t="s">
        <v>220</v>
      </c>
      <c r="C69" s="119" t="s">
        <v>221</v>
      </c>
      <c r="D69" s="1594"/>
      <c r="E69" s="1594"/>
      <c r="F69" s="1594"/>
      <c r="G69" s="1594"/>
    </row>
    <row r="70" spans="1:7" x14ac:dyDescent="0.15">
      <c r="A70" s="1585"/>
      <c r="B70" s="1598"/>
      <c r="C70" s="1597" t="s">
        <v>294</v>
      </c>
      <c r="D70" s="88" t="s">
        <v>222</v>
      </c>
      <c r="E70" s="89" t="s">
        <v>186</v>
      </c>
      <c r="F70" s="88" t="s">
        <v>222</v>
      </c>
      <c r="G70" s="89" t="s">
        <v>186</v>
      </c>
    </row>
    <row r="71" spans="1:7" x14ac:dyDescent="0.15">
      <c r="A71" s="1585"/>
      <c r="B71" s="1598"/>
      <c r="C71" s="1598"/>
      <c r="D71" s="88" t="s">
        <v>223</v>
      </c>
      <c r="E71" s="89">
        <v>30</v>
      </c>
      <c r="F71" s="88" t="s">
        <v>223</v>
      </c>
      <c r="G71" s="89">
        <v>30</v>
      </c>
    </row>
    <row r="72" spans="1:7" x14ac:dyDescent="0.15">
      <c r="A72" s="1585"/>
      <c r="B72" s="1598"/>
      <c r="C72" s="1598"/>
      <c r="D72" s="88" t="s">
        <v>224</v>
      </c>
      <c r="E72" s="89">
        <v>30</v>
      </c>
      <c r="F72" s="88" t="s">
        <v>224</v>
      </c>
      <c r="G72" s="89">
        <v>30</v>
      </c>
    </row>
    <row r="73" spans="1:7" x14ac:dyDescent="0.15">
      <c r="A73" s="1585"/>
      <c r="B73" s="1598"/>
      <c r="C73" s="1598"/>
      <c r="D73" s="88" t="s">
        <v>225</v>
      </c>
      <c r="E73" s="89">
        <v>40</v>
      </c>
      <c r="F73" s="88" t="s">
        <v>225</v>
      </c>
      <c r="G73" s="89">
        <v>40</v>
      </c>
    </row>
    <row r="74" spans="1:7" x14ac:dyDescent="0.15">
      <c r="A74" s="1585"/>
      <c r="B74" s="1598"/>
      <c r="C74" s="1598"/>
      <c r="D74" s="88" t="s">
        <v>226</v>
      </c>
      <c r="E74" s="89">
        <v>110</v>
      </c>
      <c r="F74" s="88" t="s">
        <v>226</v>
      </c>
      <c r="G74" s="89">
        <v>110</v>
      </c>
    </row>
    <row r="75" spans="1:7" x14ac:dyDescent="0.15">
      <c r="A75" s="1585"/>
      <c r="B75" s="1598"/>
      <c r="C75" s="1598"/>
      <c r="D75" s="88" t="s">
        <v>199</v>
      </c>
      <c r="E75" s="89"/>
      <c r="F75" s="88" t="s">
        <v>199</v>
      </c>
      <c r="G75" s="89"/>
    </row>
    <row r="76" spans="1:7" x14ac:dyDescent="0.15">
      <c r="A76" s="1585"/>
      <c r="B76" s="1598"/>
      <c r="C76" s="1598"/>
      <c r="D76" s="88" t="s">
        <v>200</v>
      </c>
      <c r="E76" s="89"/>
      <c r="F76" s="88" t="s">
        <v>200</v>
      </c>
      <c r="G76" s="89"/>
    </row>
    <row r="77" spans="1:7" x14ac:dyDescent="0.15">
      <c r="A77" s="1585"/>
      <c r="B77" s="1598"/>
      <c r="C77" s="1598"/>
      <c r="D77" s="88" t="s">
        <v>227</v>
      </c>
      <c r="E77" s="121">
        <v>4.75</v>
      </c>
      <c r="F77" s="88" t="s">
        <v>227</v>
      </c>
      <c r="G77" s="121">
        <f>E77+$I$2</f>
        <v>5.55</v>
      </c>
    </row>
    <row r="78" spans="1:7" x14ac:dyDescent="0.15">
      <c r="A78" s="1585"/>
      <c r="B78" s="1598"/>
      <c r="C78" s="1598"/>
      <c r="D78" s="88" t="s">
        <v>295</v>
      </c>
      <c r="E78" s="121">
        <v>5.85</v>
      </c>
      <c r="F78" s="88" t="s">
        <v>295</v>
      </c>
      <c r="G78" s="121">
        <f>E78+$I$2</f>
        <v>6.6499999999999995</v>
      </c>
    </row>
    <row r="79" spans="1:7" x14ac:dyDescent="0.15">
      <c r="A79" s="1585"/>
      <c r="B79" s="1598"/>
      <c r="C79" s="1598"/>
      <c r="D79" s="88" t="s">
        <v>230</v>
      </c>
      <c r="E79" s="89"/>
      <c r="F79" s="88" t="s">
        <v>230</v>
      </c>
      <c r="G79" s="89"/>
    </row>
    <row r="80" spans="1:7" x14ac:dyDescent="0.15">
      <c r="A80" s="1585"/>
      <c r="B80" s="1598"/>
      <c r="C80" s="1598"/>
      <c r="D80" s="88" t="s">
        <v>224</v>
      </c>
      <c r="E80" s="89">
        <v>50</v>
      </c>
      <c r="F80" s="88" t="s">
        <v>224</v>
      </c>
      <c r="G80" s="89">
        <v>50</v>
      </c>
    </row>
    <row r="81" spans="1:7" x14ac:dyDescent="0.15">
      <c r="A81" s="1585"/>
      <c r="B81" s="1598"/>
      <c r="C81" s="1598"/>
      <c r="D81" s="88" t="s">
        <v>231</v>
      </c>
      <c r="E81" s="89">
        <v>70</v>
      </c>
      <c r="F81" s="88" t="s">
        <v>231</v>
      </c>
      <c r="G81" s="89">
        <v>70</v>
      </c>
    </row>
    <row r="82" spans="1:7" x14ac:dyDescent="0.15">
      <c r="A82" s="1585"/>
      <c r="B82" s="1598"/>
      <c r="C82" s="1598"/>
      <c r="D82" s="88" t="s">
        <v>226</v>
      </c>
      <c r="E82" s="89">
        <v>160</v>
      </c>
      <c r="F82" s="88" t="s">
        <v>226</v>
      </c>
      <c r="G82" s="89">
        <v>160</v>
      </c>
    </row>
    <row r="83" spans="1:7" x14ac:dyDescent="0.15">
      <c r="A83" s="1585"/>
      <c r="B83" s="1598"/>
      <c r="C83" s="1598"/>
      <c r="D83" s="88" t="s">
        <v>199</v>
      </c>
      <c r="E83" s="89"/>
      <c r="F83" s="88" t="s">
        <v>199</v>
      </c>
      <c r="G83" s="89"/>
    </row>
    <row r="84" spans="1:7" x14ac:dyDescent="0.15">
      <c r="A84" s="1585"/>
      <c r="B84" s="1598"/>
      <c r="C84" s="1599"/>
      <c r="D84" s="88" t="s">
        <v>232</v>
      </c>
      <c r="E84" s="89"/>
      <c r="F84" s="88" t="s">
        <v>232</v>
      </c>
      <c r="G84" s="89"/>
    </row>
    <row r="85" spans="1:7" x14ac:dyDescent="0.15">
      <c r="A85" s="1585"/>
      <c r="B85" s="1598"/>
      <c r="C85" s="1597" t="s">
        <v>293</v>
      </c>
      <c r="D85" s="88" t="s">
        <v>223</v>
      </c>
      <c r="E85" s="89">
        <v>25</v>
      </c>
      <c r="F85" s="88" t="s">
        <v>223</v>
      </c>
      <c r="G85" s="89">
        <v>25</v>
      </c>
    </row>
    <row r="86" spans="1:7" x14ac:dyDescent="0.15">
      <c r="A86" s="1585"/>
      <c r="B86" s="1598"/>
      <c r="C86" s="1598"/>
      <c r="D86" s="88" t="s">
        <v>224</v>
      </c>
      <c r="E86" s="89">
        <v>30</v>
      </c>
      <c r="F86" s="88" t="s">
        <v>224</v>
      </c>
      <c r="G86" s="89">
        <v>30</v>
      </c>
    </row>
    <row r="87" spans="1:7" x14ac:dyDescent="0.15">
      <c r="A87" s="1585"/>
      <c r="B87" s="1598"/>
      <c r="C87" s="1598"/>
      <c r="D87" s="88" t="s">
        <v>231</v>
      </c>
      <c r="E87" s="89">
        <v>35</v>
      </c>
      <c r="F87" s="88" t="s">
        <v>231</v>
      </c>
      <c r="G87" s="89">
        <v>35</v>
      </c>
    </row>
    <row r="88" spans="1:7" x14ac:dyDescent="0.15">
      <c r="A88" s="1585"/>
      <c r="B88" s="1598"/>
      <c r="C88" s="1598"/>
      <c r="D88" s="88" t="s">
        <v>226</v>
      </c>
      <c r="E88" s="89">
        <v>100</v>
      </c>
      <c r="F88" s="88" t="s">
        <v>226</v>
      </c>
      <c r="G88" s="89">
        <v>100</v>
      </c>
    </row>
    <row r="89" spans="1:7" x14ac:dyDescent="0.15">
      <c r="A89" s="1585"/>
      <c r="B89" s="1598"/>
      <c r="C89" s="1598"/>
      <c r="D89" s="88" t="s">
        <v>199</v>
      </c>
      <c r="E89" s="89"/>
      <c r="F89" s="88" t="s">
        <v>199</v>
      </c>
      <c r="G89" s="89"/>
    </row>
    <row r="90" spans="1:7" x14ac:dyDescent="0.15">
      <c r="A90" s="1585"/>
      <c r="B90" s="1598"/>
      <c r="C90" s="1598"/>
      <c r="D90" s="88" t="s">
        <v>200</v>
      </c>
      <c r="E90" s="89"/>
      <c r="F90" s="88" t="s">
        <v>200</v>
      </c>
      <c r="G90" s="89"/>
    </row>
    <row r="91" spans="1:7" x14ac:dyDescent="0.15">
      <c r="A91" s="1585"/>
      <c r="B91" s="1598"/>
      <c r="C91" s="1598"/>
      <c r="D91" s="88" t="s">
        <v>233</v>
      </c>
      <c r="E91" s="121">
        <v>4.55</v>
      </c>
      <c r="F91" s="88" t="s">
        <v>233</v>
      </c>
      <c r="G91" s="121">
        <f>E91+$I$2</f>
        <v>5.35</v>
      </c>
    </row>
    <row r="92" spans="1:7" x14ac:dyDescent="0.15">
      <c r="A92" s="1585"/>
      <c r="B92" s="1598"/>
      <c r="C92" s="1598"/>
      <c r="D92" s="88" t="s">
        <v>228</v>
      </c>
      <c r="E92" s="121">
        <v>5.35</v>
      </c>
      <c r="F92" s="88" t="s">
        <v>228</v>
      </c>
      <c r="G92" s="121">
        <f>E92+$I$2</f>
        <v>6.1499999999999995</v>
      </c>
    </row>
    <row r="93" spans="1:7" x14ac:dyDescent="0.15">
      <c r="A93" s="1585"/>
      <c r="B93" s="1598"/>
      <c r="C93" s="1598"/>
      <c r="D93" s="88" t="s">
        <v>229</v>
      </c>
      <c r="E93" s="121">
        <v>5.65</v>
      </c>
      <c r="F93" s="88" t="s">
        <v>229</v>
      </c>
      <c r="G93" s="121">
        <f>E93+$I$2</f>
        <v>6.45</v>
      </c>
    </row>
    <row r="94" spans="1:7" x14ac:dyDescent="0.15">
      <c r="A94" s="1585"/>
      <c r="B94" s="1598"/>
      <c r="C94" s="1598"/>
      <c r="D94" s="88" t="s">
        <v>230</v>
      </c>
      <c r="E94" s="89"/>
      <c r="F94" s="88" t="s">
        <v>230</v>
      </c>
      <c r="G94" s="89"/>
    </row>
    <row r="95" spans="1:7" x14ac:dyDescent="0.15">
      <c r="A95" s="1585"/>
      <c r="B95" s="1598"/>
      <c r="C95" s="1598"/>
      <c r="D95" s="88" t="s">
        <v>224</v>
      </c>
      <c r="E95" s="89">
        <v>45</v>
      </c>
      <c r="F95" s="88" t="s">
        <v>224</v>
      </c>
      <c r="G95" s="89">
        <v>45</v>
      </c>
    </row>
    <row r="96" spans="1:7" x14ac:dyDescent="0.15">
      <c r="A96" s="1585"/>
      <c r="B96" s="1598"/>
      <c r="C96" s="1598"/>
      <c r="D96" s="88" t="s">
        <v>231</v>
      </c>
      <c r="E96" s="89">
        <v>60</v>
      </c>
      <c r="F96" s="88" t="s">
        <v>231</v>
      </c>
      <c r="G96" s="89">
        <v>60</v>
      </c>
    </row>
    <row r="97" spans="1:7" x14ac:dyDescent="0.15">
      <c r="A97" s="1585"/>
      <c r="B97" s="1598"/>
      <c r="C97" s="1598"/>
      <c r="D97" s="88" t="s">
        <v>226</v>
      </c>
      <c r="E97" s="89">
        <v>150</v>
      </c>
      <c r="F97" s="88" t="s">
        <v>226</v>
      </c>
      <c r="G97" s="89">
        <v>150</v>
      </c>
    </row>
    <row r="98" spans="1:7" x14ac:dyDescent="0.15">
      <c r="A98" s="1585"/>
      <c r="B98" s="1598"/>
      <c r="C98" s="1598"/>
      <c r="D98" s="88" t="s">
        <v>199</v>
      </c>
      <c r="E98" s="89"/>
      <c r="F98" s="88" t="s">
        <v>199</v>
      </c>
      <c r="G98" s="89"/>
    </row>
    <row r="99" spans="1:7" x14ac:dyDescent="0.15">
      <c r="A99" s="1585"/>
      <c r="B99" s="1598"/>
      <c r="C99" s="1599"/>
      <c r="D99" s="88" t="s">
        <v>232</v>
      </c>
      <c r="E99" s="89"/>
      <c r="F99" s="88" t="s">
        <v>232</v>
      </c>
      <c r="G99" s="89"/>
    </row>
    <row r="100" spans="1:7" x14ac:dyDescent="0.15">
      <c r="A100" s="1585"/>
      <c r="B100" s="1598"/>
      <c r="C100" s="88"/>
      <c r="D100" s="88"/>
      <c r="E100" s="89"/>
      <c r="F100" s="88"/>
      <c r="G100" s="89"/>
    </row>
    <row r="101" spans="1:7" x14ac:dyDescent="0.15">
      <c r="A101" s="1585"/>
      <c r="B101" s="1598"/>
      <c r="C101" s="1604"/>
      <c r="D101" s="1594" t="s">
        <v>234</v>
      </c>
      <c r="E101" s="1594"/>
      <c r="F101" s="1594" t="s">
        <v>234</v>
      </c>
      <c r="G101" s="1594"/>
    </row>
    <row r="102" spans="1:7" ht="29.25" customHeight="1" x14ac:dyDescent="0.15">
      <c r="A102" s="1585"/>
      <c r="B102" s="1598"/>
      <c r="C102" s="1605"/>
      <c r="D102" s="1588" t="s">
        <v>235</v>
      </c>
      <c r="E102" s="1588"/>
      <c r="F102" s="1588" t="s">
        <v>235</v>
      </c>
      <c r="G102" s="1588"/>
    </row>
    <row r="103" spans="1:7" x14ac:dyDescent="0.15">
      <c r="A103" s="1585"/>
      <c r="B103" s="1598"/>
      <c r="C103" s="1605"/>
      <c r="D103" s="88" t="s">
        <v>236</v>
      </c>
      <c r="E103" s="89" t="s">
        <v>296</v>
      </c>
      <c r="F103" s="88" t="s">
        <v>236</v>
      </c>
      <c r="G103" s="89" t="s">
        <v>296</v>
      </c>
    </row>
    <row r="104" spans="1:7" x14ac:dyDescent="0.15">
      <c r="A104" s="1585"/>
      <c r="B104" s="1598"/>
      <c r="C104" s="1605"/>
      <c r="D104" s="88" t="s">
        <v>237</v>
      </c>
      <c r="E104" s="89">
        <v>0</v>
      </c>
      <c r="F104" s="88" t="s">
        <v>237</v>
      </c>
      <c r="G104" s="89">
        <v>0</v>
      </c>
    </row>
    <row r="105" spans="1:7" x14ac:dyDescent="0.15">
      <c r="A105" s="1585"/>
      <c r="B105" s="1598"/>
      <c r="C105" s="1605"/>
      <c r="D105" s="88" t="s">
        <v>238</v>
      </c>
      <c r="E105" s="89" t="s">
        <v>297</v>
      </c>
      <c r="F105" s="88" t="s">
        <v>238</v>
      </c>
      <c r="G105" s="89" t="s">
        <v>297</v>
      </c>
    </row>
    <row r="106" spans="1:7" x14ac:dyDescent="0.15">
      <c r="A106" s="1585"/>
      <c r="B106" s="1598"/>
      <c r="C106" s="1605"/>
      <c r="D106" s="88"/>
      <c r="E106" s="89"/>
      <c r="F106" s="88"/>
      <c r="G106" s="89"/>
    </row>
    <row r="107" spans="1:7" x14ac:dyDescent="0.15">
      <c r="A107" s="1586"/>
      <c r="B107" s="1602"/>
      <c r="C107" s="1606"/>
      <c r="D107" s="88"/>
      <c r="E107" s="89"/>
      <c r="F107" s="88"/>
      <c r="G107" s="89"/>
    </row>
    <row r="108" spans="1:7" x14ac:dyDescent="0.15">
      <c r="A108" s="1584">
        <v>7</v>
      </c>
      <c r="B108" s="119"/>
      <c r="C108" s="119"/>
      <c r="D108" s="88"/>
      <c r="E108" s="89"/>
      <c r="F108" s="88"/>
      <c r="G108" s="89"/>
    </row>
    <row r="109" spans="1:7" x14ac:dyDescent="0.15">
      <c r="A109" s="1585"/>
      <c r="B109" s="1600" t="s">
        <v>239</v>
      </c>
      <c r="C109" s="1589" t="s">
        <v>240</v>
      </c>
      <c r="D109" s="88" t="s">
        <v>241</v>
      </c>
      <c r="E109" s="89">
        <v>35</v>
      </c>
      <c r="F109" s="88" t="s">
        <v>241</v>
      </c>
      <c r="G109" s="89">
        <v>35</v>
      </c>
    </row>
    <row r="110" spans="1:7" x14ac:dyDescent="0.15">
      <c r="A110" s="1585"/>
      <c r="B110" s="1601"/>
      <c r="C110" s="1590"/>
      <c r="D110" s="88" t="s">
        <v>199</v>
      </c>
      <c r="E110" s="89"/>
      <c r="F110" s="88" t="s">
        <v>199</v>
      </c>
      <c r="G110" s="89"/>
    </row>
    <row r="111" spans="1:7" x14ac:dyDescent="0.15">
      <c r="A111" s="1585"/>
      <c r="B111" s="1601"/>
      <c r="C111" s="1591"/>
      <c r="D111" s="88" t="s">
        <v>242</v>
      </c>
      <c r="E111" s="89">
        <v>3.3</v>
      </c>
      <c r="F111" s="88" t="s">
        <v>242</v>
      </c>
      <c r="G111" s="121">
        <f>E111+$I$2</f>
        <v>4.0999999999999996</v>
      </c>
    </row>
    <row r="112" spans="1:7" ht="51" customHeight="1" x14ac:dyDescent="0.15">
      <c r="A112" s="1585"/>
      <c r="B112" s="1601"/>
      <c r="C112" s="1604" t="s">
        <v>243</v>
      </c>
      <c r="D112" s="88" t="s">
        <v>244</v>
      </c>
      <c r="E112" s="89">
        <v>50</v>
      </c>
      <c r="F112" s="88" t="s">
        <v>244</v>
      </c>
      <c r="G112" s="89">
        <v>50</v>
      </c>
    </row>
    <row r="113" spans="1:7" x14ac:dyDescent="0.15">
      <c r="A113" s="1585"/>
      <c r="B113" s="1601"/>
      <c r="C113" s="1605"/>
      <c r="D113" s="88" t="s">
        <v>199</v>
      </c>
      <c r="E113" s="89"/>
      <c r="F113" s="88" t="s">
        <v>199</v>
      </c>
      <c r="G113" s="89"/>
    </row>
    <row r="114" spans="1:7" x14ac:dyDescent="0.15">
      <c r="A114" s="1585"/>
      <c r="B114" s="1602"/>
      <c r="C114" s="1606"/>
      <c r="D114" s="88" t="s">
        <v>200</v>
      </c>
      <c r="E114" s="121">
        <v>4.8499999999999996</v>
      </c>
      <c r="F114" s="88" t="s">
        <v>200</v>
      </c>
      <c r="G114" s="121">
        <f>E114+$I$2</f>
        <v>5.6499999999999995</v>
      </c>
    </row>
    <row r="115" spans="1:7" x14ac:dyDescent="0.15">
      <c r="A115" s="1586"/>
      <c r="B115" s="88"/>
      <c r="C115" s="88"/>
      <c r="D115" s="88"/>
      <c r="E115" s="89"/>
      <c r="F115" s="88"/>
      <c r="G115" s="89"/>
    </row>
    <row r="116" spans="1:7" x14ac:dyDescent="0.15">
      <c r="A116" s="1584">
        <v>8</v>
      </c>
      <c r="B116" s="1604" t="s">
        <v>5</v>
      </c>
      <c r="C116" s="1600" t="s">
        <v>6</v>
      </c>
      <c r="D116" s="88" t="s">
        <v>245</v>
      </c>
      <c r="E116" s="89"/>
      <c r="F116" s="88" t="s">
        <v>245</v>
      </c>
      <c r="G116" s="89"/>
    </row>
    <row r="117" spans="1:7" x14ac:dyDescent="0.15">
      <c r="A117" s="1585"/>
      <c r="B117" s="1605"/>
      <c r="C117" s="1601"/>
      <c r="D117" s="88" t="s">
        <v>246</v>
      </c>
      <c r="E117" s="122">
        <v>9</v>
      </c>
      <c r="F117" s="88" t="s">
        <v>246</v>
      </c>
      <c r="G117" s="122">
        <f>E117+$I$2</f>
        <v>9.8000000000000007</v>
      </c>
    </row>
    <row r="118" spans="1:7" ht="24" x14ac:dyDescent="0.15">
      <c r="A118" s="1585"/>
      <c r="B118" s="1606"/>
      <c r="C118" s="1602"/>
      <c r="D118" s="88" t="s">
        <v>247</v>
      </c>
      <c r="E118" s="89">
        <v>160</v>
      </c>
      <c r="F118" s="88" t="s">
        <v>247</v>
      </c>
      <c r="G118" s="89">
        <v>160</v>
      </c>
    </row>
    <row r="119" spans="1:7" x14ac:dyDescent="0.15">
      <c r="A119" s="1585"/>
      <c r="B119" s="88"/>
      <c r="C119" s="88"/>
      <c r="D119" s="88"/>
      <c r="E119" s="89"/>
      <c r="F119" s="88"/>
      <c r="G119" s="89"/>
    </row>
    <row r="120" spans="1:7" ht="29.25" customHeight="1" x14ac:dyDescent="0.15">
      <c r="A120" s="90"/>
      <c r="B120" s="90"/>
      <c r="C120" s="86" t="s">
        <v>249</v>
      </c>
      <c r="D120" s="86" t="s">
        <v>249</v>
      </c>
      <c r="E120" s="87" t="s">
        <v>186</v>
      </c>
      <c r="F120" s="86" t="s">
        <v>249</v>
      </c>
      <c r="G120" s="87" t="s">
        <v>186</v>
      </c>
    </row>
    <row r="121" spans="1:7" x14ac:dyDescent="0.15">
      <c r="A121" s="1584">
        <v>9</v>
      </c>
      <c r="B121" s="1587" t="s">
        <v>7</v>
      </c>
      <c r="C121" s="1600" t="s">
        <v>250</v>
      </c>
      <c r="D121" s="88" t="s">
        <v>251</v>
      </c>
      <c r="E121" s="89">
        <v>180</v>
      </c>
      <c r="F121" s="88" t="s">
        <v>251</v>
      </c>
      <c r="G121" s="89">
        <v>180</v>
      </c>
    </row>
    <row r="122" spans="1:7" x14ac:dyDescent="0.15">
      <c r="A122" s="1585"/>
      <c r="B122" s="1603"/>
      <c r="C122" s="1601"/>
      <c r="D122" s="88" t="s">
        <v>199</v>
      </c>
      <c r="E122" s="89"/>
      <c r="F122" s="88" t="s">
        <v>199</v>
      </c>
      <c r="G122" s="89"/>
    </row>
    <row r="123" spans="1:7" x14ac:dyDescent="0.15">
      <c r="A123" s="1585"/>
      <c r="B123" s="1603"/>
      <c r="C123" s="1601"/>
      <c r="D123" s="88" t="s">
        <v>252</v>
      </c>
      <c r="E123" s="121">
        <v>4</v>
      </c>
      <c r="F123" s="88" t="s">
        <v>252</v>
      </c>
      <c r="G123" s="121">
        <f>E123+$I$2</f>
        <v>4.8</v>
      </c>
    </row>
    <row r="124" spans="1:7" x14ac:dyDescent="0.15">
      <c r="A124" s="1585"/>
      <c r="B124" s="1603"/>
      <c r="C124" s="1601"/>
      <c r="D124" s="1594" t="s">
        <v>253</v>
      </c>
      <c r="E124" s="1594"/>
      <c r="F124" s="1594" t="s">
        <v>253</v>
      </c>
      <c r="G124" s="1594"/>
    </row>
    <row r="125" spans="1:7" ht="35.25" x14ac:dyDescent="0.15">
      <c r="A125" s="1585"/>
      <c r="B125" s="1603"/>
      <c r="C125" s="1601"/>
      <c r="D125" s="88" t="s">
        <v>235</v>
      </c>
      <c r="E125" s="89"/>
      <c r="F125" s="88" t="s">
        <v>235</v>
      </c>
      <c r="G125" s="89"/>
    </row>
    <row r="126" spans="1:7" x14ac:dyDescent="0.15">
      <c r="A126" s="1585"/>
      <c r="B126" s="1603"/>
      <c r="C126" s="1601"/>
      <c r="D126" s="88" t="s">
        <v>254</v>
      </c>
      <c r="E126" s="89" t="s">
        <v>296</v>
      </c>
      <c r="F126" s="88" t="s">
        <v>254</v>
      </c>
      <c r="G126" s="89" t="s">
        <v>296</v>
      </c>
    </row>
    <row r="127" spans="1:7" x14ac:dyDescent="0.15">
      <c r="A127" s="1585"/>
      <c r="B127" s="1603"/>
      <c r="C127" s="1601"/>
      <c r="D127" s="88" t="s">
        <v>255</v>
      </c>
      <c r="E127" s="89">
        <v>0</v>
      </c>
      <c r="F127" s="88" t="s">
        <v>255</v>
      </c>
      <c r="G127" s="89">
        <v>0</v>
      </c>
    </row>
    <row r="128" spans="1:7" x14ac:dyDescent="0.15">
      <c r="A128" s="1585"/>
      <c r="B128" s="1603"/>
      <c r="C128" s="1601"/>
      <c r="D128" s="88" t="s">
        <v>256</v>
      </c>
      <c r="E128" s="89" t="s">
        <v>297</v>
      </c>
      <c r="F128" s="88" t="s">
        <v>256</v>
      </c>
      <c r="G128" s="89" t="s">
        <v>297</v>
      </c>
    </row>
    <row r="129" spans="1:7" x14ac:dyDescent="0.15">
      <c r="A129" s="1585"/>
      <c r="B129" s="1603"/>
      <c r="C129" s="1601"/>
      <c r="D129" s="88"/>
      <c r="E129" s="89"/>
      <c r="F129" s="88"/>
      <c r="G129" s="89"/>
    </row>
    <row r="130" spans="1:7" x14ac:dyDescent="0.15">
      <c r="A130" s="1586"/>
      <c r="B130" s="1587"/>
      <c r="C130" s="1602"/>
      <c r="D130" s="88"/>
      <c r="F130" s="88"/>
    </row>
    <row r="131" spans="1:7" x14ac:dyDescent="0.15">
      <c r="A131" s="119"/>
      <c r="B131" s="119"/>
      <c r="C131" s="88" t="s">
        <v>257</v>
      </c>
      <c r="D131" s="1594"/>
      <c r="E131" s="1594"/>
      <c r="F131" s="1594"/>
      <c r="G131" s="1594"/>
    </row>
    <row r="132" spans="1:7" ht="12.75" customHeight="1" x14ac:dyDescent="0.15">
      <c r="A132" s="1600">
        <v>10</v>
      </c>
      <c r="B132" s="1600" t="s">
        <v>258</v>
      </c>
      <c r="C132" s="1600" t="s">
        <v>298</v>
      </c>
      <c r="D132" s="88" t="s">
        <v>251</v>
      </c>
      <c r="E132" s="89">
        <v>180</v>
      </c>
      <c r="F132" s="88" t="s">
        <v>251</v>
      </c>
      <c r="G132" s="89">
        <v>180</v>
      </c>
    </row>
    <row r="133" spans="1:7" x14ac:dyDescent="0.15">
      <c r="A133" s="1601"/>
      <c r="B133" s="1601"/>
      <c r="C133" s="1601"/>
      <c r="D133" s="88" t="s">
        <v>199</v>
      </c>
      <c r="E133" s="89"/>
      <c r="F133" s="88" t="s">
        <v>199</v>
      </c>
      <c r="G133" s="89"/>
    </row>
    <row r="134" spans="1:7" x14ac:dyDescent="0.15">
      <c r="A134" s="1601"/>
      <c r="B134" s="1601"/>
      <c r="C134" s="1601"/>
      <c r="D134" s="88" t="s">
        <v>252</v>
      </c>
      <c r="E134" s="89"/>
      <c r="F134" s="88" t="s">
        <v>252</v>
      </c>
      <c r="G134" s="89"/>
    </row>
    <row r="135" spans="1:7" x14ac:dyDescent="0.15">
      <c r="A135" s="1601"/>
      <c r="B135" s="1601"/>
      <c r="C135" s="1601"/>
      <c r="D135" s="88" t="s">
        <v>259</v>
      </c>
      <c r="E135" s="89">
        <v>5.75</v>
      </c>
      <c r="F135" s="88" t="s">
        <v>259</v>
      </c>
      <c r="G135" s="121">
        <f>E135+$I$2</f>
        <v>6.55</v>
      </c>
    </row>
    <row r="136" spans="1:7" x14ac:dyDescent="0.15">
      <c r="A136" s="1601"/>
      <c r="B136" s="1601"/>
      <c r="C136" s="1601"/>
      <c r="D136" s="88" t="s">
        <v>260</v>
      </c>
      <c r="E136" s="89">
        <v>6.15</v>
      </c>
      <c r="F136" s="88" t="s">
        <v>260</v>
      </c>
      <c r="G136" s="121">
        <f>E136+$I$2</f>
        <v>6.95</v>
      </c>
    </row>
    <row r="137" spans="1:7" ht="46.5" x14ac:dyDescent="0.15">
      <c r="A137" s="1601"/>
      <c r="B137" s="1601"/>
      <c r="C137" s="1602"/>
      <c r="D137" s="88" t="s">
        <v>336</v>
      </c>
      <c r="E137" s="121">
        <v>5.4</v>
      </c>
      <c r="F137" s="88" t="s">
        <v>339</v>
      </c>
      <c r="G137" s="121">
        <f>E137+$I$2</f>
        <v>6.2</v>
      </c>
    </row>
    <row r="138" spans="1:7" x14ac:dyDescent="0.15">
      <c r="A138" s="1601"/>
      <c r="B138" s="1601"/>
      <c r="C138" s="204"/>
      <c r="D138" s="1594"/>
      <c r="E138" s="1594"/>
      <c r="F138" s="1594"/>
      <c r="G138" s="1594"/>
    </row>
    <row r="139" spans="1:7" ht="12.75" customHeight="1" x14ac:dyDescent="0.15">
      <c r="A139" s="1601"/>
      <c r="B139" s="1601"/>
      <c r="C139" s="1600" t="s">
        <v>299</v>
      </c>
      <c r="D139" s="88" t="s">
        <v>251</v>
      </c>
      <c r="E139" s="89">
        <v>170</v>
      </c>
      <c r="F139" s="88" t="s">
        <v>251</v>
      </c>
      <c r="G139" s="89">
        <v>170</v>
      </c>
    </row>
    <row r="140" spans="1:7" x14ac:dyDescent="0.15">
      <c r="A140" s="1601"/>
      <c r="B140" s="1601"/>
      <c r="C140" s="1601"/>
      <c r="D140" s="88" t="s">
        <v>199</v>
      </c>
      <c r="E140" s="89"/>
      <c r="F140" s="88" t="s">
        <v>199</v>
      </c>
      <c r="G140" s="89"/>
    </row>
    <row r="141" spans="1:7" x14ac:dyDescent="0.15">
      <c r="A141" s="1601"/>
      <c r="B141" s="1601"/>
      <c r="C141" s="1601"/>
      <c r="D141" s="88" t="s">
        <v>252</v>
      </c>
      <c r="E141" s="89"/>
      <c r="F141" s="88" t="s">
        <v>252</v>
      </c>
      <c r="G141" s="89"/>
    </row>
    <row r="142" spans="1:7" x14ac:dyDescent="0.15">
      <c r="A142" s="1601"/>
      <c r="B142" s="1601"/>
      <c r="C142" s="1601"/>
      <c r="D142" s="88" t="s">
        <v>259</v>
      </c>
      <c r="E142" s="121">
        <v>5.7</v>
      </c>
      <c r="F142" s="88" t="s">
        <v>259</v>
      </c>
      <c r="G142" s="121">
        <f>E142+$I$2</f>
        <v>6.5</v>
      </c>
    </row>
    <row r="143" spans="1:7" x14ac:dyDescent="0.15">
      <c r="A143" s="1601"/>
      <c r="B143" s="1601"/>
      <c r="C143" s="1601"/>
      <c r="D143" s="88" t="s">
        <v>260</v>
      </c>
      <c r="E143" s="121">
        <v>6</v>
      </c>
      <c r="F143" s="88" t="s">
        <v>260</v>
      </c>
      <c r="G143" s="121">
        <f>E143+$I$2</f>
        <v>6.8</v>
      </c>
    </row>
    <row r="144" spans="1:7" ht="58.5" x14ac:dyDescent="0.15">
      <c r="A144" s="1601"/>
      <c r="B144" s="1601"/>
      <c r="C144" s="1602"/>
      <c r="D144" s="88" t="s">
        <v>335</v>
      </c>
      <c r="E144" s="121">
        <v>5.4</v>
      </c>
      <c r="F144" s="88" t="s">
        <v>340</v>
      </c>
      <c r="G144" s="121">
        <f>E144+$I$2</f>
        <v>6.2</v>
      </c>
    </row>
    <row r="145" spans="1:7" x14ac:dyDescent="0.15">
      <c r="A145" s="1601"/>
      <c r="B145" s="1601"/>
      <c r="C145" s="204"/>
      <c r="D145" s="88"/>
      <c r="E145" s="89"/>
      <c r="F145" s="88"/>
      <c r="G145" s="121"/>
    </row>
    <row r="146" spans="1:7" ht="12.75" customHeight="1" x14ac:dyDescent="0.15">
      <c r="A146" s="1601"/>
      <c r="B146" s="1601"/>
      <c r="C146" s="1600" t="s">
        <v>320</v>
      </c>
      <c r="D146" s="88" t="s">
        <v>251</v>
      </c>
      <c r="E146" s="89">
        <v>180</v>
      </c>
      <c r="F146" s="88" t="s">
        <v>251</v>
      </c>
      <c r="G146" s="121">
        <f>E146</f>
        <v>180</v>
      </c>
    </row>
    <row r="147" spans="1:7" x14ac:dyDescent="0.15">
      <c r="A147" s="1601"/>
      <c r="B147" s="1601"/>
      <c r="C147" s="1601"/>
      <c r="D147" s="88" t="s">
        <v>199</v>
      </c>
      <c r="E147" s="89"/>
      <c r="F147" s="88" t="s">
        <v>199</v>
      </c>
      <c r="G147" s="121"/>
    </row>
    <row r="148" spans="1:7" x14ac:dyDescent="0.15">
      <c r="A148" s="1602"/>
      <c r="B148" s="1602"/>
      <c r="C148" s="1602"/>
      <c r="D148" s="88" t="s">
        <v>252</v>
      </c>
      <c r="E148" s="121">
        <v>5.2</v>
      </c>
      <c r="F148" s="88" t="s">
        <v>252</v>
      </c>
      <c r="G148" s="121">
        <f>E148+$I$2</f>
        <v>6</v>
      </c>
    </row>
    <row r="149" spans="1:7" x14ac:dyDescent="0.15">
      <c r="A149" s="88"/>
      <c r="B149" s="88"/>
      <c r="C149" s="88"/>
      <c r="D149" s="88"/>
      <c r="E149" s="89"/>
      <c r="F149" s="88"/>
      <c r="G149" s="89"/>
    </row>
    <row r="150" spans="1:7" x14ac:dyDescent="0.15">
      <c r="A150" s="1584">
        <v>11</v>
      </c>
      <c r="B150" s="1600" t="s">
        <v>325</v>
      </c>
      <c r="C150" s="88" t="s">
        <v>261</v>
      </c>
      <c r="D150" s="1594" t="s">
        <v>262</v>
      </c>
      <c r="E150" s="1594"/>
      <c r="F150" s="1594" t="s">
        <v>262</v>
      </c>
      <c r="G150" s="1594"/>
    </row>
    <row r="151" spans="1:7" ht="12.75" customHeight="1" x14ac:dyDescent="0.15">
      <c r="A151" s="1585"/>
      <c r="B151" s="1601"/>
      <c r="C151" s="1597" t="s">
        <v>303</v>
      </c>
      <c r="D151" s="88" t="s">
        <v>263</v>
      </c>
      <c r="E151" s="89">
        <v>200</v>
      </c>
      <c r="F151" s="88" t="s">
        <v>263</v>
      </c>
      <c r="G151" s="89">
        <v>200</v>
      </c>
    </row>
    <row r="152" spans="1:7" x14ac:dyDescent="0.15">
      <c r="A152" s="1585"/>
      <c r="B152" s="1601"/>
      <c r="C152" s="1598"/>
      <c r="D152" s="88" t="s">
        <v>199</v>
      </c>
      <c r="E152" s="89"/>
      <c r="F152" s="88" t="s">
        <v>199</v>
      </c>
      <c r="G152" s="89"/>
    </row>
    <row r="153" spans="1:7" x14ac:dyDescent="0.15">
      <c r="A153" s="1585"/>
      <c r="B153" s="1601"/>
      <c r="C153" s="1598"/>
      <c r="D153" s="88" t="s">
        <v>264</v>
      </c>
      <c r="E153" s="89"/>
      <c r="F153" s="88" t="s">
        <v>264</v>
      </c>
      <c r="G153" s="89"/>
    </row>
    <row r="154" spans="1:7" x14ac:dyDescent="0.15">
      <c r="A154" s="1585"/>
      <c r="B154" s="1601"/>
      <c r="C154" s="1598"/>
      <c r="D154" s="88" t="s">
        <v>265</v>
      </c>
      <c r="E154" s="89">
        <v>7.35</v>
      </c>
      <c r="F154" s="88" t="s">
        <v>265</v>
      </c>
      <c r="G154" s="121">
        <f>E154+$I$2</f>
        <v>8.15</v>
      </c>
    </row>
    <row r="155" spans="1:7" x14ac:dyDescent="0.15">
      <c r="A155" s="1585"/>
      <c r="B155" s="1601"/>
      <c r="C155" s="1599"/>
      <c r="D155" s="88" t="s">
        <v>266</v>
      </c>
      <c r="E155" s="121">
        <v>7.65</v>
      </c>
      <c r="F155" s="88" t="s">
        <v>266</v>
      </c>
      <c r="G155" s="121">
        <f>E155+$I$2</f>
        <v>8.4500000000000011</v>
      </c>
    </row>
    <row r="156" spans="1:7" x14ac:dyDescent="0.15">
      <c r="A156" s="1585"/>
      <c r="B156" s="1601"/>
      <c r="C156" s="1597" t="s">
        <v>304</v>
      </c>
      <c r="D156" s="1594"/>
      <c r="E156" s="1594"/>
      <c r="F156" s="1594"/>
      <c r="G156" s="1594"/>
    </row>
    <row r="157" spans="1:7" x14ac:dyDescent="0.15">
      <c r="A157" s="1585"/>
      <c r="B157" s="1601"/>
      <c r="C157" s="1598"/>
      <c r="D157" s="88" t="s">
        <v>263</v>
      </c>
      <c r="E157" s="89">
        <v>190</v>
      </c>
      <c r="F157" s="88" t="s">
        <v>263</v>
      </c>
      <c r="G157" s="89">
        <v>190</v>
      </c>
    </row>
    <row r="158" spans="1:7" x14ac:dyDescent="0.15">
      <c r="A158" s="1585"/>
      <c r="B158" s="1601"/>
      <c r="C158" s="1598"/>
      <c r="D158" s="88" t="s">
        <v>199</v>
      </c>
      <c r="E158" s="89"/>
      <c r="F158" s="88" t="s">
        <v>199</v>
      </c>
      <c r="G158" s="89"/>
    </row>
    <row r="159" spans="1:7" x14ac:dyDescent="0.15">
      <c r="A159" s="1585"/>
      <c r="B159" s="1601"/>
      <c r="C159" s="1598"/>
      <c r="D159" s="88" t="s">
        <v>264</v>
      </c>
      <c r="E159" s="89"/>
      <c r="F159" s="88" t="s">
        <v>264</v>
      </c>
      <c r="G159" s="89"/>
    </row>
    <row r="160" spans="1:7" x14ac:dyDescent="0.15">
      <c r="A160" s="1585"/>
      <c r="B160" s="1601"/>
      <c r="C160" s="1598"/>
      <c r="D160" s="88" t="s">
        <v>265</v>
      </c>
      <c r="E160" s="89">
        <v>7.15</v>
      </c>
      <c r="F160" s="88" t="s">
        <v>265</v>
      </c>
      <c r="G160" s="121">
        <f>E160+$I$2</f>
        <v>7.95</v>
      </c>
    </row>
    <row r="161" spans="1:7" x14ac:dyDescent="0.15">
      <c r="A161" s="1586"/>
      <c r="B161" s="1602"/>
      <c r="C161" s="1599"/>
      <c r="D161" s="88" t="s">
        <v>266</v>
      </c>
      <c r="E161" s="89">
        <v>7.45</v>
      </c>
      <c r="F161" s="88" t="s">
        <v>266</v>
      </c>
      <c r="G161" s="121">
        <f>E161+$I$2</f>
        <v>8.25</v>
      </c>
    </row>
    <row r="162" spans="1:7" ht="15.75" customHeight="1" x14ac:dyDescent="0.15">
      <c r="A162" s="1584">
        <v>12</v>
      </c>
      <c r="B162" s="1600" t="s">
        <v>326</v>
      </c>
      <c r="C162" s="1597" t="s">
        <v>327</v>
      </c>
      <c r="D162" s="88" t="s">
        <v>263</v>
      </c>
      <c r="E162" s="89">
        <v>170</v>
      </c>
      <c r="F162" s="88" t="s">
        <v>263</v>
      </c>
      <c r="G162" s="89">
        <f>E162</f>
        <v>170</v>
      </c>
    </row>
    <row r="163" spans="1:7" ht="15.75" customHeight="1" x14ac:dyDescent="0.15">
      <c r="A163" s="1585"/>
      <c r="B163" s="1598"/>
      <c r="C163" s="1598"/>
      <c r="D163" s="88" t="s">
        <v>199</v>
      </c>
      <c r="E163" s="89"/>
      <c r="F163" s="88" t="s">
        <v>199</v>
      </c>
      <c r="G163" s="89"/>
    </row>
    <row r="164" spans="1:7" ht="14.25" customHeight="1" x14ac:dyDescent="0.15">
      <c r="A164" s="1585"/>
      <c r="B164" s="1598"/>
      <c r="C164" s="1598"/>
      <c r="D164" s="88" t="s">
        <v>264</v>
      </c>
      <c r="E164" s="89"/>
      <c r="F164" s="88" t="s">
        <v>264</v>
      </c>
      <c r="G164" s="89"/>
    </row>
    <row r="165" spans="1:7" ht="16.5" customHeight="1" x14ac:dyDescent="0.15">
      <c r="A165" s="1585"/>
      <c r="B165" s="1598"/>
      <c r="C165" s="1598"/>
      <c r="D165" s="88" t="s">
        <v>265</v>
      </c>
      <c r="E165" s="121">
        <v>5.4</v>
      </c>
      <c r="F165" s="88" t="s">
        <v>265</v>
      </c>
      <c r="G165" s="121">
        <f>E165+$I$2</f>
        <v>6.2</v>
      </c>
    </row>
    <row r="166" spans="1:7" ht="18" customHeight="1" x14ac:dyDescent="0.15">
      <c r="A166" s="1585"/>
      <c r="B166" s="1598"/>
      <c r="C166" s="1599"/>
      <c r="D166" s="88" t="s">
        <v>266</v>
      </c>
      <c r="E166" s="121">
        <v>5.9</v>
      </c>
      <c r="F166" s="88" t="s">
        <v>266</v>
      </c>
      <c r="G166" s="121">
        <f>E166+$I$2</f>
        <v>6.7</v>
      </c>
    </row>
    <row r="167" spans="1:7" x14ac:dyDescent="0.15">
      <c r="A167" s="1585"/>
      <c r="B167" s="1598"/>
      <c r="C167" s="1597" t="s">
        <v>328</v>
      </c>
      <c r="D167" s="1594"/>
      <c r="E167" s="1594"/>
      <c r="F167" s="1594"/>
      <c r="G167" s="1594"/>
    </row>
    <row r="168" spans="1:7" x14ac:dyDescent="0.15">
      <c r="A168" s="1585"/>
      <c r="B168" s="1598"/>
      <c r="C168" s="1598"/>
      <c r="D168" s="88" t="s">
        <v>263</v>
      </c>
      <c r="E168" s="89">
        <v>170</v>
      </c>
      <c r="F168" s="88" t="s">
        <v>263</v>
      </c>
      <c r="G168" s="89">
        <f>E168</f>
        <v>170</v>
      </c>
    </row>
    <row r="169" spans="1:7" x14ac:dyDescent="0.15">
      <c r="A169" s="1585"/>
      <c r="B169" s="1598"/>
      <c r="C169" s="1598"/>
      <c r="D169" s="88" t="s">
        <v>199</v>
      </c>
      <c r="E169" s="89"/>
      <c r="F169" s="88" t="s">
        <v>199</v>
      </c>
      <c r="G169" s="89"/>
    </row>
    <row r="170" spans="1:7" x14ac:dyDescent="0.15">
      <c r="A170" s="1585"/>
      <c r="B170" s="1598"/>
      <c r="C170" s="1598"/>
      <c r="D170" s="88" t="s">
        <v>264</v>
      </c>
      <c r="E170" s="89"/>
      <c r="F170" s="88" t="s">
        <v>264</v>
      </c>
      <c r="G170" s="89"/>
    </row>
    <row r="171" spans="1:7" x14ac:dyDescent="0.15">
      <c r="A171" s="1585"/>
      <c r="B171" s="1598"/>
      <c r="C171" s="1598"/>
      <c r="D171" s="88" t="s">
        <v>265</v>
      </c>
      <c r="E171" s="121">
        <v>6.4</v>
      </c>
      <c r="F171" s="88" t="s">
        <v>265</v>
      </c>
      <c r="G171" s="121">
        <f>E171+$I$2</f>
        <v>7.2</v>
      </c>
    </row>
    <row r="172" spans="1:7" x14ac:dyDescent="0.15">
      <c r="A172" s="1586"/>
      <c r="B172" s="1602"/>
      <c r="C172" s="1599"/>
      <c r="D172" s="88" t="s">
        <v>266</v>
      </c>
      <c r="E172" s="121">
        <v>6.9</v>
      </c>
      <c r="F172" s="88" t="s">
        <v>266</v>
      </c>
      <c r="G172" s="121">
        <f>E172+$I$2</f>
        <v>7.7</v>
      </c>
    </row>
    <row r="173" spans="1:7" x14ac:dyDescent="0.15">
      <c r="A173" s="1604"/>
      <c r="B173" s="1604"/>
      <c r="C173" s="88"/>
      <c r="D173" s="88"/>
      <c r="E173" s="89"/>
      <c r="F173" s="88"/>
      <c r="G173" s="89"/>
    </row>
    <row r="174" spans="1:7" x14ac:dyDescent="0.15">
      <c r="A174" s="1605"/>
      <c r="B174" s="1605"/>
      <c r="C174" s="1604"/>
      <c r="D174" s="1594" t="s">
        <v>329</v>
      </c>
      <c r="E174" s="1594"/>
      <c r="F174" s="1594" t="s">
        <v>329</v>
      </c>
      <c r="G174" s="1594"/>
    </row>
    <row r="175" spans="1:7" ht="12.75" customHeight="1" x14ac:dyDescent="0.15">
      <c r="A175" s="1605"/>
      <c r="B175" s="1605"/>
      <c r="C175" s="1605"/>
      <c r="D175" s="1588" t="s">
        <v>235</v>
      </c>
      <c r="E175" s="1588"/>
      <c r="F175" s="1588" t="s">
        <v>235</v>
      </c>
      <c r="G175" s="1588"/>
    </row>
    <row r="176" spans="1:7" x14ac:dyDescent="0.15">
      <c r="A176" s="1605"/>
      <c r="B176" s="1605"/>
      <c r="C176" s="1605"/>
      <c r="D176" s="88" t="s">
        <v>302</v>
      </c>
      <c r="E176" s="89" t="s">
        <v>296</v>
      </c>
      <c r="F176" s="88" t="s">
        <v>301</v>
      </c>
      <c r="G176" s="89" t="s">
        <v>296</v>
      </c>
    </row>
    <row r="177" spans="1:7" x14ac:dyDescent="0.15">
      <c r="A177" s="1605"/>
      <c r="B177" s="1605"/>
      <c r="C177" s="1605"/>
      <c r="D177" s="88" t="s">
        <v>237</v>
      </c>
      <c r="E177" s="89">
        <v>0</v>
      </c>
      <c r="F177" s="88" t="s">
        <v>237</v>
      </c>
      <c r="G177" s="89">
        <v>0</v>
      </c>
    </row>
    <row r="178" spans="1:7" x14ac:dyDescent="0.15">
      <c r="A178" s="1605"/>
      <c r="B178" s="1605"/>
      <c r="C178" s="1606"/>
      <c r="D178" s="88" t="s">
        <v>300</v>
      </c>
      <c r="E178" s="89" t="s">
        <v>297</v>
      </c>
      <c r="F178" s="88" t="s">
        <v>300</v>
      </c>
      <c r="G178" s="89" t="s">
        <v>297</v>
      </c>
    </row>
    <row r="179" spans="1:7" x14ac:dyDescent="0.15">
      <c r="A179" s="1606"/>
      <c r="B179" s="1606"/>
      <c r="C179" s="88"/>
      <c r="D179" s="88"/>
      <c r="E179" s="89"/>
      <c r="F179" s="88"/>
      <c r="G179" s="89"/>
    </row>
    <row r="180" spans="1:7" ht="12.75" customHeight="1" x14ac:dyDescent="0.15">
      <c r="A180" s="1584">
        <v>12</v>
      </c>
      <c r="B180" s="1600" t="s">
        <v>267</v>
      </c>
      <c r="C180" s="1589" t="s">
        <v>268</v>
      </c>
      <c r="D180" s="88"/>
      <c r="E180" s="89"/>
      <c r="F180" s="88"/>
      <c r="G180" s="121"/>
    </row>
    <row r="181" spans="1:7" ht="35.25" x14ac:dyDescent="0.15">
      <c r="A181" s="1585"/>
      <c r="B181" s="1601"/>
      <c r="C181" s="1591"/>
      <c r="D181" s="88" t="s">
        <v>330</v>
      </c>
      <c r="E181" s="89">
        <v>1.5</v>
      </c>
      <c r="F181" s="88" t="s">
        <v>341</v>
      </c>
      <c r="G181" s="121">
        <f>E181+$I$2</f>
        <v>2.2999999999999998</v>
      </c>
    </row>
    <row r="182" spans="1:7" x14ac:dyDescent="0.15">
      <c r="A182" s="1585"/>
      <c r="B182" s="1601"/>
      <c r="C182" s="1589" t="s">
        <v>269</v>
      </c>
      <c r="D182" s="88" t="s">
        <v>270</v>
      </c>
      <c r="E182" s="89">
        <v>30</v>
      </c>
      <c r="F182" s="88" t="s">
        <v>270</v>
      </c>
      <c r="G182" s="121">
        <v>30</v>
      </c>
    </row>
    <row r="183" spans="1:7" x14ac:dyDescent="0.15">
      <c r="A183" s="1585"/>
      <c r="B183" s="1601"/>
      <c r="C183" s="1591"/>
      <c r="D183" s="88" t="s">
        <v>214</v>
      </c>
      <c r="E183" s="89">
        <v>1.5</v>
      </c>
      <c r="F183" s="88" t="s">
        <v>214</v>
      </c>
      <c r="G183" s="121">
        <f>E183+$I$2</f>
        <v>2.2999999999999998</v>
      </c>
    </row>
    <row r="184" spans="1:7" x14ac:dyDescent="0.15">
      <c r="A184" s="1585"/>
      <c r="B184" s="1601"/>
      <c r="C184" s="1589" t="s">
        <v>271</v>
      </c>
      <c r="D184" s="88" t="s">
        <v>270</v>
      </c>
      <c r="E184" s="89">
        <v>10</v>
      </c>
      <c r="F184" s="88" t="s">
        <v>270</v>
      </c>
      <c r="G184" s="121">
        <v>10</v>
      </c>
    </row>
    <row r="185" spans="1:7" x14ac:dyDescent="0.15">
      <c r="A185" s="1586"/>
      <c r="B185" s="1602"/>
      <c r="C185" s="1591"/>
      <c r="D185" s="88" t="s">
        <v>214</v>
      </c>
      <c r="E185" s="89">
        <v>1.5</v>
      </c>
      <c r="F185" s="88" t="s">
        <v>214</v>
      </c>
      <c r="G185" s="121">
        <f>E185+$I$2</f>
        <v>2.2999999999999998</v>
      </c>
    </row>
    <row r="186" spans="1:7" ht="69.75" x14ac:dyDescent="0.15">
      <c r="A186" s="123">
        <v>13</v>
      </c>
      <c r="B186" s="123" t="s">
        <v>272</v>
      </c>
      <c r="C186" s="88" t="s">
        <v>273</v>
      </c>
      <c r="D186" s="88" t="s">
        <v>337</v>
      </c>
      <c r="E186" s="89">
        <v>3.5</v>
      </c>
      <c r="F186" s="88" t="s">
        <v>342</v>
      </c>
      <c r="G186" s="121">
        <f>E186+$I$2</f>
        <v>4.3</v>
      </c>
    </row>
    <row r="187" spans="1:7" ht="31.5" customHeight="1" x14ac:dyDescent="0.15">
      <c r="A187" s="119"/>
      <c r="B187" s="119"/>
      <c r="C187" s="88"/>
      <c r="D187" s="1595" t="s">
        <v>321</v>
      </c>
      <c r="E187" s="1596"/>
      <c r="F187" s="1595" t="s">
        <v>274</v>
      </c>
      <c r="G187" s="1596"/>
    </row>
    <row r="188" spans="1:7" ht="12.75" customHeight="1" x14ac:dyDescent="0.15">
      <c r="A188" s="1584">
        <v>14</v>
      </c>
      <c r="B188" s="1584" t="s">
        <v>316</v>
      </c>
      <c r="C188" s="1589" t="s">
        <v>317</v>
      </c>
      <c r="D188" s="88" t="s">
        <v>263</v>
      </c>
      <c r="E188" s="89">
        <v>100</v>
      </c>
      <c r="F188" s="88" t="s">
        <v>263</v>
      </c>
      <c r="G188" s="89">
        <v>100</v>
      </c>
    </row>
    <row r="189" spans="1:7" x14ac:dyDescent="0.15">
      <c r="A189" s="1585"/>
      <c r="B189" s="1585"/>
      <c r="C189" s="1590"/>
      <c r="D189" s="88" t="s">
        <v>199</v>
      </c>
      <c r="E189" s="89"/>
      <c r="F189" s="88" t="s">
        <v>199</v>
      </c>
      <c r="G189" s="89"/>
    </row>
    <row r="190" spans="1:7" ht="18.75" customHeight="1" x14ac:dyDescent="0.15">
      <c r="A190" s="1585"/>
      <c r="B190" s="1585"/>
      <c r="C190" s="1590"/>
      <c r="D190" s="88" t="s">
        <v>252</v>
      </c>
      <c r="E190" s="89">
        <v>5.3</v>
      </c>
      <c r="F190" s="88" t="s">
        <v>252</v>
      </c>
      <c r="G190" s="121">
        <f>E190+$I$2</f>
        <v>6.1</v>
      </c>
    </row>
    <row r="191" spans="1:7" ht="21.75" customHeight="1" x14ac:dyDescent="0.15">
      <c r="A191" s="1586"/>
      <c r="B191" s="1586"/>
      <c r="C191" s="1591"/>
      <c r="D191" s="88"/>
      <c r="E191" s="89"/>
      <c r="F191" s="88"/>
      <c r="G191" s="89"/>
    </row>
    <row r="192" spans="1:7" x14ac:dyDescent="0.15">
      <c r="A192" s="1587">
        <v>15</v>
      </c>
      <c r="B192" s="1587" t="s">
        <v>318</v>
      </c>
      <c r="C192" s="1592" t="s">
        <v>319</v>
      </c>
      <c r="D192" s="88" t="s">
        <v>248</v>
      </c>
      <c r="E192" s="89"/>
      <c r="F192" s="88" t="s">
        <v>248</v>
      </c>
      <c r="G192" s="89"/>
    </row>
    <row r="193" spans="1:7" x14ac:dyDescent="0.15">
      <c r="A193" s="1587"/>
      <c r="B193" s="1587"/>
      <c r="C193" s="1592"/>
      <c r="D193" s="88" t="s">
        <v>246</v>
      </c>
      <c r="E193" s="122">
        <v>9</v>
      </c>
      <c r="F193" s="88" t="s">
        <v>246</v>
      </c>
      <c r="G193" s="122">
        <f>E193+$I$2</f>
        <v>9.8000000000000007</v>
      </c>
    </row>
    <row r="194" spans="1:7" ht="45" customHeight="1" x14ac:dyDescent="0.15">
      <c r="A194" s="1587"/>
      <c r="B194" s="1587"/>
      <c r="C194" s="1592"/>
      <c r="D194" s="1588" t="s">
        <v>322</v>
      </c>
      <c r="E194" s="1588"/>
      <c r="F194" s="1588" t="s">
        <v>323</v>
      </c>
      <c r="G194" s="1588"/>
    </row>
    <row r="197" spans="1:7" x14ac:dyDescent="0.15">
      <c r="C197" s="120" t="s">
        <v>275</v>
      </c>
    </row>
    <row r="198" spans="1:7" x14ac:dyDescent="0.15">
      <c r="B198" s="120">
        <v>1</v>
      </c>
      <c r="C198" s="120" t="s">
        <v>276</v>
      </c>
    </row>
    <row r="199" spans="1:7" x14ac:dyDescent="0.15">
      <c r="B199" s="120">
        <v>2</v>
      </c>
      <c r="C199" s="120" t="s">
        <v>277</v>
      </c>
    </row>
  </sheetData>
  <mergeCells count="97">
    <mergeCell ref="D175:E175"/>
    <mergeCell ref="F175:G175"/>
    <mergeCell ref="B173:B179"/>
    <mergeCell ref="A173:A179"/>
    <mergeCell ref="C174:C178"/>
    <mergeCell ref="D174:E174"/>
    <mergeCell ref="F174:G174"/>
    <mergeCell ref="A1:D1"/>
    <mergeCell ref="D4:E4"/>
    <mergeCell ref="A6:A7"/>
    <mergeCell ref="B6:B7"/>
    <mergeCell ref="C6:C7"/>
    <mergeCell ref="A2:G2"/>
    <mergeCell ref="D24:E24"/>
    <mergeCell ref="A25:A36"/>
    <mergeCell ref="B25:B36"/>
    <mergeCell ref="C25:C30"/>
    <mergeCell ref="C31:C36"/>
    <mergeCell ref="A8:A24"/>
    <mergeCell ref="B8:B24"/>
    <mergeCell ref="C8:C15"/>
    <mergeCell ref="C16:C23"/>
    <mergeCell ref="C67:C68"/>
    <mergeCell ref="A69:A107"/>
    <mergeCell ref="B69:B107"/>
    <mergeCell ref="D69:E69"/>
    <mergeCell ref="C38:C43"/>
    <mergeCell ref="C44:C49"/>
    <mergeCell ref="A50:A68"/>
    <mergeCell ref="B50:B60"/>
    <mergeCell ref="C51:C60"/>
    <mergeCell ref="D102:E102"/>
    <mergeCell ref="C62:C63"/>
    <mergeCell ref="C65:C66"/>
    <mergeCell ref="A37:A49"/>
    <mergeCell ref="B37:B49"/>
    <mergeCell ref="D37:E37"/>
    <mergeCell ref="F102:G102"/>
    <mergeCell ref="C70:C84"/>
    <mergeCell ref="C85:C99"/>
    <mergeCell ref="C101:C107"/>
    <mergeCell ref="D101:E101"/>
    <mergeCell ref="F101:G101"/>
    <mergeCell ref="D124:E124"/>
    <mergeCell ref="A108:A115"/>
    <mergeCell ref="C109:C111"/>
    <mergeCell ref="C112:C114"/>
    <mergeCell ref="A116:A119"/>
    <mergeCell ref="C116:C118"/>
    <mergeCell ref="B116:B118"/>
    <mergeCell ref="B109:B114"/>
    <mergeCell ref="C132:C137"/>
    <mergeCell ref="C139:C144"/>
    <mergeCell ref="C146:C148"/>
    <mergeCell ref="B132:B148"/>
    <mergeCell ref="A121:A130"/>
    <mergeCell ref="B121:B130"/>
    <mergeCell ref="C121:C130"/>
    <mergeCell ref="A132:A148"/>
    <mergeCell ref="A162:A172"/>
    <mergeCell ref="F150:G150"/>
    <mergeCell ref="F156:G156"/>
    <mergeCell ref="D138:E138"/>
    <mergeCell ref="B150:B161"/>
    <mergeCell ref="F138:G138"/>
    <mergeCell ref="B162:B172"/>
    <mergeCell ref="C162:C166"/>
    <mergeCell ref="C167:C172"/>
    <mergeCell ref="A150:A161"/>
    <mergeCell ref="D167:E167"/>
    <mergeCell ref="F167:G167"/>
    <mergeCell ref="A180:A185"/>
    <mergeCell ref="B180:B185"/>
    <mergeCell ref="C180:C181"/>
    <mergeCell ref="C182:C183"/>
    <mergeCell ref="C184:C185"/>
    <mergeCell ref="F194:G194"/>
    <mergeCell ref="C188:C191"/>
    <mergeCell ref="C192:C194"/>
    <mergeCell ref="F4:G4"/>
    <mergeCell ref="F24:G24"/>
    <mergeCell ref="F37:G37"/>
    <mergeCell ref="F69:G69"/>
    <mergeCell ref="F124:G124"/>
    <mergeCell ref="D187:E187"/>
    <mergeCell ref="F187:G187"/>
    <mergeCell ref="D131:E131"/>
    <mergeCell ref="D156:E156"/>
    <mergeCell ref="D150:E150"/>
    <mergeCell ref="C151:C155"/>
    <mergeCell ref="C156:C161"/>
    <mergeCell ref="F131:G131"/>
    <mergeCell ref="B188:B191"/>
    <mergeCell ref="B192:B194"/>
    <mergeCell ref="A188:A191"/>
    <mergeCell ref="A192:A194"/>
    <mergeCell ref="D194:E194"/>
  </mergeCells>
  <printOptions horizontalCentered="1"/>
  <pageMargins left="0" right="0" top="0.25" bottom="0.25" header="0.25" footer="0.25"/>
  <pageSetup paperSize="8" scale="3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281"/>
  <sheetViews>
    <sheetView topLeftCell="A124" zoomScale="75" zoomScaleNormal="75" workbookViewId="0">
      <selection activeCell="S168" sqref="S168"/>
    </sheetView>
  </sheetViews>
  <sheetFormatPr defaultRowHeight="12.75" x14ac:dyDescent="0.15"/>
  <cols>
    <col min="5" max="5" width="16.5859375" customWidth="1"/>
    <col min="6" max="9" width="9.3046875" bestFit="1" customWidth="1"/>
    <col min="11" max="14" width="9.3046875" bestFit="1" customWidth="1"/>
    <col min="16" max="16" width="13.88671875" bestFit="1" customWidth="1"/>
    <col min="17" max="17" width="15.640625" bestFit="1" customWidth="1"/>
    <col min="18" max="18" width="9.3046875" bestFit="1" customWidth="1"/>
    <col min="19" max="19" width="14.83203125" bestFit="1" customWidth="1"/>
    <col min="20" max="22" width="9.3046875" bestFit="1" customWidth="1"/>
    <col min="26" max="26" width="9.3046875" bestFit="1" customWidth="1"/>
    <col min="32" max="32" width="15.37109375" customWidth="1"/>
  </cols>
  <sheetData>
    <row r="1" spans="1:26" x14ac:dyDescent="0.15">
      <c r="A1" t="s">
        <v>617</v>
      </c>
    </row>
    <row r="5" spans="1:26" x14ac:dyDescent="0.15">
      <c r="E5" t="s">
        <v>494</v>
      </c>
    </row>
    <row r="6" spans="1:26" x14ac:dyDescent="0.15">
      <c r="E6" t="s">
        <v>18</v>
      </c>
      <c r="K6" t="s">
        <v>18</v>
      </c>
      <c r="P6" t="s">
        <v>18</v>
      </c>
    </row>
    <row r="7" spans="1:26" x14ac:dyDescent="0.15">
      <c r="E7" t="s">
        <v>18</v>
      </c>
      <c r="K7" t="s">
        <v>18</v>
      </c>
      <c r="P7" t="s">
        <v>18</v>
      </c>
    </row>
    <row r="8" spans="1:26" x14ac:dyDescent="0.15">
      <c r="E8" t="s">
        <v>495</v>
      </c>
      <c r="J8" t="s">
        <v>496</v>
      </c>
      <c r="O8" t="s">
        <v>497</v>
      </c>
    </row>
    <row r="9" spans="1:26" x14ac:dyDescent="0.15">
      <c r="E9" t="s">
        <v>31</v>
      </c>
      <c r="F9" t="s">
        <v>498</v>
      </c>
      <c r="G9" t="s">
        <v>499</v>
      </c>
      <c r="H9" t="s">
        <v>500</v>
      </c>
      <c r="I9" t="s">
        <v>501</v>
      </c>
      <c r="K9" t="s">
        <v>498</v>
      </c>
      <c r="L9" t="s">
        <v>499</v>
      </c>
      <c r="M9" t="s">
        <v>500</v>
      </c>
      <c r="N9" t="s">
        <v>501</v>
      </c>
      <c r="P9" t="s">
        <v>498</v>
      </c>
      <c r="Q9" t="s">
        <v>499</v>
      </c>
      <c r="R9" t="s">
        <v>500</v>
      </c>
      <c r="S9" t="s">
        <v>501</v>
      </c>
      <c r="T9" t="s">
        <v>502</v>
      </c>
      <c r="U9" t="s">
        <v>503</v>
      </c>
      <c r="V9" t="s">
        <v>504</v>
      </c>
    </row>
    <row r="10" spans="1:26" x14ac:dyDescent="0.15">
      <c r="E10" t="s">
        <v>505</v>
      </c>
      <c r="F10">
        <v>770651</v>
      </c>
      <c r="G10">
        <v>175.53</v>
      </c>
      <c r="H10" s="1178">
        <v>0</v>
      </c>
      <c r="I10">
        <v>0</v>
      </c>
      <c r="K10">
        <v>775057</v>
      </c>
      <c r="L10">
        <v>178.26</v>
      </c>
      <c r="M10" s="1178">
        <v>0</v>
      </c>
      <c r="N10">
        <v>0</v>
      </c>
      <c r="P10" s="1179">
        <v>775057</v>
      </c>
      <c r="Q10" s="509">
        <f>ROUND(Z10,2)</f>
        <v>178.06</v>
      </c>
      <c r="R10" s="1178">
        <v>0</v>
      </c>
      <c r="S10" s="1178">
        <v>-1.5985187242689927E-5</v>
      </c>
      <c r="T10">
        <v>0</v>
      </c>
      <c r="U10">
        <v>-0.202846322440422</v>
      </c>
      <c r="V10">
        <v>775057</v>
      </c>
      <c r="X10" s="1180">
        <f t="shared" ref="X10:X38" si="0">+Q10-L10</f>
        <v>-0.19999999999998863</v>
      </c>
      <c r="Z10" s="509">
        <v>178.05715367755957</v>
      </c>
    </row>
    <row r="11" spans="1:26" x14ac:dyDescent="0.15">
      <c r="E11" t="s">
        <v>505</v>
      </c>
      <c r="F11">
        <v>72716</v>
      </c>
      <c r="G11">
        <v>69.39</v>
      </c>
      <c r="H11" s="1178">
        <v>0</v>
      </c>
      <c r="I11">
        <v>0</v>
      </c>
      <c r="K11">
        <v>68304</v>
      </c>
      <c r="L11">
        <v>65.569999999999993</v>
      </c>
      <c r="M11" s="1178">
        <v>0</v>
      </c>
      <c r="N11">
        <v>0</v>
      </c>
      <c r="P11" s="1179">
        <v>68304</v>
      </c>
      <c r="Q11" s="509">
        <f t="shared" ref="Q11:Q33" si="1">ROUND(Z11,2)</f>
        <v>65.81</v>
      </c>
      <c r="R11" s="1178">
        <v>0</v>
      </c>
      <c r="S11" s="1178">
        <v>0</v>
      </c>
      <c r="T11">
        <v>0</v>
      </c>
      <c r="U11">
        <v>0.23953792000000362</v>
      </c>
      <c r="V11">
        <v>68304</v>
      </c>
      <c r="X11" s="1180">
        <f t="shared" si="0"/>
        <v>0.24000000000000909</v>
      </c>
      <c r="Z11" s="509">
        <v>65.809537919999997</v>
      </c>
    </row>
    <row r="12" spans="1:26" x14ac:dyDescent="0.15">
      <c r="E12" t="s">
        <v>506</v>
      </c>
      <c r="F12">
        <v>9762977</v>
      </c>
      <c r="G12">
        <v>7908.47</v>
      </c>
      <c r="H12" s="1178">
        <v>4.6839833270435616E-2</v>
      </c>
      <c r="I12">
        <v>3.6534558546473805E-2</v>
      </c>
      <c r="K12">
        <v>9665260</v>
      </c>
      <c r="L12">
        <v>8051.1</v>
      </c>
      <c r="M12" s="1178">
        <v>3.8889985853633423E-2</v>
      </c>
      <c r="N12">
        <v>3.0761135500324607E-2</v>
      </c>
      <c r="P12" s="1179">
        <v>9680700</v>
      </c>
      <c r="Q12" s="509">
        <f t="shared" si="1"/>
        <v>8038.47</v>
      </c>
      <c r="R12" s="1178">
        <v>4.0549585427941834E-2</v>
      </c>
      <c r="S12" s="1178">
        <v>2.8483146426812166E-2</v>
      </c>
      <c r="T12">
        <v>15440</v>
      </c>
      <c r="U12">
        <v>-12.630000000000109</v>
      </c>
      <c r="V12">
        <v>9492075</v>
      </c>
      <c r="X12" s="1180">
        <f>+Q12-L12</f>
        <v>-12.630000000000109</v>
      </c>
      <c r="Z12" s="509">
        <v>8038.47</v>
      </c>
    </row>
    <row r="13" spans="1:26" x14ac:dyDescent="0.15">
      <c r="E13" t="s">
        <v>507</v>
      </c>
      <c r="F13">
        <v>13305</v>
      </c>
      <c r="G13">
        <v>60.81</v>
      </c>
      <c r="H13" s="1178">
        <v>2.2101939557961137E-2</v>
      </c>
      <c r="I13">
        <v>7.786383251086626E-2</v>
      </c>
      <c r="K13">
        <v>13503</v>
      </c>
      <c r="L13">
        <v>56.5</v>
      </c>
      <c r="M13" s="1178">
        <v>1.4043256233103034E-2</v>
      </c>
      <c r="N13">
        <v>1.8385003604902594E-2</v>
      </c>
      <c r="P13" s="1179">
        <v>13558</v>
      </c>
      <c r="Q13" s="509">
        <f t="shared" si="1"/>
        <v>58.52</v>
      </c>
      <c r="R13" s="1178">
        <v>1.9245226281762142E-2</v>
      </c>
      <c r="S13" s="1178">
        <v>1.5110509697789834E-2</v>
      </c>
      <c r="T13">
        <v>55</v>
      </c>
      <c r="U13">
        <v>2.0211208840775825</v>
      </c>
      <c r="V13">
        <v>13430</v>
      </c>
      <c r="X13" s="1180">
        <f t="shared" si="0"/>
        <v>2.0200000000000031</v>
      </c>
      <c r="Z13" s="509">
        <v>58.521120884077583</v>
      </c>
    </row>
    <row r="14" spans="1:26" x14ac:dyDescent="0.15">
      <c r="E14" t="s">
        <v>508</v>
      </c>
      <c r="F14">
        <v>1332668</v>
      </c>
      <c r="G14">
        <v>2481.04</v>
      </c>
      <c r="H14" s="1178">
        <v>4.121318093492099E-2</v>
      </c>
      <c r="I14">
        <v>6.9710795566868322E-2</v>
      </c>
      <c r="K14">
        <v>1318338</v>
      </c>
      <c r="L14">
        <v>2308.5700000000002</v>
      </c>
      <c r="M14" s="1178">
        <v>3.4636526019381511E-2</v>
      </c>
      <c r="N14">
        <v>2.0718836632459568E-2</v>
      </c>
      <c r="P14" s="1179">
        <v>1320467</v>
      </c>
      <c r="Q14" s="509">
        <f t="shared" si="1"/>
        <v>2343.84</v>
      </c>
      <c r="R14" s="1178">
        <v>3.6307373073699342E-2</v>
      </c>
      <c r="S14" s="1178">
        <v>3.6308650053941405E-2</v>
      </c>
      <c r="T14">
        <v>2129</v>
      </c>
      <c r="U14">
        <v>35.269999999999982</v>
      </c>
      <c r="V14">
        <v>1297336</v>
      </c>
      <c r="X14" s="1180">
        <f t="shared" si="0"/>
        <v>35.269999999999982</v>
      </c>
      <c r="Z14" s="509">
        <v>2343.84</v>
      </c>
    </row>
    <row r="15" spans="1:26" x14ac:dyDescent="0.15">
      <c r="E15" t="s">
        <v>509</v>
      </c>
      <c r="F15">
        <v>1007765</v>
      </c>
      <c r="G15">
        <v>7273.38</v>
      </c>
      <c r="H15" s="1178">
        <v>1.7440862603357976E-2</v>
      </c>
      <c r="I15">
        <v>1.7594667875460601E-2</v>
      </c>
      <c r="K15">
        <v>1034387</v>
      </c>
      <c r="L15">
        <v>6266.32</v>
      </c>
      <c r="M15" s="1178">
        <v>1.9716341002004166E-2</v>
      </c>
      <c r="N15">
        <v>3.5021447601617982E-2</v>
      </c>
      <c r="P15" s="1179">
        <v>1043427</v>
      </c>
      <c r="Q15" s="509">
        <f t="shared" si="1"/>
        <v>6140.96</v>
      </c>
      <c r="R15" s="1178">
        <v>2.8628127134910048E-2</v>
      </c>
      <c r="S15" s="1178">
        <v>1.4315468865878587E-2</v>
      </c>
      <c r="T15">
        <v>9040</v>
      </c>
      <c r="U15">
        <v>-125.35999999999967</v>
      </c>
      <c r="V15">
        <v>1028907</v>
      </c>
      <c r="X15" s="1180">
        <f>+Q15-L15</f>
        <v>-125.35999999999967</v>
      </c>
      <c r="Z15" s="509">
        <v>6140.96</v>
      </c>
    </row>
    <row r="16" spans="1:26" x14ac:dyDescent="0.15">
      <c r="E16" t="s">
        <v>510</v>
      </c>
      <c r="F16">
        <v>240</v>
      </c>
      <c r="G16">
        <v>1.87</v>
      </c>
      <c r="H16" s="1178">
        <v>-0.61844197138314783</v>
      </c>
      <c r="I16">
        <v>-0.53317342598105721</v>
      </c>
      <c r="K16">
        <v>765</v>
      </c>
      <c r="L16">
        <v>2.04</v>
      </c>
      <c r="M16" s="1178">
        <v>0</v>
      </c>
      <c r="N16">
        <v>5.6994818652849791E-2</v>
      </c>
      <c r="P16" s="1179">
        <v>670</v>
      </c>
      <c r="Q16" s="509">
        <f t="shared" si="1"/>
        <v>4.26</v>
      </c>
      <c r="R16" s="1178">
        <v>6.518282988871224E-2</v>
      </c>
      <c r="S16" s="1178">
        <v>6.4274358392005349E-2</v>
      </c>
      <c r="T16">
        <v>-95</v>
      </c>
      <c r="U16">
        <v>2.2199999999999998</v>
      </c>
      <c r="V16">
        <v>650</v>
      </c>
      <c r="X16" s="1180">
        <f t="shared" si="0"/>
        <v>2.2199999999999998</v>
      </c>
      <c r="Z16" s="509">
        <v>4.26</v>
      </c>
    </row>
    <row r="17" spans="5:32" x14ac:dyDescent="0.15">
      <c r="E17" t="s">
        <v>87</v>
      </c>
      <c r="F17">
        <v>2124</v>
      </c>
      <c r="G17">
        <v>6.38</v>
      </c>
      <c r="H17" s="1178">
        <v>5.1467051467051439E-2</v>
      </c>
      <c r="I17">
        <v>0.12840399488698107</v>
      </c>
      <c r="K17">
        <v>2194</v>
      </c>
      <c r="L17">
        <v>6.31</v>
      </c>
      <c r="M17" s="1178">
        <v>5.5315055315055317E-2</v>
      </c>
      <c r="N17">
        <v>4.4701986754966817E-2</v>
      </c>
      <c r="P17" s="1179">
        <v>2199</v>
      </c>
      <c r="Q17" s="509">
        <f t="shared" si="1"/>
        <v>5.98</v>
      </c>
      <c r="R17" s="1178">
        <v>5.772005772005772E-2</v>
      </c>
      <c r="S17" s="1178">
        <v>2.6154840023453325E-2</v>
      </c>
      <c r="T17">
        <v>5</v>
      </c>
      <c r="U17">
        <v>-0.32999999999999918</v>
      </c>
      <c r="V17">
        <v>2139</v>
      </c>
      <c r="X17" s="1180">
        <f t="shared" si="0"/>
        <v>-0.32999999999999918</v>
      </c>
      <c r="Z17" s="509">
        <v>5.98</v>
      </c>
    </row>
    <row r="18" spans="5:32" x14ac:dyDescent="0.15">
      <c r="E18" t="s">
        <v>511</v>
      </c>
      <c r="F18">
        <v>250952</v>
      </c>
      <c r="G18">
        <v>1255.3900000000001</v>
      </c>
      <c r="H18" s="1178">
        <v>3.5809062425079086E-2</v>
      </c>
      <c r="I18">
        <v>-2.4749805836757677E-2</v>
      </c>
      <c r="K18">
        <v>250147</v>
      </c>
      <c r="L18">
        <v>1429.48</v>
      </c>
      <c r="M18" s="1178">
        <v>3.3998561519828704E-2</v>
      </c>
      <c r="N18">
        <v>2.8336294772281004E-2</v>
      </c>
      <c r="P18" s="1179">
        <v>250368</v>
      </c>
      <c r="Q18" s="509">
        <f t="shared" si="1"/>
        <v>1356.31</v>
      </c>
      <c r="R18" s="1178">
        <v>3.4912079099875169E-2</v>
      </c>
      <c r="S18" s="1178">
        <v>8.1690601492581758E-3</v>
      </c>
      <c r="T18">
        <v>221</v>
      </c>
      <c r="U18">
        <v>-73.170000000000073</v>
      </c>
      <c r="V18">
        <v>246145</v>
      </c>
      <c r="X18" s="1180">
        <f t="shared" si="0"/>
        <v>-73.170000000000073</v>
      </c>
      <c r="Z18" s="509">
        <v>1356.31</v>
      </c>
    </row>
    <row r="19" spans="5:32" x14ac:dyDescent="0.15">
      <c r="E19" t="s">
        <v>512</v>
      </c>
      <c r="F19">
        <v>103956</v>
      </c>
      <c r="G19">
        <v>1626.3</v>
      </c>
      <c r="H19" s="1178">
        <v>5.3962231796454763E-2</v>
      </c>
      <c r="I19">
        <v>5.3962231796454763E-2</v>
      </c>
      <c r="K19">
        <v>96816</v>
      </c>
      <c r="L19">
        <v>1626.41</v>
      </c>
      <c r="M19" s="1178">
        <v>3.7618159603883997E-2</v>
      </c>
      <c r="N19">
        <v>6.3826586343805503E-2</v>
      </c>
      <c r="P19" s="1179">
        <v>97187</v>
      </c>
      <c r="Q19" s="509">
        <f t="shared" si="1"/>
        <v>1626.41</v>
      </c>
      <c r="R19" s="1178">
        <v>4.1594324052043816E-2</v>
      </c>
      <c r="S19" s="1178">
        <v>0.11216646835979702</v>
      </c>
      <c r="T19">
        <v>371</v>
      </c>
      <c r="U19">
        <v>0</v>
      </c>
      <c r="V19">
        <v>95247</v>
      </c>
      <c r="X19" s="1180">
        <f t="shared" si="0"/>
        <v>0</v>
      </c>
      <c r="Z19" s="509">
        <v>1626.41</v>
      </c>
    </row>
    <row r="20" spans="5:32" x14ac:dyDescent="0.15">
      <c r="E20" t="s">
        <v>513</v>
      </c>
      <c r="F20">
        <v>81213</v>
      </c>
      <c r="G20">
        <v>593.54</v>
      </c>
      <c r="H20" s="1178">
        <v>3.3118145383858488E-2</v>
      </c>
      <c r="I20">
        <v>2.563874670108901E-2</v>
      </c>
      <c r="K20">
        <v>89067</v>
      </c>
      <c r="L20">
        <v>676.6</v>
      </c>
      <c r="M20" s="1178">
        <v>7.2024361180987692E-2</v>
      </c>
      <c r="N20">
        <v>6.2383217925165289E-2</v>
      </c>
      <c r="P20" s="1179">
        <v>88814</v>
      </c>
      <c r="Q20" s="509">
        <f t="shared" si="1"/>
        <v>676.6</v>
      </c>
      <c r="R20" s="1178">
        <v>6.5708320334061293E-2</v>
      </c>
      <c r="S20" s="1178">
        <v>5.271346776201144E-2</v>
      </c>
      <c r="T20">
        <v>-253</v>
      </c>
      <c r="U20">
        <v>0</v>
      </c>
      <c r="V20">
        <v>86076</v>
      </c>
      <c r="X20" s="1180">
        <f t="shared" si="0"/>
        <v>0</v>
      </c>
      <c r="Z20" s="509">
        <v>676.6</v>
      </c>
    </row>
    <row r="21" spans="5:32" x14ac:dyDescent="0.15">
      <c r="E21" t="s">
        <v>514</v>
      </c>
      <c r="F21">
        <v>150</v>
      </c>
      <c r="G21">
        <v>0.4</v>
      </c>
      <c r="H21" s="1178">
        <v>0</v>
      </c>
      <c r="I21">
        <v>0</v>
      </c>
      <c r="K21">
        <v>510</v>
      </c>
      <c r="L21">
        <v>5.84</v>
      </c>
      <c r="M21" s="1178">
        <v>1</v>
      </c>
      <c r="N21">
        <v>-3.4129692832763781E-3</v>
      </c>
      <c r="P21" s="1179">
        <v>510</v>
      </c>
      <c r="Q21" s="509">
        <f t="shared" si="1"/>
        <v>11.72</v>
      </c>
      <c r="R21" s="1178">
        <v>1</v>
      </c>
      <c r="S21" s="1178">
        <v>1</v>
      </c>
      <c r="T21">
        <v>0</v>
      </c>
      <c r="U21">
        <v>5.879999999999999</v>
      </c>
      <c r="V21">
        <v>383</v>
      </c>
      <c r="X21" s="1180">
        <f t="shared" si="0"/>
        <v>5.8800000000000008</v>
      </c>
      <c r="Z21" s="509">
        <v>11.719999999999999</v>
      </c>
    </row>
    <row r="22" spans="5:32" x14ac:dyDescent="0.15">
      <c r="E22" t="s">
        <v>15</v>
      </c>
      <c r="F22">
        <v>1112441</v>
      </c>
      <c r="G22">
        <v>254.71</v>
      </c>
      <c r="H22" s="1178">
        <v>0.11345201442910158</v>
      </c>
      <c r="I22">
        <v>0.13532427011366166</v>
      </c>
      <c r="K22">
        <v>1083461</v>
      </c>
      <c r="L22">
        <v>346.54</v>
      </c>
      <c r="M22" s="1178">
        <v>8.8912093942275033E-2</v>
      </c>
      <c r="N22">
        <v>0.20749851911216421</v>
      </c>
      <c r="P22" s="1179">
        <v>1083461</v>
      </c>
      <c r="Q22" s="509">
        <f t="shared" si="1"/>
        <v>346.54</v>
      </c>
      <c r="R22" s="1178">
        <v>8.8912093942275033E-2</v>
      </c>
      <c r="S22" s="1178">
        <v>0.20749851911216421</v>
      </c>
      <c r="T22">
        <v>0</v>
      </c>
      <c r="U22">
        <v>0</v>
      </c>
      <c r="V22">
        <v>1039228</v>
      </c>
      <c r="X22" s="1180">
        <f t="shared" si="0"/>
        <v>0</v>
      </c>
      <c r="Z22" s="509">
        <v>346.54</v>
      </c>
    </row>
    <row r="23" spans="5:32" x14ac:dyDescent="0.15">
      <c r="E23" t="s">
        <v>177</v>
      </c>
      <c r="F23">
        <v>14511158</v>
      </c>
      <c r="G23">
        <v>21707.210000000003</v>
      </c>
      <c r="H23" s="1178">
        <v>4.591667051719539E-2</v>
      </c>
      <c r="I23">
        <v>3.1974560609037583E-2</v>
      </c>
      <c r="K23">
        <v>14397809</v>
      </c>
      <c r="L23">
        <v>21019.54</v>
      </c>
      <c r="M23" s="1178">
        <v>3.8419282457037338E-2</v>
      </c>
      <c r="N23">
        <v>3.6325941995045095E-2</v>
      </c>
      <c r="P23" s="1179">
        <v>14424722</v>
      </c>
      <c r="Q23" s="509">
        <f t="shared" si="1"/>
        <v>20853.48</v>
      </c>
      <c r="R23" s="1178">
        <v>4.0352461618728755E-2</v>
      </c>
      <c r="S23" s="1178">
        <v>3.3041816692299546E-2</v>
      </c>
      <c r="T23">
        <v>26913</v>
      </c>
      <c r="U23">
        <v>-166.06218751836269</v>
      </c>
      <c r="V23">
        <v>14144977</v>
      </c>
      <c r="X23" s="1180">
        <f t="shared" si="0"/>
        <v>-166.06000000000131</v>
      </c>
      <c r="Z23" s="509">
        <v>20853.477812481637</v>
      </c>
    </row>
    <row r="24" spans="5:32" x14ac:dyDescent="0.15">
      <c r="H24" s="1178">
        <v>0</v>
      </c>
      <c r="I24">
        <v>0</v>
      </c>
      <c r="M24" s="1178" t="e">
        <v>#DIV/0!</v>
      </c>
      <c r="N24" t="e">
        <v>#DIV/0!</v>
      </c>
      <c r="P24" s="1179"/>
      <c r="Q24" s="509">
        <f t="shared" si="1"/>
        <v>0</v>
      </c>
      <c r="R24" s="1178" t="e">
        <v>#DIV/0!</v>
      </c>
      <c r="S24" s="1178" t="e">
        <v>#DIV/0!</v>
      </c>
      <c r="X24" s="1180">
        <f t="shared" si="0"/>
        <v>0</v>
      </c>
      <c r="Z24" s="509"/>
    </row>
    <row r="25" spans="5:32" x14ac:dyDescent="0.15">
      <c r="E25" t="s">
        <v>16</v>
      </c>
      <c r="F25">
        <v>334</v>
      </c>
      <c r="G25">
        <v>901.78</v>
      </c>
      <c r="H25" s="1178">
        <v>5.6105610561056007E-2</v>
      </c>
      <c r="I25">
        <v>3.437551934108285E-2</v>
      </c>
      <c r="K25">
        <v>317</v>
      </c>
      <c r="L25">
        <v>923.21</v>
      </c>
      <c r="M25" s="1178">
        <v>4.2763157894736843E-2</v>
      </c>
      <c r="N25">
        <v>4.9185730683122625E-2</v>
      </c>
      <c r="P25" s="1179">
        <v>320</v>
      </c>
      <c r="Q25" s="509">
        <f t="shared" si="1"/>
        <v>916.09</v>
      </c>
      <c r="R25" s="1178">
        <v>5.6105610561056105E-2</v>
      </c>
      <c r="S25" s="1178">
        <v>5.2614041135240812E-2</v>
      </c>
      <c r="T25">
        <v>3</v>
      </c>
      <c r="U25">
        <v>-7.1200000000000045</v>
      </c>
      <c r="V25">
        <v>312</v>
      </c>
      <c r="X25" s="1180">
        <f t="shared" si="0"/>
        <v>-7.1200000000000045</v>
      </c>
      <c r="Z25" s="509">
        <v>916.09</v>
      </c>
    </row>
    <row r="26" spans="5:32" x14ac:dyDescent="0.15">
      <c r="E26" t="s">
        <v>515</v>
      </c>
      <c r="F26">
        <v>8804</v>
      </c>
      <c r="G26">
        <v>4567.96</v>
      </c>
      <c r="H26" s="1178">
        <v>4.1123974915581174E-2</v>
      </c>
      <c r="I26">
        <v>1.7888976041072091E-2</v>
      </c>
      <c r="K26">
        <v>8624</v>
      </c>
      <c r="L26">
        <v>5202.75</v>
      </c>
      <c r="M26" s="1178">
        <v>3.7037037037037035E-2</v>
      </c>
      <c r="N26">
        <v>2.8856022448846427E-2</v>
      </c>
      <c r="P26" s="1179">
        <v>8637</v>
      </c>
      <c r="Q26" s="509">
        <f t="shared" si="1"/>
        <v>5118.66</v>
      </c>
      <c r="R26" s="1178">
        <v>4.1606367583212733E-2</v>
      </c>
      <c r="S26" s="1178">
        <v>1.2225025905506148E-2</v>
      </c>
      <c r="T26">
        <v>13</v>
      </c>
      <c r="U26">
        <v>-84.090000000000146</v>
      </c>
      <c r="V26">
        <v>8465</v>
      </c>
      <c r="X26" s="1180">
        <f t="shared" si="0"/>
        <v>-84.090000000000146</v>
      </c>
      <c r="Z26" s="509">
        <v>5118.66</v>
      </c>
    </row>
    <row r="27" spans="5:32" x14ac:dyDescent="0.15">
      <c r="E27" t="s">
        <v>516</v>
      </c>
      <c r="F27">
        <v>9484</v>
      </c>
      <c r="G27">
        <v>2020.87</v>
      </c>
      <c r="H27" s="1178">
        <v>6.1229232020448388E-2</v>
      </c>
      <c r="I27">
        <v>7.2370224537092742E-3</v>
      </c>
      <c r="K27">
        <v>8921</v>
      </c>
      <c r="L27">
        <v>2208.59</v>
      </c>
      <c r="M27" s="1178">
        <v>3.7204976165562141E-2</v>
      </c>
      <c r="N27">
        <v>0</v>
      </c>
      <c r="P27" s="1179">
        <v>9024</v>
      </c>
      <c r="Q27" s="509">
        <f t="shared" si="1"/>
        <v>2208.59</v>
      </c>
      <c r="R27" s="1178">
        <v>4.8448936911815961E-2</v>
      </c>
      <c r="S27" s="1178">
        <v>0</v>
      </c>
      <c r="T27">
        <v>103</v>
      </c>
      <c r="U27">
        <v>0</v>
      </c>
      <c r="V27">
        <v>8816</v>
      </c>
      <c r="X27" s="1180">
        <f t="shared" si="0"/>
        <v>0</v>
      </c>
      <c r="Z27" s="509">
        <v>2208.59</v>
      </c>
    </row>
    <row r="28" spans="5:32" x14ac:dyDescent="0.15">
      <c r="E28" t="s">
        <v>517</v>
      </c>
      <c r="F28">
        <v>1209</v>
      </c>
      <c r="G28">
        <v>337.43</v>
      </c>
      <c r="H28" s="1178">
        <v>0.10132575757575757</v>
      </c>
      <c r="I28">
        <v>-3.960177601279613E-2</v>
      </c>
      <c r="K28">
        <v>1138</v>
      </c>
      <c r="L28">
        <v>368.62</v>
      </c>
      <c r="M28" s="1178">
        <v>8.2778306374881067E-2</v>
      </c>
      <c r="N28">
        <v>2.7770032900239886E-2</v>
      </c>
      <c r="P28" s="1179">
        <v>1149</v>
      </c>
      <c r="Q28" s="509">
        <f t="shared" si="1"/>
        <v>368.62</v>
      </c>
      <c r="R28" s="1178">
        <v>8.8068181818181823E-2</v>
      </c>
      <c r="S28" s="1178">
        <v>1.6574280907862417E-2</v>
      </c>
      <c r="T28">
        <v>11</v>
      </c>
      <c r="U28">
        <v>0</v>
      </c>
      <c r="V28">
        <v>1103</v>
      </c>
      <c r="X28" s="1180">
        <f t="shared" si="0"/>
        <v>0</v>
      </c>
      <c r="Z28" s="509">
        <v>368.62</v>
      </c>
    </row>
    <row r="29" spans="5:32" x14ac:dyDescent="0.15">
      <c r="E29" t="s">
        <v>518</v>
      </c>
      <c r="F29">
        <v>90</v>
      </c>
      <c r="G29">
        <v>153.55000000000001</v>
      </c>
      <c r="H29" s="1178">
        <v>0.14285714285714279</v>
      </c>
      <c r="I29">
        <v>0.1080315413084687</v>
      </c>
      <c r="K29">
        <v>93</v>
      </c>
      <c r="L29">
        <v>222.34</v>
      </c>
      <c r="M29" s="1178">
        <v>0.10714285714285714</v>
      </c>
      <c r="N29">
        <v>0.37382600098863072</v>
      </c>
      <c r="P29" s="1179">
        <v>94</v>
      </c>
      <c r="Q29" s="509">
        <f t="shared" si="1"/>
        <v>203.93</v>
      </c>
      <c r="R29" s="1178">
        <v>0.11904761904761904</v>
      </c>
      <c r="S29" s="1178">
        <v>0.50453729434621175</v>
      </c>
      <c r="T29">
        <v>1</v>
      </c>
      <c r="U29">
        <v>-18.409999999999997</v>
      </c>
      <c r="V29">
        <v>89</v>
      </c>
      <c r="X29" s="1180">
        <f t="shared" si="0"/>
        <v>-18.409999999999997</v>
      </c>
      <c r="Z29" s="509">
        <v>203.93</v>
      </c>
    </row>
    <row r="30" spans="5:32" x14ac:dyDescent="0.15">
      <c r="E30" t="s">
        <v>312</v>
      </c>
      <c r="F30">
        <v>736</v>
      </c>
      <c r="G30">
        <v>125.32</v>
      </c>
      <c r="H30" s="1178">
        <v>0.14942528735632177</v>
      </c>
      <c r="I30">
        <v>0.14942528735632155</v>
      </c>
      <c r="K30">
        <v>553</v>
      </c>
      <c r="L30">
        <v>99.48</v>
      </c>
      <c r="M30" s="1178">
        <v>7.7972709551656916E-2</v>
      </c>
      <c r="N30">
        <v>7.2676299331464411E-2</v>
      </c>
      <c r="P30" s="1179">
        <v>608</v>
      </c>
      <c r="Q30" s="509">
        <f t="shared" si="1"/>
        <v>99.48</v>
      </c>
      <c r="R30" s="1178">
        <v>0.16475095785440613</v>
      </c>
      <c r="S30" s="1178">
        <v>3.9389823424929582E-2</v>
      </c>
      <c r="T30">
        <v>55</v>
      </c>
      <c r="U30">
        <v>0</v>
      </c>
      <c r="V30">
        <v>565</v>
      </c>
      <c r="X30" s="1180">
        <f t="shared" si="0"/>
        <v>0</v>
      </c>
      <c r="Z30" s="509">
        <v>99.48</v>
      </c>
    </row>
    <row r="31" spans="5:32" x14ac:dyDescent="0.15">
      <c r="E31" t="s">
        <v>313</v>
      </c>
      <c r="F31">
        <v>2883</v>
      </c>
      <c r="G31">
        <v>113.93</v>
      </c>
      <c r="H31" s="1178">
        <v>0.2304737516005122</v>
      </c>
      <c r="I31">
        <v>5.8140614841645899E-2</v>
      </c>
      <c r="K31">
        <v>2675</v>
      </c>
      <c r="L31">
        <v>245.06</v>
      </c>
      <c r="M31" s="1178">
        <v>0.17582417582417584</v>
      </c>
      <c r="N31">
        <v>0.23331655762455972</v>
      </c>
      <c r="P31" s="1179">
        <v>2675</v>
      </c>
      <c r="Q31" s="509">
        <f t="shared" si="1"/>
        <v>245.06</v>
      </c>
      <c r="R31" s="1178">
        <v>0.17582417582417584</v>
      </c>
      <c r="S31" s="1178">
        <v>0.23331655762455972</v>
      </c>
      <c r="T31">
        <v>0</v>
      </c>
      <c r="U31">
        <v>0</v>
      </c>
      <c r="V31">
        <v>2475</v>
      </c>
      <c r="X31" s="1180">
        <f t="shared" si="0"/>
        <v>0</v>
      </c>
      <c r="Z31" s="509">
        <v>245.06</v>
      </c>
      <c r="AF31">
        <v>14447229</v>
      </c>
    </row>
    <row r="32" spans="5:32" x14ac:dyDescent="0.15">
      <c r="E32" t="s">
        <v>519</v>
      </c>
      <c r="F32">
        <v>23541</v>
      </c>
      <c r="G32">
        <v>8220.84</v>
      </c>
      <c r="H32" s="1178">
        <v>7.5977217025851695E-2</v>
      </c>
      <c r="I32">
        <v>1.8475861826495965E-2</v>
      </c>
      <c r="K32">
        <v>22321</v>
      </c>
      <c r="L32">
        <v>9270.0499999999993</v>
      </c>
      <c r="M32" s="1178">
        <v>5.5665909950813469E-2</v>
      </c>
      <c r="N32">
        <v>3.4916810776473503E-2</v>
      </c>
      <c r="P32" s="1179">
        <v>22507</v>
      </c>
      <c r="Q32" s="509">
        <f t="shared" si="1"/>
        <v>9160.43</v>
      </c>
      <c r="R32" s="1178">
        <v>6.4714508727943612E-2</v>
      </c>
      <c r="S32" s="1178">
        <v>2.6000116483628141E-2</v>
      </c>
      <c r="T32">
        <v>186</v>
      </c>
      <c r="U32">
        <v>-109.62000000000015</v>
      </c>
      <c r="V32">
        <v>21825</v>
      </c>
      <c r="X32" s="1180">
        <f t="shared" si="0"/>
        <v>-109.61999999999898</v>
      </c>
      <c r="Z32" s="509">
        <v>9160.43</v>
      </c>
      <c r="AF32">
        <v>2699310</v>
      </c>
    </row>
    <row r="33" spans="5:32" ht="15" x14ac:dyDescent="0.2">
      <c r="E33" s="1181" t="s">
        <v>520</v>
      </c>
      <c r="F33" s="1181">
        <v>14534699</v>
      </c>
      <c r="G33" s="1181">
        <v>29928.050000000003</v>
      </c>
      <c r="H33" s="1182">
        <v>4.5963289190834811E-2</v>
      </c>
      <c r="I33" s="1181">
        <v>2.8303696647090426E-2</v>
      </c>
      <c r="J33" s="1181"/>
      <c r="K33" s="1181">
        <v>14420130</v>
      </c>
      <c r="L33" s="1181">
        <v>30289.599999999999</v>
      </c>
      <c r="M33" s="1182">
        <v>3.84455431320085E-2</v>
      </c>
      <c r="N33" s="1181">
        <v>3.5894970012000538E-2</v>
      </c>
      <c r="O33" s="1181"/>
      <c r="P33" s="1183">
        <v>14447229</v>
      </c>
      <c r="Q33" s="509">
        <f t="shared" si="1"/>
        <v>30013.919999999998</v>
      </c>
      <c r="R33" s="1182">
        <v>4.0389547588587801E-2</v>
      </c>
      <c r="S33" s="1182">
        <v>3.0883116852508698E-2</v>
      </c>
      <c r="T33" s="1181">
        <v>27099</v>
      </c>
      <c r="U33" s="1181">
        <v>-275.68218751836321</v>
      </c>
      <c r="V33" s="1181">
        <v>14166802</v>
      </c>
      <c r="X33" s="1180">
        <f t="shared" si="0"/>
        <v>-275.68000000000029</v>
      </c>
      <c r="Z33" s="1184">
        <v>30013.917812481635</v>
      </c>
      <c r="AF33">
        <v>3954666</v>
      </c>
    </row>
    <row r="34" spans="5:32" x14ac:dyDescent="0.15">
      <c r="H34" s="1178"/>
      <c r="M34" s="1178"/>
      <c r="P34" s="1179"/>
      <c r="Q34" s="509"/>
      <c r="R34" s="1178"/>
      <c r="S34" s="1178"/>
      <c r="X34" s="1180">
        <f t="shared" si="0"/>
        <v>0</v>
      </c>
      <c r="AF34">
        <v>6166206</v>
      </c>
    </row>
    <row r="35" spans="5:32" x14ac:dyDescent="0.15">
      <c r="E35" t="s">
        <v>521</v>
      </c>
      <c r="F35">
        <v>12756283</v>
      </c>
      <c r="G35">
        <v>22479.140000000003</v>
      </c>
      <c r="H35" s="1178">
        <v>5.1030028781746894E-2</v>
      </c>
      <c r="I35">
        <v>3.1934610704677402E-2</v>
      </c>
      <c r="K35">
        <v>12610686</v>
      </c>
      <c r="L35">
        <v>23845.02</v>
      </c>
      <c r="M35" s="1178">
        <v>4.2479342299931527E-2</v>
      </c>
      <c r="N35">
        <v>3.640294373829716E-2</v>
      </c>
      <c r="P35" s="1179">
        <v>12628745</v>
      </c>
      <c r="Q35" s="509">
        <v>23694.900658804076</v>
      </c>
      <c r="R35" s="1178">
        <v>4.3963583791280444E-2</v>
      </c>
      <c r="S35" s="1178">
        <v>3.5507071450744339E-2</v>
      </c>
      <c r="T35">
        <v>18059</v>
      </c>
      <c r="U35">
        <v>-150.11934119592479</v>
      </c>
      <c r="V35">
        <v>12362838</v>
      </c>
      <c r="X35" s="1180">
        <f t="shared" si="0"/>
        <v>-150.11934119592479</v>
      </c>
      <c r="AF35">
        <v>3690328</v>
      </c>
    </row>
    <row r="36" spans="5:32" x14ac:dyDescent="0.15">
      <c r="H36" s="1178"/>
      <c r="M36" s="1178"/>
      <c r="P36" s="1179"/>
      <c r="Q36" s="509"/>
      <c r="R36" s="1178"/>
      <c r="S36" s="1178"/>
      <c r="X36" s="1180">
        <f t="shared" si="0"/>
        <v>0</v>
      </c>
      <c r="AF36">
        <v>30957739</v>
      </c>
    </row>
    <row r="37" spans="5:32" x14ac:dyDescent="0.15">
      <c r="E37" t="s">
        <v>522</v>
      </c>
      <c r="F37">
        <v>1778416</v>
      </c>
      <c r="G37">
        <v>7448.91</v>
      </c>
      <c r="H37" s="1178">
        <v>9.7845030463645788E-3</v>
      </c>
      <c r="I37">
        <v>1.7167007021874126E-2</v>
      </c>
      <c r="K37">
        <v>1809444</v>
      </c>
      <c r="L37">
        <v>6444.5799999999981</v>
      </c>
      <c r="M37" s="1178">
        <v>1.1176655989234644E-2</v>
      </c>
      <c r="N37">
        <v>3.4019783234791358E-2</v>
      </c>
      <c r="P37" s="1179">
        <v>1818484</v>
      </c>
      <c r="Q37" s="509">
        <v>6319.0171536775597</v>
      </c>
      <c r="R37" s="1178">
        <v>1.6228504496368704E-2</v>
      </c>
      <c r="S37" s="1178">
        <v>1.3906015175264142E-2</v>
      </c>
      <c r="T37">
        <v>9040</v>
      </c>
      <c r="U37">
        <v>-125.56284632243842</v>
      </c>
      <c r="V37">
        <v>1803964</v>
      </c>
      <c r="X37" s="1180">
        <f t="shared" si="0"/>
        <v>-125.56284632243842</v>
      </c>
    </row>
    <row r="38" spans="5:32" x14ac:dyDescent="0.15">
      <c r="F38">
        <v>1778416</v>
      </c>
      <c r="G38">
        <v>7448.91</v>
      </c>
      <c r="H38" s="1178">
        <v>9.7845030463645788E-3</v>
      </c>
      <c r="I38">
        <v>1.7167007021873681E-2</v>
      </c>
      <c r="K38">
        <v>1809444</v>
      </c>
      <c r="L38">
        <v>6444.58</v>
      </c>
      <c r="M38" s="1178">
        <v>1.1176655989234644E-2</v>
      </c>
      <c r="N38">
        <v>3.4019783234791497E-2</v>
      </c>
      <c r="P38" s="1179">
        <v>1818484</v>
      </c>
      <c r="Q38" s="509">
        <v>6319.0171536775597</v>
      </c>
      <c r="R38" s="1178">
        <v>1.6228504496368704E-2</v>
      </c>
      <c r="S38" s="1178">
        <v>1.3906015175264437E-2</v>
      </c>
      <c r="T38">
        <v>9040</v>
      </c>
      <c r="U38">
        <v>-125.56284632244024</v>
      </c>
      <c r="V38">
        <v>1803964</v>
      </c>
      <c r="X38" s="1180">
        <f t="shared" si="0"/>
        <v>-125.56284632244024</v>
      </c>
    </row>
    <row r="39" spans="5:32" x14ac:dyDescent="0.15">
      <c r="E39" t="s">
        <v>523</v>
      </c>
      <c r="G39">
        <v>385</v>
      </c>
    </row>
    <row r="40" spans="5:32" x14ac:dyDescent="0.15">
      <c r="E40" t="s">
        <v>524</v>
      </c>
      <c r="G40">
        <v>30313.050000000003</v>
      </c>
    </row>
    <row r="42" spans="5:32" x14ac:dyDescent="0.15">
      <c r="E42" t="s">
        <v>494</v>
      </c>
    </row>
    <row r="44" spans="5:32" x14ac:dyDescent="0.15">
      <c r="E44" t="s">
        <v>525</v>
      </c>
      <c r="K44" t="s">
        <v>525</v>
      </c>
      <c r="P44" t="s">
        <v>525</v>
      </c>
    </row>
    <row r="45" spans="5:32" x14ac:dyDescent="0.15">
      <c r="E45" t="s">
        <v>495</v>
      </c>
      <c r="J45" t="s">
        <v>496</v>
      </c>
      <c r="O45" t="s">
        <v>497</v>
      </c>
    </row>
    <row r="46" spans="5:32" x14ac:dyDescent="0.15">
      <c r="E46" t="s">
        <v>31</v>
      </c>
      <c r="F46" t="s">
        <v>498</v>
      </c>
      <c r="G46" t="s">
        <v>499</v>
      </c>
      <c r="H46" t="s">
        <v>500</v>
      </c>
      <c r="I46" t="s">
        <v>501</v>
      </c>
      <c r="K46" t="s">
        <v>498</v>
      </c>
      <c r="L46" t="s">
        <v>499</v>
      </c>
      <c r="M46" t="s">
        <v>500</v>
      </c>
      <c r="N46" t="s">
        <v>501</v>
      </c>
      <c r="P46" t="s">
        <v>498</v>
      </c>
      <c r="Q46" t="s">
        <v>499</v>
      </c>
      <c r="R46" t="s">
        <v>500</v>
      </c>
      <c r="S46" t="s">
        <v>501</v>
      </c>
      <c r="T46" t="s">
        <v>502</v>
      </c>
      <c r="U46" t="s">
        <v>503</v>
      </c>
      <c r="V46" t="s">
        <v>504</v>
      </c>
    </row>
    <row r="47" spans="5:32" x14ac:dyDescent="0.15">
      <c r="E47" t="s">
        <v>505</v>
      </c>
      <c r="F47">
        <v>152052</v>
      </c>
      <c r="G47">
        <v>32.97</v>
      </c>
      <c r="H47">
        <v>0</v>
      </c>
      <c r="I47">
        <v>0</v>
      </c>
      <c r="K47">
        <v>156857</v>
      </c>
      <c r="L47">
        <v>35.28</v>
      </c>
      <c r="M47">
        <v>0</v>
      </c>
      <c r="N47">
        <v>0</v>
      </c>
      <c r="P47">
        <v>149171</v>
      </c>
      <c r="Q47">
        <f>ROUND(Z47,2)</f>
        <v>33.549999999999997</v>
      </c>
      <c r="R47">
        <v>0</v>
      </c>
      <c r="S47">
        <v>0</v>
      </c>
      <c r="T47">
        <v>-7686</v>
      </c>
      <c r="U47">
        <v>-1.730000000000004</v>
      </c>
      <c r="V47">
        <v>149171</v>
      </c>
      <c r="Z47">
        <v>33.549999999999997</v>
      </c>
      <c r="AA47" s="1180"/>
    </row>
    <row r="48" spans="5:32" x14ac:dyDescent="0.15">
      <c r="E48" t="s">
        <v>505</v>
      </c>
      <c r="F48">
        <v>24540</v>
      </c>
      <c r="G48">
        <v>23.08</v>
      </c>
      <c r="H48">
        <v>0</v>
      </c>
      <c r="I48">
        <v>0</v>
      </c>
      <c r="K48">
        <v>18084</v>
      </c>
      <c r="L48">
        <v>17.989999999999998</v>
      </c>
      <c r="M48">
        <v>0</v>
      </c>
      <c r="N48">
        <v>0</v>
      </c>
      <c r="P48">
        <v>21939</v>
      </c>
      <c r="Q48">
        <f t="shared" ref="Q48:Q82" si="2">ROUND(Z48,2)</f>
        <v>20.59</v>
      </c>
      <c r="R48">
        <v>0</v>
      </c>
      <c r="S48">
        <v>0</v>
      </c>
      <c r="T48">
        <v>3855</v>
      </c>
      <c r="U48">
        <v>2.6000000000000014</v>
      </c>
      <c r="V48">
        <v>21939</v>
      </c>
      <c r="Z48">
        <v>20.59</v>
      </c>
      <c r="AA48" s="1180"/>
    </row>
    <row r="49" spans="5:27" x14ac:dyDescent="0.15">
      <c r="E49" t="s">
        <v>506</v>
      </c>
      <c r="F49">
        <v>1759180</v>
      </c>
      <c r="G49">
        <v>1715.83</v>
      </c>
      <c r="H49">
        <v>2.9598318594822315E-2</v>
      </c>
      <c r="I49">
        <v>3.8791272097176144E-2</v>
      </c>
      <c r="K49">
        <v>1733787</v>
      </c>
      <c r="L49">
        <v>1709.6</v>
      </c>
      <c r="M49">
        <v>2.1091606820834712E-2</v>
      </c>
      <c r="N49">
        <v>4.6523016650342801E-2</v>
      </c>
      <c r="P49">
        <v>1739516</v>
      </c>
      <c r="Q49">
        <f t="shared" si="2"/>
        <v>1698.67</v>
      </c>
      <c r="R49">
        <v>2.0954764401961954E-2</v>
      </c>
      <c r="S49">
        <v>4.6507472985127959E-2</v>
      </c>
      <c r="T49">
        <v>5729</v>
      </c>
      <c r="U49">
        <v>-10.929999999999836</v>
      </c>
      <c r="V49">
        <v>1721665</v>
      </c>
      <c r="Z49">
        <v>1698.67</v>
      </c>
      <c r="AA49" s="1180"/>
    </row>
    <row r="50" spans="5:27" x14ac:dyDescent="0.15">
      <c r="E50" t="s">
        <v>507</v>
      </c>
      <c r="F50">
        <v>3808</v>
      </c>
      <c r="G50">
        <v>8.42</v>
      </c>
      <c r="H50">
        <v>1.6630901287553623E-2</v>
      </c>
      <c r="I50">
        <v>1.6630901287553401E-2</v>
      </c>
      <c r="K50">
        <v>3794</v>
      </c>
      <c r="L50">
        <v>11.12</v>
      </c>
      <c r="M50">
        <v>1.8250134192163179E-2</v>
      </c>
      <c r="N50">
        <v>0</v>
      </c>
      <c r="P50">
        <v>3794</v>
      </c>
      <c r="Q50">
        <f t="shared" si="2"/>
        <v>11.5</v>
      </c>
      <c r="R50">
        <v>1.7703862660944206E-2</v>
      </c>
      <c r="S50">
        <v>1.7703862660944206E-2</v>
      </c>
      <c r="T50">
        <v>0</v>
      </c>
      <c r="U50">
        <v>0.3788498228400119</v>
      </c>
      <c r="V50">
        <v>3761</v>
      </c>
      <c r="Z50">
        <v>11.498849822840011</v>
      </c>
      <c r="AA50" s="1180"/>
    </row>
    <row r="51" spans="5:27" x14ac:dyDescent="0.15">
      <c r="E51" t="s">
        <v>508</v>
      </c>
      <c r="F51">
        <v>253538</v>
      </c>
      <c r="G51">
        <v>377.93</v>
      </c>
      <c r="H51">
        <v>3.7066977438919402E-2</v>
      </c>
      <c r="I51">
        <v>-1.7886833963501991E-2</v>
      </c>
      <c r="K51">
        <v>251417</v>
      </c>
      <c r="L51">
        <v>390.43</v>
      </c>
      <c r="M51">
        <v>3.1691383456301757E-2</v>
      </c>
      <c r="N51">
        <v>1.103141103659008E-2</v>
      </c>
      <c r="P51">
        <v>252378</v>
      </c>
      <c r="Q51">
        <f t="shared" si="2"/>
        <v>398.74</v>
      </c>
      <c r="R51">
        <v>3.5634853545840277E-2</v>
      </c>
      <c r="S51">
        <v>1.0456871473641752E-2</v>
      </c>
      <c r="T51">
        <v>961</v>
      </c>
      <c r="U51">
        <v>8.3100000000000023</v>
      </c>
      <c r="V51">
        <v>248036</v>
      </c>
      <c r="Z51">
        <v>398.74</v>
      </c>
      <c r="AA51" s="1180"/>
    </row>
    <row r="52" spans="5:27" x14ac:dyDescent="0.15">
      <c r="E52" t="s">
        <v>509</v>
      </c>
      <c r="F52">
        <v>414385</v>
      </c>
      <c r="G52">
        <v>1789.59</v>
      </c>
      <c r="H52">
        <v>4.4093377174748261E-2</v>
      </c>
      <c r="I52">
        <v>4.5083187825203153E-2</v>
      </c>
      <c r="K52">
        <v>412416</v>
      </c>
      <c r="L52">
        <v>1662.04</v>
      </c>
      <c r="M52">
        <v>4.2425896858436271E-2</v>
      </c>
      <c r="N52">
        <v>4.243002025853139E-2</v>
      </c>
      <c r="P52">
        <v>415739</v>
      </c>
      <c r="Q52">
        <f t="shared" si="2"/>
        <v>1634.91</v>
      </c>
      <c r="R52">
        <v>5.0825137565054308E-2</v>
      </c>
      <c r="S52">
        <v>2.5414108216935617E-2</v>
      </c>
      <c r="T52">
        <v>3323</v>
      </c>
      <c r="U52">
        <v>-27.129999999999882</v>
      </c>
      <c r="V52">
        <v>405685</v>
      </c>
      <c r="Z52">
        <v>1634.91</v>
      </c>
      <c r="AA52" s="1180"/>
    </row>
    <row r="53" spans="5:27" x14ac:dyDescent="0.15">
      <c r="E53" t="s">
        <v>510</v>
      </c>
      <c r="F53">
        <v>161</v>
      </c>
      <c r="G53">
        <v>0.89</v>
      </c>
      <c r="H53">
        <v>0</v>
      </c>
      <c r="I53">
        <v>0</v>
      </c>
      <c r="K53">
        <v>141</v>
      </c>
      <c r="L53">
        <v>0.64</v>
      </c>
      <c r="M53">
        <v>0</v>
      </c>
      <c r="N53">
        <v>0</v>
      </c>
      <c r="P53">
        <v>143</v>
      </c>
      <c r="Q53">
        <f t="shared" si="2"/>
        <v>0.66</v>
      </c>
      <c r="R53">
        <v>0</v>
      </c>
      <c r="S53">
        <v>0</v>
      </c>
      <c r="T53">
        <v>2</v>
      </c>
      <c r="U53">
        <v>1.9219858156028446E-2</v>
      </c>
      <c r="V53">
        <v>143</v>
      </c>
      <c r="Z53">
        <v>0.65921985815602846</v>
      </c>
      <c r="AA53" s="1180"/>
    </row>
    <row r="54" spans="5:27" x14ac:dyDescent="0.15">
      <c r="E54" t="s">
        <v>87</v>
      </c>
      <c r="F54">
        <v>6060</v>
      </c>
      <c r="G54">
        <v>10.81</v>
      </c>
      <c r="H54">
        <v>7.1651662686018636E-2</v>
      </c>
      <c r="I54">
        <v>7.1651662686018636E-2</v>
      </c>
      <c r="K54">
        <v>5755</v>
      </c>
      <c r="L54">
        <v>6.75</v>
      </c>
      <c r="M54">
        <v>5.615709304459534E-2</v>
      </c>
      <c r="N54">
        <v>0</v>
      </c>
      <c r="P54">
        <v>5803</v>
      </c>
      <c r="Q54">
        <f t="shared" si="2"/>
        <v>7.5</v>
      </c>
      <c r="R54">
        <v>6.6139996325555755E-2</v>
      </c>
      <c r="S54">
        <v>6.6139996325555853E-2</v>
      </c>
      <c r="T54">
        <v>48</v>
      </c>
      <c r="U54">
        <v>0.74813361408882084</v>
      </c>
      <c r="V54">
        <v>5623</v>
      </c>
      <c r="Z54">
        <v>7.4981336140888208</v>
      </c>
      <c r="AA54" s="1180"/>
    </row>
    <row r="55" spans="5:27" x14ac:dyDescent="0.15">
      <c r="E55" t="s">
        <v>511</v>
      </c>
      <c r="F55">
        <v>38038</v>
      </c>
      <c r="G55">
        <v>130.22</v>
      </c>
      <c r="H55">
        <v>3.9231756959811959E-2</v>
      </c>
      <c r="I55">
        <v>4.9999999999998934E-3</v>
      </c>
      <c r="K55">
        <v>38306</v>
      </c>
      <c r="L55">
        <v>139</v>
      </c>
      <c r="M55">
        <v>4.1065362141595327E-2</v>
      </c>
      <c r="N55">
        <v>1.6379058204153328E-2</v>
      </c>
      <c r="P55">
        <v>38156</v>
      </c>
      <c r="Q55">
        <f t="shared" si="2"/>
        <v>152.54</v>
      </c>
      <c r="R55">
        <v>4.2428216266426247E-2</v>
      </c>
      <c r="S55">
        <v>4.2428216266426372E-2</v>
      </c>
      <c r="T55">
        <v>-150</v>
      </c>
      <c r="U55">
        <v>13.538520886266184</v>
      </c>
      <c r="V55">
        <v>37380</v>
      </c>
      <c r="Z55">
        <v>152.53852088626618</v>
      </c>
      <c r="AA55" s="1180"/>
    </row>
    <row r="56" spans="5:27" x14ac:dyDescent="0.15">
      <c r="E56" t="s">
        <v>512</v>
      </c>
      <c r="F56">
        <v>19339</v>
      </c>
      <c r="G56">
        <v>168.27</v>
      </c>
      <c r="H56">
        <v>4.2539012606208626E-2</v>
      </c>
      <c r="I56">
        <v>5.2844933642909764E-2</v>
      </c>
      <c r="K56">
        <v>19084</v>
      </c>
      <c r="L56">
        <v>174.29</v>
      </c>
      <c r="M56">
        <v>4.0340165721761884E-2</v>
      </c>
      <c r="N56">
        <v>7.2157972440944823E-2</v>
      </c>
      <c r="P56">
        <v>18927</v>
      </c>
      <c r="Q56">
        <f t="shared" si="2"/>
        <v>168.47</v>
      </c>
      <c r="R56">
        <v>5.1091242294663185E-2</v>
      </c>
      <c r="S56">
        <v>7.216954114427547E-2</v>
      </c>
      <c r="T56">
        <v>-157</v>
      </c>
      <c r="U56">
        <v>-5.8199999999999932</v>
      </c>
      <c r="V56">
        <v>18467</v>
      </c>
      <c r="Z56">
        <v>168.47</v>
      </c>
      <c r="AA56" s="1180"/>
    </row>
    <row r="57" spans="5:27" x14ac:dyDescent="0.15">
      <c r="E57" t="s">
        <v>513</v>
      </c>
      <c r="F57">
        <v>33126</v>
      </c>
      <c r="G57">
        <v>84.94</v>
      </c>
      <c r="H57">
        <v>8.4130862689201003E-2</v>
      </c>
      <c r="I57">
        <v>0.21503103467661511</v>
      </c>
      <c r="K57">
        <v>31608</v>
      </c>
      <c r="L57">
        <v>69.98</v>
      </c>
      <c r="M57">
        <v>5.5218000934766642E-2</v>
      </c>
      <c r="N57">
        <v>4.288777698356131E-4</v>
      </c>
      <c r="P57">
        <v>31655</v>
      </c>
      <c r="Q57">
        <f t="shared" si="2"/>
        <v>66.180000000000007</v>
      </c>
      <c r="R57">
        <v>7.4289011063598726E-2</v>
      </c>
      <c r="S57">
        <v>1.513317191283422E-3</v>
      </c>
      <c r="T57">
        <v>47</v>
      </c>
      <c r="U57">
        <v>-3.7999999999999972</v>
      </c>
      <c r="V57">
        <v>30561</v>
      </c>
      <c r="Z57">
        <v>66.180000000000007</v>
      </c>
      <c r="AA57" s="1180"/>
    </row>
    <row r="58" spans="5:27" x14ac:dyDescent="0.15">
      <c r="E58" t="s">
        <v>526</v>
      </c>
      <c r="Q58">
        <f t="shared" si="2"/>
        <v>0</v>
      </c>
      <c r="AA58" s="1180"/>
    </row>
    <row r="59" spans="5:27" x14ac:dyDescent="0.15">
      <c r="E59" t="s">
        <v>15</v>
      </c>
      <c r="F59">
        <v>20572</v>
      </c>
      <c r="G59">
        <v>18.32</v>
      </c>
      <c r="H59">
        <v>5.7523261193646258E-2</v>
      </c>
      <c r="I59">
        <v>-0.16347031963470326</v>
      </c>
      <c r="K59">
        <v>19453</v>
      </c>
      <c r="L59">
        <v>21.9</v>
      </c>
      <c r="M59">
        <v>0</v>
      </c>
      <c r="N59">
        <v>0</v>
      </c>
      <c r="P59">
        <v>19453</v>
      </c>
      <c r="Q59">
        <f t="shared" si="2"/>
        <v>21.9</v>
      </c>
      <c r="R59">
        <v>0</v>
      </c>
      <c r="S59">
        <v>-1.6222436889500003E-16</v>
      </c>
      <c r="T59">
        <v>0</v>
      </c>
      <c r="U59">
        <v>0</v>
      </c>
      <c r="V59">
        <v>19453</v>
      </c>
      <c r="Z59">
        <v>21.9</v>
      </c>
      <c r="AA59" s="1180"/>
    </row>
    <row r="60" spans="5:27" x14ac:dyDescent="0.15">
      <c r="E60" t="s">
        <v>177</v>
      </c>
      <c r="F60">
        <v>2724800</v>
      </c>
      <c r="G60">
        <v>4361.2699999999986</v>
      </c>
      <c r="H60">
        <v>3.1711515072244678E-2</v>
      </c>
      <c r="I60">
        <v>3.7533963196230591E-2</v>
      </c>
      <c r="K60">
        <v>2690702</v>
      </c>
      <c r="L60">
        <v>4239.0199999999986</v>
      </c>
      <c r="M60">
        <v>2.4599196832415498E-2</v>
      </c>
      <c r="N60">
        <v>3.9711952829332285E-2</v>
      </c>
      <c r="P60">
        <v>2696674</v>
      </c>
      <c r="Q60">
        <f t="shared" si="2"/>
        <v>4215.2</v>
      </c>
      <c r="R60">
        <v>2.6486710966616686E-2</v>
      </c>
      <c r="S60">
        <v>3.3960871303035052E-2</v>
      </c>
      <c r="T60">
        <v>5972</v>
      </c>
      <c r="U60">
        <v>-23.815275818648665</v>
      </c>
      <c r="V60">
        <v>2661884</v>
      </c>
      <c r="Z60">
        <v>4215.2047241813516</v>
      </c>
      <c r="AA60" s="1180"/>
    </row>
    <row r="61" spans="5:27" x14ac:dyDescent="0.15">
      <c r="H61">
        <v>0</v>
      </c>
      <c r="I61">
        <v>0</v>
      </c>
      <c r="Q61">
        <f t="shared" si="2"/>
        <v>0</v>
      </c>
      <c r="AA61" s="1180"/>
    </row>
    <row r="62" spans="5:27" x14ac:dyDescent="0.15">
      <c r="E62" t="s">
        <v>16</v>
      </c>
      <c r="F62">
        <v>145</v>
      </c>
      <c r="G62">
        <v>113.42</v>
      </c>
      <c r="H62">
        <v>6.8181818181818121E-2</v>
      </c>
      <c r="I62">
        <v>3.4635658814052839E-2</v>
      </c>
      <c r="K62">
        <v>142</v>
      </c>
      <c r="L62">
        <v>114.91</v>
      </c>
      <c r="M62">
        <v>5.185185185185185E-2</v>
      </c>
      <c r="N62">
        <v>3.2713220095263777E-2</v>
      </c>
      <c r="P62">
        <v>142</v>
      </c>
      <c r="Q62">
        <f t="shared" si="2"/>
        <v>114.91</v>
      </c>
      <c r="R62">
        <v>7.575757575757576E-2</v>
      </c>
      <c r="S62">
        <v>3.6252141762106553E-2</v>
      </c>
      <c r="T62">
        <v>0</v>
      </c>
      <c r="U62">
        <v>0</v>
      </c>
      <c r="V62">
        <v>137</v>
      </c>
      <c r="Z62">
        <v>114.91</v>
      </c>
      <c r="AA62" s="1180"/>
    </row>
    <row r="63" spans="5:27" x14ac:dyDescent="0.15">
      <c r="E63" t="s">
        <v>515</v>
      </c>
      <c r="F63">
        <v>1174</v>
      </c>
      <c r="G63">
        <v>598.80999999999995</v>
      </c>
      <c r="H63">
        <v>6.2917063870352674E-2</v>
      </c>
      <c r="I63">
        <v>4.9999999999998934E-3</v>
      </c>
      <c r="K63">
        <v>1092</v>
      </c>
      <c r="L63">
        <v>775.59</v>
      </c>
      <c r="M63">
        <v>3.0188679245283019E-2</v>
      </c>
      <c r="N63">
        <v>4.4200010770639293E-2</v>
      </c>
      <c r="P63">
        <v>1098</v>
      </c>
      <c r="Q63">
        <f t="shared" si="2"/>
        <v>775.59</v>
      </c>
      <c r="R63">
        <v>4.6711153479504289E-2</v>
      </c>
      <c r="S63">
        <v>4.4200010770639293E-2</v>
      </c>
      <c r="T63">
        <v>6</v>
      </c>
      <c r="U63">
        <v>0</v>
      </c>
      <c r="V63">
        <v>1074</v>
      </c>
      <c r="Z63">
        <v>775.59</v>
      </c>
      <c r="AA63" s="1180"/>
    </row>
    <row r="64" spans="5:27" x14ac:dyDescent="0.15">
      <c r="E64" t="s">
        <v>516</v>
      </c>
      <c r="F64">
        <v>962</v>
      </c>
      <c r="G64">
        <v>174.82</v>
      </c>
      <c r="H64">
        <v>5.9788980070339948E-2</v>
      </c>
      <c r="I64">
        <v>4.9999999999998934E-3</v>
      </c>
      <c r="K64">
        <v>878</v>
      </c>
      <c r="L64">
        <v>166.84</v>
      </c>
      <c r="M64">
        <v>2.9308323563892145E-2</v>
      </c>
      <c r="N64">
        <v>0</v>
      </c>
      <c r="P64">
        <v>889</v>
      </c>
      <c r="Q64">
        <f t="shared" si="2"/>
        <v>172.48</v>
      </c>
      <c r="R64">
        <v>4.2203985932004688E-2</v>
      </c>
      <c r="S64">
        <v>-5.9293204255443606E-2</v>
      </c>
      <c r="T64">
        <v>11</v>
      </c>
      <c r="U64">
        <v>5.6399999999999864</v>
      </c>
      <c r="V64">
        <v>871</v>
      </c>
      <c r="Z64">
        <v>172.48</v>
      </c>
      <c r="AA64" s="1180"/>
    </row>
    <row r="65" spans="5:27" x14ac:dyDescent="0.15">
      <c r="E65" t="s">
        <v>517</v>
      </c>
      <c r="F65">
        <v>374</v>
      </c>
      <c r="G65">
        <v>114.84</v>
      </c>
      <c r="H65">
        <v>5.1724137931034475E-2</v>
      </c>
      <c r="I65">
        <v>0</v>
      </c>
      <c r="K65">
        <v>369</v>
      </c>
      <c r="L65">
        <v>106.61</v>
      </c>
      <c r="M65">
        <v>4.2372881355932202E-2</v>
      </c>
      <c r="N65">
        <v>0</v>
      </c>
      <c r="P65">
        <v>365</v>
      </c>
      <c r="Q65">
        <f t="shared" si="2"/>
        <v>124.4</v>
      </c>
      <c r="R65">
        <v>4.8850574712643681E-2</v>
      </c>
      <c r="S65">
        <v>-9.6586782861292547E-2</v>
      </c>
      <c r="T65">
        <v>-4</v>
      </c>
      <c r="U65">
        <v>17.790000000000006</v>
      </c>
      <c r="V65">
        <v>357</v>
      </c>
      <c r="Z65">
        <v>124.4</v>
      </c>
      <c r="AA65" s="1180"/>
    </row>
    <row r="66" spans="5:27" x14ac:dyDescent="0.15">
      <c r="E66" t="s">
        <v>518</v>
      </c>
      <c r="F66">
        <v>44</v>
      </c>
      <c r="G66">
        <v>171.41</v>
      </c>
      <c r="H66">
        <v>6.3829787234042534E-2</v>
      </c>
      <c r="I66">
        <v>0.2457595462001485</v>
      </c>
      <c r="K66">
        <v>43</v>
      </c>
      <c r="L66">
        <v>90.78</v>
      </c>
      <c r="M66">
        <v>7.4999999999999997E-2</v>
      </c>
      <c r="N66">
        <v>0</v>
      </c>
      <c r="P66">
        <v>51</v>
      </c>
      <c r="Q66">
        <f t="shared" si="2"/>
        <v>104.46</v>
      </c>
      <c r="R66">
        <v>8.5106382978723402E-2</v>
      </c>
      <c r="S66">
        <v>0.15063890724829254</v>
      </c>
      <c r="T66">
        <v>8</v>
      </c>
      <c r="U66">
        <v>13.674999999999997</v>
      </c>
      <c r="V66">
        <v>49</v>
      </c>
      <c r="Z66">
        <v>104.455</v>
      </c>
      <c r="AA66" s="1180"/>
    </row>
    <row r="67" spans="5:27" x14ac:dyDescent="0.15">
      <c r="E67" t="s">
        <v>312</v>
      </c>
      <c r="F67">
        <v>80</v>
      </c>
      <c r="G67">
        <v>23.99</v>
      </c>
      <c r="H67">
        <v>6.944444444444442E-2</v>
      </c>
      <c r="I67">
        <v>2.7853276359803614E-2</v>
      </c>
      <c r="K67">
        <v>77</v>
      </c>
      <c r="L67">
        <v>24.66</v>
      </c>
      <c r="M67">
        <v>4.0540540540540543E-2</v>
      </c>
      <c r="N67">
        <v>3.831578947368422E-2</v>
      </c>
      <c r="P67">
        <v>77</v>
      </c>
      <c r="Q67">
        <f t="shared" si="2"/>
        <v>24.99</v>
      </c>
      <c r="R67">
        <v>6.9444444444444448E-2</v>
      </c>
      <c r="S67">
        <v>3.8653366583541141E-2</v>
      </c>
      <c r="T67">
        <v>0</v>
      </c>
      <c r="U67">
        <v>0.32999999999999829</v>
      </c>
      <c r="V67">
        <v>75</v>
      </c>
      <c r="Z67">
        <v>24.99</v>
      </c>
      <c r="AA67" s="1180"/>
    </row>
    <row r="68" spans="5:27" x14ac:dyDescent="0.15">
      <c r="E68" t="s">
        <v>313</v>
      </c>
      <c r="F68">
        <v>19</v>
      </c>
      <c r="G68">
        <v>2.29</v>
      </c>
      <c r="H68">
        <v>0.35714285714285721</v>
      </c>
      <c r="I68">
        <v>-0.16727272727272724</v>
      </c>
      <c r="K68">
        <v>14</v>
      </c>
      <c r="L68">
        <v>2.75</v>
      </c>
      <c r="M68">
        <v>0</v>
      </c>
      <c r="N68">
        <v>0</v>
      </c>
      <c r="P68">
        <v>14</v>
      </c>
      <c r="Q68">
        <f t="shared" si="2"/>
        <v>2.75</v>
      </c>
      <c r="R68">
        <v>0</v>
      </c>
      <c r="S68">
        <v>0</v>
      </c>
      <c r="T68">
        <v>0</v>
      </c>
      <c r="U68">
        <v>0</v>
      </c>
      <c r="V68">
        <v>14</v>
      </c>
      <c r="Z68">
        <v>2.75</v>
      </c>
      <c r="AA68" s="1180"/>
    </row>
    <row r="69" spans="5:27" x14ac:dyDescent="0.15">
      <c r="G69">
        <v>46.578000000000003</v>
      </c>
      <c r="H69">
        <v>0</v>
      </c>
      <c r="I69">
        <v>3.6077817261940703E-2</v>
      </c>
      <c r="L69">
        <v>67.95</v>
      </c>
      <c r="Q69">
        <f t="shared" si="2"/>
        <v>67.95</v>
      </c>
      <c r="S69">
        <v>0</v>
      </c>
      <c r="T69">
        <v>0</v>
      </c>
      <c r="U69">
        <v>0</v>
      </c>
      <c r="V69">
        <v>0</v>
      </c>
      <c r="Z69">
        <v>67.95</v>
      </c>
      <c r="AA69" s="1180"/>
    </row>
    <row r="70" spans="5:27" x14ac:dyDescent="0.15">
      <c r="E70" t="s">
        <v>519</v>
      </c>
      <c r="F70">
        <v>2798</v>
      </c>
      <c r="G70">
        <v>1199.58</v>
      </c>
      <c r="H70">
        <v>6.2900771300547831E-2</v>
      </c>
      <c r="I70">
        <v>2.7753856207551442E-2</v>
      </c>
      <c r="K70">
        <v>2615</v>
      </c>
      <c r="L70">
        <v>1282.1399999999999</v>
      </c>
      <c r="M70">
        <v>3.3596837944664032E-2</v>
      </c>
      <c r="N70">
        <v>3.0029885279089851E-2</v>
      </c>
      <c r="P70">
        <v>2636</v>
      </c>
      <c r="Q70">
        <f t="shared" si="2"/>
        <v>1319.58</v>
      </c>
      <c r="R70">
        <v>4.8111332007952284E-2</v>
      </c>
      <c r="S70">
        <v>2.1112498407697078E-2</v>
      </c>
      <c r="T70">
        <v>21</v>
      </c>
      <c r="U70">
        <v>37.434999999999988</v>
      </c>
      <c r="V70">
        <v>2577</v>
      </c>
      <c r="Z70">
        <v>1319.575</v>
      </c>
      <c r="AA70" s="1180"/>
    </row>
    <row r="71" spans="5:27" x14ac:dyDescent="0.15">
      <c r="E71" t="s">
        <v>527</v>
      </c>
      <c r="F71">
        <v>2727598</v>
      </c>
      <c r="G71">
        <v>5560.8399999999983</v>
      </c>
      <c r="H71">
        <v>3.1742418082401969E-2</v>
      </c>
      <c r="I71">
        <v>3.5220560990452787E-2</v>
      </c>
      <c r="K71">
        <v>2693317</v>
      </c>
      <c r="L71">
        <v>5521.159999999998</v>
      </c>
      <c r="M71">
        <v>2.4607856862428824E-2</v>
      </c>
      <c r="N71">
        <v>3.7447363426765058E-2</v>
      </c>
      <c r="P71">
        <v>2699310</v>
      </c>
      <c r="Q71">
        <f t="shared" si="2"/>
        <v>5534.78</v>
      </c>
      <c r="R71">
        <v>2.6507393122772005E-2</v>
      </c>
      <c r="S71">
        <v>3.0868358630745937E-2</v>
      </c>
      <c r="T71">
        <v>5993</v>
      </c>
      <c r="U71">
        <v>13.619724181351323</v>
      </c>
      <c r="V71">
        <v>2664461</v>
      </c>
      <c r="Z71">
        <v>5534.7797241813514</v>
      </c>
      <c r="AA71" s="1180"/>
    </row>
    <row r="72" spans="5:27" x14ac:dyDescent="0.15">
      <c r="H72">
        <v>0</v>
      </c>
      <c r="I72">
        <v>0</v>
      </c>
      <c r="K72" t="s">
        <v>528</v>
      </c>
      <c r="Q72">
        <f t="shared" si="2"/>
        <v>0</v>
      </c>
      <c r="AA72" s="1180"/>
    </row>
    <row r="73" spans="5:27" x14ac:dyDescent="0.15">
      <c r="E73" t="s">
        <v>521</v>
      </c>
      <c r="F73">
        <v>2161161</v>
      </c>
      <c r="G73">
        <v>3738.2799999999984</v>
      </c>
      <c r="H73">
        <v>3.1664832823134148E-2</v>
      </c>
      <c r="I73">
        <v>3.1139070947190817E-2</v>
      </c>
      <c r="K73">
        <v>2124044</v>
      </c>
      <c r="L73">
        <v>3823.8399999999979</v>
      </c>
      <c r="M73">
        <v>2.3071617382994628E-2</v>
      </c>
      <c r="N73">
        <v>3.5653539894913204E-2</v>
      </c>
      <c r="P73">
        <v>2134400</v>
      </c>
      <c r="Q73">
        <f t="shared" si="2"/>
        <v>3866.32</v>
      </c>
      <c r="R73">
        <v>2.3789286666756202E-2</v>
      </c>
      <c r="S73">
        <v>3.3469684423287883E-2</v>
      </c>
      <c r="T73">
        <v>10356</v>
      </c>
      <c r="U73">
        <v>42.479724181351209</v>
      </c>
      <c r="V73">
        <v>2109605</v>
      </c>
      <c r="Z73">
        <v>3866.3197241813514</v>
      </c>
      <c r="AA73" s="1180"/>
    </row>
    <row r="74" spans="5:27" x14ac:dyDescent="0.15">
      <c r="G74">
        <v>3738.2799999999984</v>
      </c>
      <c r="H74">
        <v>0</v>
      </c>
      <c r="I74">
        <v>3.1086000184083362E-2</v>
      </c>
      <c r="L74">
        <v>3823.8399999999979</v>
      </c>
      <c r="N74">
        <v>3.5653539894913204E-2</v>
      </c>
      <c r="Q74">
        <f t="shared" si="2"/>
        <v>3866.32</v>
      </c>
      <c r="S74">
        <v>3.3469684423287883E-2</v>
      </c>
      <c r="U74">
        <v>42.479724181351209</v>
      </c>
      <c r="Z74">
        <v>3866.3197241813514</v>
      </c>
      <c r="AA74" s="1180"/>
    </row>
    <row r="75" spans="5:27" x14ac:dyDescent="0.15">
      <c r="E75" t="s">
        <v>522</v>
      </c>
      <c r="F75">
        <v>566437</v>
      </c>
      <c r="G75">
        <v>1822.56</v>
      </c>
      <c r="H75">
        <v>3.2047995077427949E-2</v>
      </c>
      <c r="I75">
        <v>4.4216868850017743E-2</v>
      </c>
      <c r="K75">
        <v>569273</v>
      </c>
      <c r="L75">
        <v>1697.3200000000002</v>
      </c>
      <c r="M75">
        <v>3.0380750351138849E-2</v>
      </c>
      <c r="N75">
        <v>4.1511471647633948E-2</v>
      </c>
      <c r="P75">
        <v>564910</v>
      </c>
      <c r="Q75">
        <f t="shared" si="2"/>
        <v>1668.46</v>
      </c>
      <c r="R75">
        <v>3.6908821920624377E-2</v>
      </c>
      <c r="S75">
        <v>2.4890352224283152E-2</v>
      </c>
      <c r="T75">
        <v>-4363</v>
      </c>
      <c r="U75">
        <v>-28.859999999999886</v>
      </c>
      <c r="V75">
        <v>554856</v>
      </c>
      <c r="Z75">
        <v>1668.46</v>
      </c>
      <c r="AA75" s="1180"/>
    </row>
    <row r="76" spans="5:27" x14ac:dyDescent="0.15">
      <c r="F76">
        <v>566437</v>
      </c>
      <c r="G76">
        <v>1822.56</v>
      </c>
      <c r="H76">
        <v>3.2047995077427949E-2</v>
      </c>
      <c r="I76">
        <v>4.4216868850017743E-2</v>
      </c>
      <c r="K76">
        <v>569273</v>
      </c>
      <c r="L76">
        <v>1697.32</v>
      </c>
      <c r="M76">
        <v>3.0380750351138849E-2</v>
      </c>
      <c r="N76">
        <v>4.15114716476341E-2</v>
      </c>
      <c r="P76">
        <v>564910</v>
      </c>
      <c r="Q76">
        <f t="shared" si="2"/>
        <v>1668.46</v>
      </c>
      <c r="R76">
        <v>3.6908821920624377E-2</v>
      </c>
      <c r="S76">
        <v>2.4890352224283437E-2</v>
      </c>
      <c r="T76">
        <v>-4363</v>
      </c>
      <c r="U76">
        <v>-28.859999999999886</v>
      </c>
      <c r="V76">
        <v>554856</v>
      </c>
      <c r="Z76">
        <v>1668.46</v>
      </c>
      <c r="AA76" s="1180"/>
    </row>
    <row r="77" spans="5:27" x14ac:dyDescent="0.15">
      <c r="F77" t="s">
        <v>529</v>
      </c>
      <c r="K77" t="s">
        <v>530</v>
      </c>
      <c r="P77" t="s">
        <v>531</v>
      </c>
      <c r="Q77">
        <f t="shared" si="2"/>
        <v>0</v>
      </c>
      <c r="AA77" s="1180"/>
    </row>
    <row r="78" spans="5:27" x14ac:dyDescent="0.15">
      <c r="F78" t="s">
        <v>532</v>
      </c>
      <c r="G78">
        <v>6.57</v>
      </c>
      <c r="K78" t="s">
        <v>532</v>
      </c>
      <c r="L78">
        <v>6.81</v>
      </c>
      <c r="P78" t="s">
        <v>532</v>
      </c>
      <c r="Q78">
        <f t="shared" si="2"/>
        <v>6.81</v>
      </c>
      <c r="Z78">
        <v>6.81</v>
      </c>
      <c r="AA78" s="1180"/>
    </row>
    <row r="79" spans="5:27" x14ac:dyDescent="0.15">
      <c r="Q79">
        <f t="shared" si="2"/>
        <v>0</v>
      </c>
      <c r="AA79" s="1180"/>
    </row>
    <row r="80" spans="5:27" x14ac:dyDescent="0.15">
      <c r="F80" t="s">
        <v>533</v>
      </c>
      <c r="G80">
        <v>27.5</v>
      </c>
      <c r="Q80">
        <f t="shared" si="2"/>
        <v>0</v>
      </c>
      <c r="AA80" s="1180"/>
    </row>
    <row r="81" spans="5:27" ht="15" x14ac:dyDescent="0.2">
      <c r="F81" s="1181" t="s">
        <v>534</v>
      </c>
      <c r="G81" s="1181">
        <v>5594.909999999998</v>
      </c>
      <c r="H81" s="1181"/>
      <c r="I81" s="1181"/>
      <c r="J81" s="1181"/>
      <c r="K81" s="1181" t="s">
        <v>534</v>
      </c>
      <c r="L81" s="1181">
        <v>5527.9699999999984</v>
      </c>
      <c r="M81" s="1181"/>
      <c r="N81" s="1181"/>
      <c r="O81" s="1181"/>
      <c r="P81" s="1181" t="s">
        <v>534</v>
      </c>
      <c r="Q81">
        <f t="shared" si="2"/>
        <v>5541.59</v>
      </c>
      <c r="R81" s="1181"/>
      <c r="S81" s="1181"/>
      <c r="T81" s="1181"/>
      <c r="U81" s="1181">
        <v>13.619724181353376</v>
      </c>
      <c r="Z81">
        <v>5541.5897241813518</v>
      </c>
      <c r="AA81" s="1180"/>
    </row>
    <row r="82" spans="5:27" ht="15" x14ac:dyDescent="0.2">
      <c r="G82" s="1185">
        <v>5641.4879999999985</v>
      </c>
      <c r="L82" s="1185">
        <v>5595.9199999999983</v>
      </c>
      <c r="Q82">
        <f t="shared" si="2"/>
        <v>5609.54</v>
      </c>
      <c r="U82">
        <v>13.619724181353376</v>
      </c>
      <c r="Z82">
        <v>5609.5397241813516</v>
      </c>
      <c r="AA82" s="1180"/>
    </row>
    <row r="85" spans="5:27" x14ac:dyDescent="0.15">
      <c r="E85" t="s">
        <v>494</v>
      </c>
    </row>
    <row r="87" spans="5:27" x14ac:dyDescent="0.15">
      <c r="E87" t="s">
        <v>535</v>
      </c>
      <c r="K87" t="s">
        <v>535</v>
      </c>
      <c r="L87">
        <v>42.27</v>
      </c>
      <c r="P87" t="s">
        <v>535</v>
      </c>
    </row>
    <row r="88" spans="5:27" x14ac:dyDescent="0.15">
      <c r="E88" t="s">
        <v>495</v>
      </c>
      <c r="K88" t="s">
        <v>496</v>
      </c>
      <c r="P88" t="s">
        <v>497</v>
      </c>
    </row>
    <row r="89" spans="5:27" x14ac:dyDescent="0.15">
      <c r="E89" t="s">
        <v>31</v>
      </c>
      <c r="F89" t="s">
        <v>498</v>
      </c>
      <c r="G89" t="s">
        <v>499</v>
      </c>
      <c r="H89" t="s">
        <v>500</v>
      </c>
      <c r="I89" t="s">
        <v>501</v>
      </c>
      <c r="K89" t="s">
        <v>498</v>
      </c>
      <c r="L89" t="s">
        <v>499</v>
      </c>
      <c r="M89" t="s">
        <v>500</v>
      </c>
      <c r="N89" t="s">
        <v>501</v>
      </c>
      <c r="P89" t="s">
        <v>498</v>
      </c>
      <c r="Q89" t="s">
        <v>499</v>
      </c>
      <c r="R89" t="s">
        <v>500</v>
      </c>
      <c r="S89" t="s">
        <v>501</v>
      </c>
      <c r="T89" t="s">
        <v>502</v>
      </c>
      <c r="U89" t="s">
        <v>503</v>
      </c>
      <c r="V89" t="s">
        <v>504</v>
      </c>
    </row>
    <row r="90" spans="5:27" x14ac:dyDescent="0.15">
      <c r="E90" t="s">
        <v>505</v>
      </c>
      <c r="F90">
        <v>448285</v>
      </c>
      <c r="G90">
        <v>96.56</v>
      </c>
      <c r="H90">
        <v>0</v>
      </c>
      <c r="I90">
        <v>0</v>
      </c>
      <c r="K90">
        <v>445124</v>
      </c>
      <c r="L90">
        <v>97.03</v>
      </c>
      <c r="M90">
        <v>0</v>
      </c>
      <c r="N90">
        <v>9.9927136462996564E-3</v>
      </c>
      <c r="P90">
        <v>447923</v>
      </c>
      <c r="Q90">
        <f t="shared" ref="Q90:Q121" si="3">ROUND(Z90,2)</f>
        <v>95.12</v>
      </c>
      <c r="R90">
        <v>0</v>
      </c>
      <c r="S90">
        <v>0</v>
      </c>
      <c r="T90">
        <v>2799</v>
      </c>
      <c r="U90">
        <v>-1.9099999999999966</v>
      </c>
      <c r="V90">
        <v>447923</v>
      </c>
      <c r="Z90">
        <v>95.12</v>
      </c>
    </row>
    <row r="91" spans="5:27" x14ac:dyDescent="0.15">
      <c r="E91" t="s">
        <v>505</v>
      </c>
      <c r="F91">
        <v>44869</v>
      </c>
      <c r="G91">
        <v>32.89</v>
      </c>
      <c r="H91">
        <v>0</v>
      </c>
      <c r="I91">
        <v>0</v>
      </c>
      <c r="K91">
        <v>43018</v>
      </c>
      <c r="L91">
        <v>29.86</v>
      </c>
      <c r="M91">
        <v>0</v>
      </c>
      <c r="N91">
        <v>1.0148849797023029E-2</v>
      </c>
      <c r="P91">
        <v>41739</v>
      </c>
      <c r="Q91">
        <f t="shared" si="3"/>
        <v>27.44</v>
      </c>
      <c r="R91">
        <v>0</v>
      </c>
      <c r="S91">
        <v>0</v>
      </c>
      <c r="T91">
        <v>-1279</v>
      </c>
      <c r="U91">
        <v>-2.4199999999999982</v>
      </c>
      <c r="V91">
        <v>41739</v>
      </c>
      <c r="Z91">
        <v>27.44</v>
      </c>
    </row>
    <row r="92" spans="5:27" x14ac:dyDescent="0.15">
      <c r="E92" t="s">
        <v>506</v>
      </c>
      <c r="F92">
        <v>2293325</v>
      </c>
      <c r="G92">
        <v>1200.54</v>
      </c>
      <c r="H92">
        <v>3.8216740126140847E-2</v>
      </c>
      <c r="I92">
        <v>3.6582702548852541E-2</v>
      </c>
      <c r="K92">
        <v>2333628</v>
      </c>
      <c r="L92">
        <v>1183.76</v>
      </c>
      <c r="M92">
        <v>4.2652351368196714E-2</v>
      </c>
      <c r="N92">
        <v>3.303953224539654E-2</v>
      </c>
      <c r="P92">
        <v>2364288</v>
      </c>
      <c r="Q92">
        <f t="shared" si="3"/>
        <v>1178.33</v>
      </c>
      <c r="R92">
        <v>2.5701005533078299E-2</v>
      </c>
      <c r="S92">
        <v>4.1488788127877943E-2</v>
      </c>
      <c r="T92">
        <v>30660</v>
      </c>
      <c r="U92">
        <v>-5.4300000000000637</v>
      </c>
      <c r="V92">
        <v>2334667</v>
      </c>
      <c r="Z92">
        <v>1178.33</v>
      </c>
    </row>
    <row r="93" spans="5:27" x14ac:dyDescent="0.15">
      <c r="E93" t="s">
        <v>507</v>
      </c>
      <c r="F93">
        <v>3604</v>
      </c>
      <c r="G93">
        <v>12.29</v>
      </c>
      <c r="H93">
        <v>2.3861765590048156E-2</v>
      </c>
      <c r="I93">
        <v>0.25265769086156742</v>
      </c>
      <c r="K93">
        <v>3942</v>
      </c>
      <c r="L93">
        <v>8.07</v>
      </c>
      <c r="M93">
        <v>4.7011952191235058E-2</v>
      </c>
      <c r="N93">
        <v>1.0012515644555704E-2</v>
      </c>
      <c r="P93">
        <v>4095</v>
      </c>
      <c r="Q93">
        <f t="shared" si="3"/>
        <v>10.71</v>
      </c>
      <c r="R93">
        <v>3.8812785388127852E-2</v>
      </c>
      <c r="S93">
        <v>3.8812785388127866E-2</v>
      </c>
      <c r="T93">
        <v>153</v>
      </c>
      <c r="U93">
        <v>2.6401598173515985</v>
      </c>
      <c r="V93">
        <v>4019</v>
      </c>
      <c r="Z93">
        <v>10.710159817351599</v>
      </c>
    </row>
    <row r="94" spans="5:27" x14ac:dyDescent="0.15">
      <c r="E94" t="s">
        <v>508</v>
      </c>
      <c r="F94">
        <v>306201</v>
      </c>
      <c r="G94">
        <v>364.91</v>
      </c>
      <c r="H94">
        <v>4.2677875430563228E-2</v>
      </c>
      <c r="I94">
        <v>5.131219524256192E-2</v>
      </c>
      <c r="K94">
        <v>315080</v>
      </c>
      <c r="L94">
        <v>336.05</v>
      </c>
      <c r="M94">
        <v>5.1904130763555267E-2</v>
      </c>
      <c r="N94">
        <v>2.9691138619928906E-2</v>
      </c>
      <c r="P94">
        <v>319572</v>
      </c>
      <c r="Q94">
        <f t="shared" si="3"/>
        <v>370.38</v>
      </c>
      <c r="R94">
        <v>3.3110270584812335E-2</v>
      </c>
      <c r="S94">
        <v>2.0386798170698047E-2</v>
      </c>
      <c r="T94">
        <v>4492</v>
      </c>
      <c r="U94">
        <v>34.329999999999984</v>
      </c>
      <c r="V94">
        <v>314451</v>
      </c>
      <c r="Z94">
        <v>370.38</v>
      </c>
    </row>
    <row r="95" spans="5:27" x14ac:dyDescent="0.15">
      <c r="E95" t="s">
        <v>509</v>
      </c>
      <c r="F95">
        <v>480637</v>
      </c>
      <c r="G95">
        <v>3259.23</v>
      </c>
      <c r="H95">
        <v>4.115787945940208E-2</v>
      </c>
      <c r="I95">
        <v>1.0918012549510969E-2</v>
      </c>
      <c r="K95">
        <v>494687</v>
      </c>
      <c r="L95">
        <v>3154.07</v>
      </c>
      <c r="M95">
        <v>5.1159025182156814E-2</v>
      </c>
      <c r="N95">
        <v>5.1160450049324201E-2</v>
      </c>
      <c r="P95">
        <v>496937</v>
      </c>
      <c r="Q95">
        <f t="shared" si="3"/>
        <v>3084.54</v>
      </c>
      <c r="R95">
        <v>4.5483305605362586E-3</v>
      </c>
      <c r="S95">
        <v>2.7988108886341224E-2</v>
      </c>
      <c r="T95">
        <v>2250</v>
      </c>
      <c r="U95">
        <v>-69.5300000000002</v>
      </c>
      <c r="V95">
        <v>495812</v>
      </c>
      <c r="Z95">
        <v>3084.54</v>
      </c>
    </row>
    <row r="96" spans="5:27" x14ac:dyDescent="0.15">
      <c r="E96" t="s">
        <v>510</v>
      </c>
      <c r="F96">
        <v>237</v>
      </c>
      <c r="G96">
        <v>1.53</v>
      </c>
      <c r="H96">
        <v>4.8309928573548877E-3</v>
      </c>
      <c r="I96">
        <v>0.43255961411939681</v>
      </c>
      <c r="K96">
        <v>240</v>
      </c>
      <c r="L96">
        <v>1.24</v>
      </c>
      <c r="M96">
        <v>3.0042918454935622E-2</v>
      </c>
      <c r="N96">
        <v>0.10714285714285703</v>
      </c>
      <c r="P96">
        <v>240</v>
      </c>
      <c r="Q96">
        <f t="shared" si="3"/>
        <v>1.2</v>
      </c>
      <c r="R96">
        <v>0</v>
      </c>
      <c r="S96">
        <v>0.10784313725490188</v>
      </c>
      <c r="T96">
        <v>0</v>
      </c>
      <c r="U96">
        <v>-4.0000000000000036E-2</v>
      </c>
      <c r="V96">
        <v>240</v>
      </c>
      <c r="Z96">
        <v>1.2</v>
      </c>
    </row>
    <row r="97" spans="5:26" x14ac:dyDescent="0.15">
      <c r="E97" t="s">
        <v>87</v>
      </c>
      <c r="F97">
        <v>12989</v>
      </c>
      <c r="G97">
        <v>25.6</v>
      </c>
      <c r="H97">
        <v>9.1041440872423385E-2</v>
      </c>
      <c r="I97">
        <v>0.23266995755951037</v>
      </c>
      <c r="K97">
        <v>13259</v>
      </c>
      <c r="L97">
        <v>19.899999999999999</v>
      </c>
      <c r="M97">
        <v>9.769020614289263E-2</v>
      </c>
      <c r="N97">
        <v>1.7902813299232628E-2</v>
      </c>
      <c r="P97">
        <v>12952</v>
      </c>
      <c r="Q97">
        <f t="shared" si="3"/>
        <v>22.6</v>
      </c>
      <c r="R97">
        <v>9.7627118644067798E-2</v>
      </c>
      <c r="S97">
        <v>9.7627118644067798E-2</v>
      </c>
      <c r="T97">
        <v>-307</v>
      </c>
      <c r="U97">
        <v>2.6989094874591046</v>
      </c>
      <c r="V97">
        <v>12376</v>
      </c>
      <c r="Z97">
        <v>22.598909487459103</v>
      </c>
    </row>
    <row r="98" spans="5:26" x14ac:dyDescent="0.15">
      <c r="E98" t="s">
        <v>511</v>
      </c>
      <c r="F98">
        <v>50865</v>
      </c>
      <c r="G98">
        <v>159.1</v>
      </c>
      <c r="H98">
        <v>3.0597507465484286E-2</v>
      </c>
      <c r="I98">
        <v>1.9276086477801435E-2</v>
      </c>
      <c r="K98">
        <v>54504</v>
      </c>
      <c r="L98">
        <v>183.27</v>
      </c>
      <c r="M98">
        <v>5.4501131812641476E-2</v>
      </c>
      <c r="N98">
        <v>4.6479757894135873E-2</v>
      </c>
      <c r="P98">
        <v>57102</v>
      </c>
      <c r="Q98">
        <f t="shared" si="3"/>
        <v>192.7</v>
      </c>
      <c r="R98">
        <v>4.7666226332012326E-2</v>
      </c>
      <c r="S98">
        <v>3.5453686157438623E-2</v>
      </c>
      <c r="T98">
        <v>2598</v>
      </c>
      <c r="U98">
        <v>9.4299999999999784</v>
      </c>
      <c r="V98">
        <v>55803</v>
      </c>
      <c r="Z98">
        <v>192.7</v>
      </c>
    </row>
    <row r="99" spans="5:26" x14ac:dyDescent="0.15">
      <c r="E99" t="s">
        <v>512</v>
      </c>
      <c r="F99">
        <v>35340</v>
      </c>
      <c r="G99">
        <v>302.06</v>
      </c>
      <c r="H99">
        <v>4.7822071457043869E-2</v>
      </c>
      <c r="I99">
        <v>3.8603214564285393E-2</v>
      </c>
      <c r="K99">
        <v>34086</v>
      </c>
      <c r="L99">
        <v>301.68</v>
      </c>
      <c r="M99">
        <v>4.0126941503158278E-2</v>
      </c>
      <c r="N99">
        <v>4.2288557213930378E-2</v>
      </c>
      <c r="P99">
        <v>34123</v>
      </c>
      <c r="Q99">
        <f t="shared" si="3"/>
        <v>301.37</v>
      </c>
      <c r="R99">
        <v>4.014509540937633E-2</v>
      </c>
      <c r="S99">
        <v>4.6598547546870685E-2</v>
      </c>
      <c r="T99">
        <v>37</v>
      </c>
      <c r="U99">
        <v>-0.31000000000000227</v>
      </c>
      <c r="V99">
        <v>33465</v>
      </c>
      <c r="Z99">
        <v>301.37</v>
      </c>
    </row>
    <row r="100" spans="5:26" x14ac:dyDescent="0.15">
      <c r="E100" t="s">
        <v>513</v>
      </c>
      <c r="F100">
        <v>29060</v>
      </c>
      <c r="G100">
        <v>126.15</v>
      </c>
      <c r="H100">
        <v>4.8589625332151165E-2</v>
      </c>
      <c r="I100">
        <v>1.564601193882087E-2</v>
      </c>
      <c r="K100">
        <v>29276</v>
      </c>
      <c r="L100">
        <v>123.53</v>
      </c>
      <c r="M100">
        <v>4.7217055372728571E-2</v>
      </c>
      <c r="N100">
        <v>2.5570776255707747E-2</v>
      </c>
      <c r="P100">
        <v>30426</v>
      </c>
      <c r="Q100">
        <f t="shared" si="3"/>
        <v>133.87</v>
      </c>
      <c r="R100">
        <v>4.2629017887739019E-2</v>
      </c>
      <c r="S100">
        <v>4.2629017887739075E-2</v>
      </c>
      <c r="T100">
        <v>1150</v>
      </c>
      <c r="U100">
        <v>10.335281887994029</v>
      </c>
      <c r="V100">
        <v>29804</v>
      </c>
      <c r="Z100">
        <v>133.86528188799403</v>
      </c>
    </row>
    <row r="101" spans="5:26" x14ac:dyDescent="0.15">
      <c r="E101" t="s">
        <v>526</v>
      </c>
      <c r="H101">
        <v>0</v>
      </c>
      <c r="I101">
        <v>0</v>
      </c>
      <c r="K101">
        <v>175</v>
      </c>
      <c r="L101">
        <v>14</v>
      </c>
      <c r="M101">
        <v>7.75</v>
      </c>
      <c r="N101">
        <v>6</v>
      </c>
      <c r="P101">
        <v>175</v>
      </c>
      <c r="Q101">
        <f t="shared" si="3"/>
        <v>14</v>
      </c>
      <c r="R101">
        <v>7.75</v>
      </c>
      <c r="S101">
        <v>6</v>
      </c>
      <c r="T101">
        <v>0</v>
      </c>
      <c r="U101">
        <v>0</v>
      </c>
      <c r="V101">
        <v>98</v>
      </c>
      <c r="Z101">
        <v>14</v>
      </c>
    </row>
    <row r="102" spans="5:26" x14ac:dyDescent="0.15">
      <c r="E102" t="s">
        <v>15</v>
      </c>
      <c r="F102">
        <v>101326</v>
      </c>
      <c r="G102">
        <v>18.37</v>
      </c>
      <c r="H102">
        <v>0.12948389254263737</v>
      </c>
      <c r="I102">
        <v>4.493742889647323E-2</v>
      </c>
      <c r="K102">
        <v>141640</v>
      </c>
      <c r="L102">
        <v>18.690000000000001</v>
      </c>
      <c r="M102">
        <v>0.24933846099566032</v>
      </c>
      <c r="N102">
        <v>3.2596685082872917E-2</v>
      </c>
      <c r="P102">
        <v>141640</v>
      </c>
      <c r="Q102">
        <f t="shared" si="3"/>
        <v>18.690000000000001</v>
      </c>
      <c r="R102">
        <v>0</v>
      </c>
      <c r="S102">
        <v>-6.907545164718332E-3</v>
      </c>
      <c r="T102">
        <v>0</v>
      </c>
      <c r="U102">
        <v>0</v>
      </c>
      <c r="V102">
        <v>141640</v>
      </c>
      <c r="Z102">
        <v>18.690000000000001</v>
      </c>
    </row>
    <row r="103" spans="5:26" x14ac:dyDescent="0.15">
      <c r="E103" t="s">
        <v>177</v>
      </c>
      <c r="F103">
        <v>3806738</v>
      </c>
      <c r="G103">
        <v>5599.2300000000005</v>
      </c>
      <c r="H103">
        <v>3.6446404239321772E-2</v>
      </c>
      <c r="I103">
        <v>2.2510817714105125E-2</v>
      </c>
      <c r="K103">
        <v>3908659</v>
      </c>
      <c r="L103">
        <v>5471.15</v>
      </c>
      <c r="M103">
        <v>4.5561739534241724E-2</v>
      </c>
      <c r="N103">
        <v>4.5663130252301433E-2</v>
      </c>
      <c r="P103">
        <v>3951212</v>
      </c>
      <c r="Q103">
        <f t="shared" si="3"/>
        <v>5450.94</v>
      </c>
      <c r="R103">
        <v>2.0231307155773034E-2</v>
      </c>
      <c r="S103">
        <v>3.3797692017299277E-2</v>
      </c>
      <c r="T103">
        <v>42553</v>
      </c>
      <c r="U103">
        <v>-20.205648807195566</v>
      </c>
      <c r="V103">
        <v>3912037</v>
      </c>
      <c r="Z103">
        <v>5450.9443511928039</v>
      </c>
    </row>
    <row r="104" spans="5:26" x14ac:dyDescent="0.15">
      <c r="Q104">
        <f t="shared" si="3"/>
        <v>0</v>
      </c>
    </row>
    <row r="105" spans="5:26" x14ac:dyDescent="0.15">
      <c r="E105" t="s">
        <v>16</v>
      </c>
      <c r="F105">
        <v>224</v>
      </c>
      <c r="G105">
        <v>519.63</v>
      </c>
      <c r="H105">
        <v>6.345576270678932E-2</v>
      </c>
      <c r="I105">
        <v>2.3100556704365394E-2</v>
      </c>
      <c r="K105">
        <v>228</v>
      </c>
      <c r="L105">
        <v>535.54999999999995</v>
      </c>
      <c r="M105">
        <v>9.0909090909090912E-2</v>
      </c>
      <c r="N105">
        <v>3.7706601561742957E-2</v>
      </c>
      <c r="P105">
        <v>223</v>
      </c>
      <c r="Q105">
        <f t="shared" si="3"/>
        <v>539.47</v>
      </c>
      <c r="R105">
        <v>8.7804878048780483E-2</v>
      </c>
      <c r="S105">
        <v>3.5252350796392252E-2</v>
      </c>
      <c r="T105">
        <v>-5</v>
      </c>
      <c r="U105">
        <v>3.9200000000000728</v>
      </c>
      <c r="V105">
        <v>214</v>
      </c>
      <c r="Z105">
        <v>539.47</v>
      </c>
    </row>
    <row r="106" spans="5:26" x14ac:dyDescent="0.15">
      <c r="E106" t="s">
        <v>515</v>
      </c>
      <c r="F106">
        <v>1420</v>
      </c>
      <c r="G106">
        <v>636.54999999999995</v>
      </c>
      <c r="H106">
        <v>5.5172631251423132E-2</v>
      </c>
      <c r="I106">
        <v>-0.11520762778667271</v>
      </c>
      <c r="K106">
        <v>1443</v>
      </c>
      <c r="L106">
        <v>808.04</v>
      </c>
      <c r="M106">
        <v>7.6865671641791047E-2</v>
      </c>
      <c r="N106">
        <v>3.5086146160251054E-2</v>
      </c>
      <c r="P106">
        <v>1491</v>
      </c>
      <c r="Q106">
        <f t="shared" si="3"/>
        <v>808.04</v>
      </c>
      <c r="R106">
        <v>7.2661870503597126E-2</v>
      </c>
      <c r="S106">
        <v>-3.1547557410120512E-3</v>
      </c>
      <c r="T106">
        <v>48</v>
      </c>
      <c r="U106">
        <v>0</v>
      </c>
      <c r="V106">
        <v>1441</v>
      </c>
      <c r="Z106">
        <v>808.04</v>
      </c>
    </row>
    <row r="107" spans="5:26" x14ac:dyDescent="0.15">
      <c r="E107" t="s">
        <v>516</v>
      </c>
      <c r="F107">
        <v>968</v>
      </c>
      <c r="G107">
        <v>126.58</v>
      </c>
      <c r="H107">
        <v>7.5210736289269331E-2</v>
      </c>
      <c r="I107">
        <v>2.2288262944290427E-2</v>
      </c>
      <c r="K107">
        <v>1025</v>
      </c>
      <c r="L107">
        <v>108.07</v>
      </c>
      <c r="M107">
        <v>9.5085470085470081E-2</v>
      </c>
      <c r="N107">
        <v>2.0009438414346298E-2</v>
      </c>
      <c r="P107">
        <v>1018</v>
      </c>
      <c r="Q107">
        <f t="shared" si="3"/>
        <v>108.07</v>
      </c>
      <c r="R107">
        <v>9.4623655913978491E-2</v>
      </c>
      <c r="S107">
        <v>-6.4202614842985173E-2</v>
      </c>
      <c r="T107">
        <v>-7</v>
      </c>
      <c r="U107">
        <v>0</v>
      </c>
      <c r="V107">
        <v>974</v>
      </c>
      <c r="Z107">
        <v>108.07</v>
      </c>
    </row>
    <row r="108" spans="5:26" x14ac:dyDescent="0.15">
      <c r="E108" t="s">
        <v>517</v>
      </c>
      <c r="F108">
        <v>420</v>
      </c>
      <c r="G108">
        <v>53.39</v>
      </c>
      <c r="H108">
        <v>8.3908307535855098E-2</v>
      </c>
      <c r="I108">
        <v>-7.8414998080585829E-2</v>
      </c>
      <c r="K108">
        <v>412</v>
      </c>
      <c r="L108">
        <v>55.72</v>
      </c>
      <c r="M108">
        <v>8.1364829396325458E-2</v>
      </c>
      <c r="N108">
        <v>2.1260997067448616E-2</v>
      </c>
      <c r="P108">
        <v>407</v>
      </c>
      <c r="Q108">
        <f t="shared" si="3"/>
        <v>63.5</v>
      </c>
      <c r="R108">
        <v>8.2446808510638292E-2</v>
      </c>
      <c r="S108">
        <v>1.4214981632327114E-2</v>
      </c>
      <c r="T108">
        <v>-5</v>
      </c>
      <c r="U108">
        <v>7.7800000000000011</v>
      </c>
      <c r="V108">
        <v>392</v>
      </c>
      <c r="Z108">
        <v>63.5</v>
      </c>
    </row>
    <row r="109" spans="5:26" x14ac:dyDescent="0.15">
      <c r="E109" t="s">
        <v>518</v>
      </c>
      <c r="F109">
        <v>135</v>
      </c>
      <c r="G109">
        <v>134.32</v>
      </c>
      <c r="H109">
        <v>5.6014012793147883E-2</v>
      </c>
      <c r="I109">
        <v>3.7970464035271601E-2</v>
      </c>
      <c r="K109">
        <v>145</v>
      </c>
      <c r="L109">
        <v>171.65</v>
      </c>
      <c r="M109">
        <v>8.2089552238805971E-2</v>
      </c>
      <c r="N109">
        <v>0.14624373956594328</v>
      </c>
      <c r="P109">
        <v>155</v>
      </c>
      <c r="Q109">
        <f t="shared" si="3"/>
        <v>171.65</v>
      </c>
      <c r="R109">
        <v>6.8965517241379309E-2</v>
      </c>
      <c r="S109">
        <v>0.12353880465048762</v>
      </c>
      <c r="T109">
        <v>10</v>
      </c>
      <c r="U109">
        <v>0</v>
      </c>
      <c r="V109">
        <v>150</v>
      </c>
      <c r="Z109">
        <v>171.65</v>
      </c>
    </row>
    <row r="110" spans="5:26" x14ac:dyDescent="0.15">
      <c r="E110" t="s">
        <v>312</v>
      </c>
      <c r="F110">
        <v>44</v>
      </c>
      <c r="G110">
        <v>3.77</v>
      </c>
      <c r="H110">
        <v>0.11842691472014466</v>
      </c>
      <c r="I110">
        <v>-6.3806289909366098E-2</v>
      </c>
      <c r="K110">
        <v>66</v>
      </c>
      <c r="L110">
        <v>4.3600000000000003</v>
      </c>
      <c r="M110">
        <v>0.26923076923076922</v>
      </c>
      <c r="N110">
        <v>2.3474178403755996E-2</v>
      </c>
      <c r="P110">
        <v>81</v>
      </c>
      <c r="Q110">
        <f t="shared" si="3"/>
        <v>4.32</v>
      </c>
      <c r="R110">
        <v>0.2857142857142857</v>
      </c>
      <c r="S110">
        <v>2.3696682464455103E-2</v>
      </c>
      <c r="T110">
        <v>15</v>
      </c>
      <c r="U110">
        <v>-4.0000000000000036E-2</v>
      </c>
      <c r="V110">
        <v>72</v>
      </c>
      <c r="Z110">
        <v>4.32</v>
      </c>
    </row>
    <row r="111" spans="5:26" x14ac:dyDescent="0.15">
      <c r="E111" t="s">
        <v>313</v>
      </c>
      <c r="F111">
        <v>78</v>
      </c>
      <c r="G111">
        <v>3.56</v>
      </c>
      <c r="H111">
        <v>0.23809523809523814</v>
      </c>
      <c r="I111">
        <v>1.7142857142857126E-2</v>
      </c>
      <c r="K111">
        <v>79</v>
      </c>
      <c r="L111">
        <v>7.73</v>
      </c>
      <c r="M111">
        <v>0.234375</v>
      </c>
      <c r="N111">
        <v>0.12354651162790706</v>
      </c>
      <c r="P111">
        <v>79</v>
      </c>
      <c r="Q111">
        <f t="shared" si="3"/>
        <v>7.73</v>
      </c>
      <c r="R111">
        <v>0</v>
      </c>
      <c r="S111">
        <v>0</v>
      </c>
      <c r="T111">
        <v>0</v>
      </c>
      <c r="U111">
        <v>0</v>
      </c>
      <c r="V111">
        <v>79</v>
      </c>
      <c r="Z111">
        <v>7.73</v>
      </c>
    </row>
    <row r="112" spans="5:26" x14ac:dyDescent="0.15">
      <c r="E112" t="s">
        <v>519</v>
      </c>
      <c r="F112">
        <v>3289</v>
      </c>
      <c r="G112">
        <v>1477.7899999999997</v>
      </c>
      <c r="H112">
        <v>6.9871423351652417E-2</v>
      </c>
      <c r="I112">
        <v>-4.1690198630614295E-2</v>
      </c>
      <c r="K112">
        <v>3398</v>
      </c>
      <c r="L112">
        <v>1691.12</v>
      </c>
      <c r="M112">
        <v>9.0500641848523744E-2</v>
      </c>
      <c r="N112">
        <v>4.5101165535738431E-2</v>
      </c>
      <c r="P112">
        <v>3454</v>
      </c>
      <c r="Q112">
        <f t="shared" si="3"/>
        <v>1702.78</v>
      </c>
      <c r="R112">
        <v>8.3437892095357596E-2</v>
      </c>
      <c r="S112">
        <v>1.6877785813414353E-2</v>
      </c>
      <c r="T112">
        <v>56</v>
      </c>
      <c r="U112">
        <v>11.660000000000075</v>
      </c>
      <c r="V112">
        <v>3322</v>
      </c>
      <c r="Z112">
        <v>1702.78</v>
      </c>
    </row>
    <row r="113" spans="5:26" x14ac:dyDescent="0.15">
      <c r="E113" t="s">
        <v>49</v>
      </c>
      <c r="F113">
        <v>3810027</v>
      </c>
      <c r="G113">
        <v>7077.01</v>
      </c>
      <c r="H113">
        <v>3.6475374327938237E-2</v>
      </c>
      <c r="I113">
        <v>8.2540479848922654E-3</v>
      </c>
      <c r="K113">
        <v>3912057</v>
      </c>
      <c r="L113">
        <v>7162.2699999999995</v>
      </c>
      <c r="M113">
        <v>4.5599166098705048E-2</v>
      </c>
      <c r="N113">
        <v>4.5530387409730963E-2</v>
      </c>
      <c r="P113">
        <v>3954666</v>
      </c>
      <c r="Q113">
        <f t="shared" si="3"/>
        <v>7153.72</v>
      </c>
      <c r="R113">
        <v>2.0283293778429416E-2</v>
      </c>
      <c r="S113">
        <v>2.9719436427062332E-2</v>
      </c>
      <c r="T113">
        <v>42609</v>
      </c>
      <c r="U113">
        <v>-8.5456488071954908</v>
      </c>
      <c r="V113">
        <v>3915359</v>
      </c>
      <c r="Z113">
        <v>7153.7243511928036</v>
      </c>
    </row>
    <row r="114" spans="5:26" x14ac:dyDescent="0.15">
      <c r="H114">
        <v>0</v>
      </c>
      <c r="I114">
        <v>0</v>
      </c>
      <c r="K114">
        <v>270</v>
      </c>
      <c r="L114">
        <v>5.63</v>
      </c>
      <c r="M114">
        <v>3.8461538461538464E-2</v>
      </c>
      <c r="N114">
        <v>1.6245487364620913E-2</v>
      </c>
      <c r="P114">
        <v>270</v>
      </c>
      <c r="Q114">
        <f t="shared" si="3"/>
        <v>5.63</v>
      </c>
      <c r="R114">
        <v>3.8461538461538464E-2</v>
      </c>
      <c r="S114">
        <v>1.6245487364620913E-2</v>
      </c>
      <c r="T114">
        <v>270</v>
      </c>
      <c r="U114">
        <v>5.63</v>
      </c>
      <c r="V114">
        <v>270</v>
      </c>
      <c r="Z114">
        <v>5.63</v>
      </c>
    </row>
    <row r="115" spans="5:26" x14ac:dyDescent="0.15">
      <c r="E115" t="s">
        <v>521</v>
      </c>
      <c r="F115">
        <v>2881105</v>
      </c>
      <c r="G115">
        <v>3721.2200000000003</v>
      </c>
      <c r="H115">
        <v>4.1218604656330315E-2</v>
      </c>
      <c r="I115">
        <v>6.2274308556535818E-3</v>
      </c>
      <c r="K115">
        <v>2972246</v>
      </c>
      <c r="L115">
        <v>3911.1699999999992</v>
      </c>
      <c r="M115">
        <v>5.1856255850289218E-2</v>
      </c>
      <c r="N115">
        <v>4.1939505666348346E-2</v>
      </c>
      <c r="P115">
        <v>3009806</v>
      </c>
      <c r="Q115">
        <f t="shared" si="3"/>
        <v>3974.06</v>
      </c>
      <c r="R115">
        <v>2.6033966299600093E-2</v>
      </c>
      <c r="S115">
        <v>3.1802185235946835E-2</v>
      </c>
      <c r="T115">
        <v>37560</v>
      </c>
      <c r="U115">
        <v>62.894351192804706</v>
      </c>
      <c r="V115">
        <v>2971624</v>
      </c>
      <c r="Z115">
        <v>3974.0643511928038</v>
      </c>
    </row>
    <row r="116" spans="5:26" x14ac:dyDescent="0.15">
      <c r="Q116">
        <f t="shared" si="3"/>
        <v>0</v>
      </c>
    </row>
    <row r="117" spans="5:26" x14ac:dyDescent="0.15">
      <c r="E117" t="s">
        <v>522</v>
      </c>
      <c r="F117">
        <v>928922</v>
      </c>
      <c r="G117">
        <v>3355.79</v>
      </c>
      <c r="H117">
        <v>2.0889221161880522E-2</v>
      </c>
      <c r="I117">
        <v>1.0605124806049693E-2</v>
      </c>
      <c r="K117">
        <v>939811</v>
      </c>
      <c r="L117">
        <v>3251.1000000000004</v>
      </c>
      <c r="M117">
        <v>2.629144894538267E-2</v>
      </c>
      <c r="N117">
        <v>4.9883260189302642E-2</v>
      </c>
      <c r="P117">
        <v>944860</v>
      </c>
      <c r="Q117">
        <f t="shared" si="3"/>
        <v>3179.66</v>
      </c>
      <c r="R117">
        <v>2.3869893168967015E-3</v>
      </c>
      <c r="S117">
        <v>2.7128126938184834E-2</v>
      </c>
      <c r="T117">
        <v>5049</v>
      </c>
      <c r="U117">
        <v>-71.440000000000197</v>
      </c>
      <c r="V117">
        <v>943735</v>
      </c>
      <c r="Z117">
        <v>3179.66</v>
      </c>
    </row>
    <row r="118" spans="5:26" x14ac:dyDescent="0.15">
      <c r="F118">
        <v>928922</v>
      </c>
      <c r="G118">
        <v>3355.79</v>
      </c>
      <c r="H118">
        <v>2.0889221161880522E-2</v>
      </c>
      <c r="I118">
        <v>1.0605124806049693E-2</v>
      </c>
      <c r="K118">
        <v>939811</v>
      </c>
      <c r="L118">
        <v>3251.1000000000004</v>
      </c>
      <c r="M118">
        <v>2.629144894538267E-2</v>
      </c>
      <c r="N118">
        <v>4.9883260189302642E-2</v>
      </c>
      <c r="P118">
        <v>944860</v>
      </c>
      <c r="Q118">
        <f t="shared" si="3"/>
        <v>3179.66</v>
      </c>
      <c r="R118">
        <v>2.3869893168967015E-3</v>
      </c>
      <c r="S118">
        <v>2.7128126938184834E-2</v>
      </c>
      <c r="T118">
        <v>5049</v>
      </c>
      <c r="U118">
        <v>-71.440000000000197</v>
      </c>
      <c r="V118">
        <v>943735</v>
      </c>
      <c r="Z118">
        <v>3179.66</v>
      </c>
    </row>
    <row r="119" spans="5:26" x14ac:dyDescent="0.15">
      <c r="E119" t="s">
        <v>536</v>
      </c>
      <c r="F119">
        <v>253</v>
      </c>
      <c r="G119">
        <v>5.93</v>
      </c>
      <c r="K119">
        <v>270</v>
      </c>
      <c r="L119">
        <v>5.63</v>
      </c>
      <c r="P119" s="1222">
        <v>270</v>
      </c>
      <c r="Q119">
        <f t="shared" si="3"/>
        <v>5.63</v>
      </c>
      <c r="T119">
        <v>0</v>
      </c>
      <c r="U119">
        <v>0</v>
      </c>
      <c r="V119">
        <v>265</v>
      </c>
      <c r="Z119">
        <v>5.63</v>
      </c>
    </row>
    <row r="120" spans="5:26" x14ac:dyDescent="0.15">
      <c r="E120" t="s">
        <v>533</v>
      </c>
      <c r="G120">
        <v>11</v>
      </c>
      <c r="Q120">
        <f t="shared" si="3"/>
        <v>0</v>
      </c>
    </row>
    <row r="121" spans="5:26" ht="15" x14ac:dyDescent="0.2">
      <c r="E121" s="1181" t="s">
        <v>343</v>
      </c>
      <c r="F121" s="1181">
        <v>3810280</v>
      </c>
      <c r="G121" s="1181">
        <v>7093.9400000000005</v>
      </c>
      <c r="H121" s="1181"/>
      <c r="I121" s="1181"/>
      <c r="J121" s="1181"/>
      <c r="K121" s="1181">
        <v>3912327</v>
      </c>
      <c r="L121" s="1181">
        <v>7167.9</v>
      </c>
      <c r="M121" s="1181"/>
      <c r="N121" s="1181"/>
      <c r="O121" s="1181"/>
      <c r="P121" s="1181">
        <v>3954936</v>
      </c>
      <c r="Q121">
        <f t="shared" si="3"/>
        <v>7159.35</v>
      </c>
      <c r="R121" s="1181"/>
      <c r="S121" s="1181"/>
      <c r="T121" s="1181">
        <v>42609</v>
      </c>
      <c r="U121" s="1181">
        <v>-8.5456488071954908</v>
      </c>
      <c r="V121" s="1181">
        <v>59822</v>
      </c>
      <c r="Z121">
        <v>7159.3543511928037</v>
      </c>
    </row>
    <row r="125" spans="5:26" x14ac:dyDescent="0.15">
      <c r="E125" t="s">
        <v>494</v>
      </c>
    </row>
    <row r="126" spans="5:26" x14ac:dyDescent="0.15">
      <c r="E126" t="s">
        <v>537</v>
      </c>
      <c r="L126" t="s">
        <v>537</v>
      </c>
    </row>
    <row r="127" spans="5:26" x14ac:dyDescent="0.15">
      <c r="E127" t="s">
        <v>495</v>
      </c>
      <c r="J127" t="s">
        <v>496</v>
      </c>
      <c r="O127" t="s">
        <v>497</v>
      </c>
    </row>
    <row r="128" spans="5:26" x14ac:dyDescent="0.15">
      <c r="E128" t="s">
        <v>31</v>
      </c>
      <c r="F128" t="s">
        <v>498</v>
      </c>
      <c r="G128" t="s">
        <v>499</v>
      </c>
      <c r="H128" t="s">
        <v>500</v>
      </c>
      <c r="I128" t="s">
        <v>501</v>
      </c>
      <c r="K128" t="s">
        <v>498</v>
      </c>
      <c r="L128" t="s">
        <v>499</v>
      </c>
      <c r="M128" t="s">
        <v>500</v>
      </c>
      <c r="N128" t="s">
        <v>538</v>
      </c>
      <c r="P128" t="s">
        <v>498</v>
      </c>
      <c r="Q128" t="s">
        <v>499</v>
      </c>
      <c r="R128" t="s">
        <v>500</v>
      </c>
      <c r="S128" t="s">
        <v>501</v>
      </c>
      <c r="T128" t="s">
        <v>502</v>
      </c>
      <c r="U128" t="s">
        <v>503</v>
      </c>
      <c r="V128" t="s">
        <v>504</v>
      </c>
    </row>
    <row r="129" spans="5:26" x14ac:dyDescent="0.15">
      <c r="E129" t="s">
        <v>505</v>
      </c>
      <c r="F129">
        <v>667835</v>
      </c>
      <c r="G129">
        <v>186.56</v>
      </c>
      <c r="H129">
        <v>0</v>
      </c>
      <c r="I129">
        <v>0</v>
      </c>
      <c r="K129">
        <v>702063</v>
      </c>
      <c r="L129">
        <v>162.91999999999999</v>
      </c>
      <c r="M129">
        <v>0</v>
      </c>
      <c r="N129">
        <v>0</v>
      </c>
      <c r="P129">
        <v>688814</v>
      </c>
      <c r="Q129">
        <f t="shared" ref="Q129:Q157" si="4">ROUND(Z129,2)</f>
        <v>159.85</v>
      </c>
      <c r="R129">
        <v>0</v>
      </c>
      <c r="S129">
        <v>0</v>
      </c>
      <c r="T129">
        <v>-13249</v>
      </c>
      <c r="U129">
        <v>-3.0699999999999932</v>
      </c>
      <c r="V129">
        <v>688814</v>
      </c>
      <c r="Z129">
        <v>159.85</v>
      </c>
    </row>
    <row r="130" spans="5:26" x14ac:dyDescent="0.15">
      <c r="E130" t="s">
        <v>505</v>
      </c>
      <c r="F130">
        <v>90202</v>
      </c>
      <c r="G130">
        <v>50.13</v>
      </c>
      <c r="H130">
        <v>0</v>
      </c>
      <c r="I130">
        <v>0</v>
      </c>
      <c r="K130">
        <v>55906</v>
      </c>
      <c r="L130">
        <v>72.88</v>
      </c>
      <c r="M130">
        <v>0</v>
      </c>
      <c r="N130">
        <v>0</v>
      </c>
      <c r="P130">
        <v>69386</v>
      </c>
      <c r="Q130">
        <f t="shared" si="4"/>
        <v>70.37</v>
      </c>
      <c r="R130">
        <v>0</v>
      </c>
      <c r="S130">
        <v>0</v>
      </c>
      <c r="T130">
        <v>13480</v>
      </c>
      <c r="U130">
        <v>-2.5099999999999909</v>
      </c>
      <c r="V130">
        <v>69386</v>
      </c>
      <c r="Z130">
        <v>70.37</v>
      </c>
    </row>
    <row r="131" spans="5:26" x14ac:dyDescent="0.15">
      <c r="E131" t="s">
        <v>506</v>
      </c>
      <c r="F131">
        <v>3401632</v>
      </c>
      <c r="G131">
        <v>1844.3</v>
      </c>
      <c r="H131">
        <v>4.8814863707739908E-2</v>
      </c>
      <c r="I131">
        <v>4.8070841239721718E-2</v>
      </c>
      <c r="K131">
        <v>3347211</v>
      </c>
      <c r="L131">
        <v>1749.12</v>
      </c>
      <c r="M131">
        <v>4.5300472931953259E-2</v>
      </c>
      <c r="N131">
        <v>3.395441218197285E-2</v>
      </c>
      <c r="P131">
        <v>3347212</v>
      </c>
      <c r="Q131">
        <f t="shared" si="4"/>
        <v>1749.12</v>
      </c>
      <c r="R131">
        <v>4.5300785221938249E-2</v>
      </c>
      <c r="S131">
        <v>3.3960524215715722E-2</v>
      </c>
      <c r="T131">
        <v>1</v>
      </c>
      <c r="U131">
        <v>0</v>
      </c>
      <c r="V131">
        <v>3274682</v>
      </c>
      <c r="Z131">
        <v>1749.12</v>
      </c>
    </row>
    <row r="132" spans="5:26" x14ac:dyDescent="0.15">
      <c r="E132" t="s">
        <v>507</v>
      </c>
      <c r="F132">
        <v>8149</v>
      </c>
      <c r="G132">
        <v>35.4</v>
      </c>
      <c r="H132">
        <v>3.3815326644108801E-2</v>
      </c>
      <c r="I132">
        <v>2.1317696086744498E-2</v>
      </c>
      <c r="K132">
        <v>8084</v>
      </c>
      <c r="L132">
        <v>18.14</v>
      </c>
      <c r="M132">
        <v>2.8891434389716177E-2</v>
      </c>
      <c r="N132">
        <v>2.8927963698241722E-2</v>
      </c>
      <c r="P132">
        <v>8116</v>
      </c>
      <c r="Q132">
        <f t="shared" si="4"/>
        <v>24.73</v>
      </c>
      <c r="R132">
        <v>2.9035121085330292E-2</v>
      </c>
      <c r="S132">
        <v>2.9035121085330344E-2</v>
      </c>
      <c r="T132">
        <v>32</v>
      </c>
      <c r="U132">
        <v>6.5877139596804888</v>
      </c>
      <c r="V132">
        <v>8002</v>
      </c>
      <c r="Z132">
        <v>24.727713959680489</v>
      </c>
    </row>
    <row r="133" spans="5:26" x14ac:dyDescent="0.15">
      <c r="E133" t="s">
        <v>508</v>
      </c>
      <c r="F133">
        <v>478545</v>
      </c>
      <c r="G133">
        <v>662.93</v>
      </c>
      <c r="H133">
        <v>4.9997148728732732E-2</v>
      </c>
      <c r="I133">
        <v>0.139247625058873</v>
      </c>
      <c r="K133">
        <v>483552</v>
      </c>
      <c r="L133">
        <v>539.75</v>
      </c>
      <c r="M133">
        <v>5.3003841363030581E-2</v>
      </c>
      <c r="N133">
        <v>3.0332531592410159E-2</v>
      </c>
      <c r="P133">
        <v>483552</v>
      </c>
      <c r="Q133">
        <f t="shared" si="4"/>
        <v>551.63</v>
      </c>
      <c r="R133">
        <v>5.3003841363030581E-2</v>
      </c>
      <c r="S133">
        <v>3.0316113129176793E-2</v>
      </c>
      <c r="T133">
        <v>0</v>
      </c>
      <c r="U133">
        <v>11.879999999999995</v>
      </c>
      <c r="V133">
        <v>471382</v>
      </c>
      <c r="Z133">
        <v>551.63</v>
      </c>
    </row>
    <row r="134" spans="5:26" x14ac:dyDescent="0.15">
      <c r="E134" t="s">
        <v>509</v>
      </c>
      <c r="F134">
        <v>1031244</v>
      </c>
      <c r="G134">
        <v>6366.8</v>
      </c>
      <c r="H134">
        <v>2.4844868640210516E-2</v>
      </c>
      <c r="I134">
        <v>2.5157151690024637E-2</v>
      </c>
      <c r="K134">
        <v>1029306</v>
      </c>
      <c r="L134">
        <v>7148.49</v>
      </c>
      <c r="M134">
        <v>2.4892811553450842E-2</v>
      </c>
      <c r="N134">
        <v>4.1200940337507742E-2</v>
      </c>
      <c r="P134">
        <v>1021548</v>
      </c>
      <c r="Q134">
        <f t="shared" si="4"/>
        <v>6902.41</v>
      </c>
      <c r="R134">
        <v>1.7168074272183975E-2</v>
      </c>
      <c r="S134">
        <v>5.3585837841300639E-3</v>
      </c>
      <c r="T134">
        <v>-7758</v>
      </c>
      <c r="U134">
        <v>-246.07999999999993</v>
      </c>
      <c r="V134">
        <v>1012927</v>
      </c>
      <c r="Z134">
        <v>6902.41</v>
      </c>
    </row>
    <row r="135" spans="5:26" x14ac:dyDescent="0.15">
      <c r="E135" t="s">
        <v>510</v>
      </c>
      <c r="F135">
        <v>887</v>
      </c>
      <c r="G135">
        <v>17.690000000000001</v>
      </c>
      <c r="H135">
        <v>2.7184599766791884E-3</v>
      </c>
      <c r="I135">
        <v>5.0160384589749141E-2</v>
      </c>
      <c r="K135">
        <v>934</v>
      </c>
      <c r="L135">
        <v>16.399999999999999</v>
      </c>
      <c r="M135">
        <v>2.0765027322404372E-2</v>
      </c>
      <c r="N135">
        <v>2.0535158680771517E-2</v>
      </c>
      <c r="P135">
        <v>934</v>
      </c>
      <c r="Q135">
        <f t="shared" si="4"/>
        <v>16.41</v>
      </c>
      <c r="R135">
        <v>3.22234156820623E-3</v>
      </c>
      <c r="S135">
        <v>3.222341568206217E-3</v>
      </c>
      <c r="T135">
        <v>0</v>
      </c>
      <c r="U135">
        <v>7.5446428571410706E-3</v>
      </c>
      <c r="V135">
        <v>933</v>
      </c>
      <c r="Z135">
        <v>16.40754464285714</v>
      </c>
    </row>
    <row r="136" spans="5:26" x14ac:dyDescent="0.15">
      <c r="E136" t="s">
        <v>87</v>
      </c>
      <c r="F136">
        <v>599</v>
      </c>
      <c r="G136">
        <v>1.18</v>
      </c>
      <c r="H136">
        <v>8.5876532089057545E-2</v>
      </c>
      <c r="I136">
        <v>0.20937621130199746</v>
      </c>
      <c r="K136">
        <v>560</v>
      </c>
      <c r="L136">
        <v>0.86</v>
      </c>
      <c r="M136">
        <v>7.0745697896749518E-2</v>
      </c>
      <c r="N136">
        <v>1.1764705882352951E-2</v>
      </c>
      <c r="P136">
        <v>560</v>
      </c>
      <c r="Q136">
        <f t="shared" si="4"/>
        <v>0.9</v>
      </c>
      <c r="R136">
        <v>7.6923076923076927E-2</v>
      </c>
      <c r="S136">
        <v>1.5523632993512421E-2</v>
      </c>
      <c r="T136">
        <v>0</v>
      </c>
      <c r="U136">
        <v>4.0000000000000036E-2</v>
      </c>
      <c r="V136">
        <v>540</v>
      </c>
      <c r="Z136">
        <v>0.9</v>
      </c>
    </row>
    <row r="137" spans="5:26" x14ac:dyDescent="0.15">
      <c r="E137" t="s">
        <v>511</v>
      </c>
      <c r="F137">
        <v>139591</v>
      </c>
      <c r="G137">
        <v>324.3</v>
      </c>
      <c r="H137">
        <v>3.4650873418615946E-2</v>
      </c>
      <c r="I137">
        <v>8.3078511267200561E-3</v>
      </c>
      <c r="K137">
        <v>143621</v>
      </c>
      <c r="L137">
        <v>359.28</v>
      </c>
      <c r="M137">
        <v>4.0098780452478201E-2</v>
      </c>
      <c r="N137">
        <v>4.0094954115160716E-2</v>
      </c>
      <c r="P137">
        <v>143621</v>
      </c>
      <c r="Q137">
        <f t="shared" si="4"/>
        <v>346.29</v>
      </c>
      <c r="R137">
        <v>4.0098780452478201E-2</v>
      </c>
      <c r="S137">
        <v>9.7684726191171137E-3</v>
      </c>
      <c r="T137">
        <v>0</v>
      </c>
      <c r="U137">
        <v>-12.989999999999952</v>
      </c>
      <c r="V137">
        <v>140853</v>
      </c>
      <c r="Z137">
        <v>346.29</v>
      </c>
    </row>
    <row r="138" spans="5:26" x14ac:dyDescent="0.15">
      <c r="E138" t="s">
        <v>12</v>
      </c>
      <c r="F138">
        <v>64261</v>
      </c>
      <c r="G138">
        <v>412.95</v>
      </c>
      <c r="H138">
        <v>6.890664018545567E-2</v>
      </c>
      <c r="I138">
        <v>6.5839846403503488E-2</v>
      </c>
      <c r="K138">
        <v>59578</v>
      </c>
      <c r="L138">
        <v>374.42</v>
      </c>
      <c r="M138">
        <v>5.3079982324348213E-2</v>
      </c>
      <c r="N138">
        <v>3.7346927467169111E-2</v>
      </c>
      <c r="P138">
        <v>59578</v>
      </c>
      <c r="Q138">
        <f t="shared" si="4"/>
        <v>376.73</v>
      </c>
      <c r="R138">
        <v>6.2867948763692158E-2</v>
      </c>
      <c r="S138">
        <v>3.736645004956491E-2</v>
      </c>
      <c r="T138">
        <v>0</v>
      </c>
      <c r="U138">
        <v>2.3100000000000023</v>
      </c>
      <c r="V138">
        <v>57816</v>
      </c>
      <c r="Z138">
        <v>376.73</v>
      </c>
    </row>
    <row r="139" spans="5:26" x14ac:dyDescent="0.15">
      <c r="E139" t="s">
        <v>12</v>
      </c>
      <c r="F139">
        <v>30341</v>
      </c>
      <c r="G139">
        <v>157.19999999999999</v>
      </c>
      <c r="H139">
        <v>4.8600872405893059E-2</v>
      </c>
      <c r="I139">
        <v>6.2621165469440854E-3</v>
      </c>
      <c r="K139">
        <v>30470</v>
      </c>
      <c r="L139">
        <v>169.44</v>
      </c>
      <c r="M139">
        <v>5.0399889685603973E-2</v>
      </c>
      <c r="N139">
        <v>3.6393663220992037E-2</v>
      </c>
      <c r="P139">
        <v>31337</v>
      </c>
      <c r="Q139">
        <f t="shared" si="4"/>
        <v>166.32</v>
      </c>
      <c r="R139">
        <v>5.0378762485754507E-2</v>
      </c>
      <c r="S139">
        <v>1.7372155615365818E-2</v>
      </c>
      <c r="T139">
        <v>867</v>
      </c>
      <c r="U139">
        <v>-3.1200000000000045</v>
      </c>
      <c r="V139">
        <v>30586</v>
      </c>
      <c r="Z139">
        <v>166.32</v>
      </c>
    </row>
    <row r="140" spans="5:26" x14ac:dyDescent="0.15">
      <c r="E140" t="s">
        <v>12</v>
      </c>
      <c r="Q140">
        <f t="shared" si="4"/>
        <v>0</v>
      </c>
    </row>
    <row r="141" spans="5:26" x14ac:dyDescent="0.15">
      <c r="E141" t="s">
        <v>15</v>
      </c>
      <c r="F141">
        <v>356566</v>
      </c>
      <c r="G141">
        <v>35.65</v>
      </c>
      <c r="H141">
        <v>0.31298491359470337</v>
      </c>
      <c r="I141">
        <v>3.9661708953047548E-2</v>
      </c>
      <c r="K141">
        <v>306806</v>
      </c>
      <c r="L141">
        <v>40.15</v>
      </c>
      <c r="M141">
        <v>0.29179841938838669</v>
      </c>
      <c r="N141">
        <v>4.1774779449922146E-2</v>
      </c>
      <c r="P141">
        <v>306806</v>
      </c>
      <c r="Q141">
        <f t="shared" si="4"/>
        <v>40.15</v>
      </c>
      <c r="R141">
        <v>0.29179841938838669</v>
      </c>
      <c r="S141">
        <v>4.1774779449922146E-2</v>
      </c>
      <c r="T141">
        <v>0</v>
      </c>
      <c r="U141">
        <v>0</v>
      </c>
      <c r="V141">
        <v>272155</v>
      </c>
      <c r="Z141">
        <v>40.15</v>
      </c>
    </row>
    <row r="142" spans="5:26" x14ac:dyDescent="0.15">
      <c r="E142" t="s">
        <v>177</v>
      </c>
      <c r="F142">
        <v>6269853</v>
      </c>
      <c r="G142">
        <v>10095.09</v>
      </c>
      <c r="H142">
        <v>5.0482818867414014E-2</v>
      </c>
      <c r="I142">
        <v>3.6615035224299097E-2</v>
      </c>
      <c r="K142">
        <v>6168091</v>
      </c>
      <c r="L142">
        <v>10651.85</v>
      </c>
      <c r="M142">
        <v>4.6484927989054826E-2</v>
      </c>
      <c r="N142">
        <v>3.8201114824593846E-2</v>
      </c>
      <c r="P142">
        <v>6161464</v>
      </c>
      <c r="Q142">
        <f t="shared" si="4"/>
        <v>10404.91</v>
      </c>
      <c r="R142">
        <v>4.5257904453895145E-2</v>
      </c>
      <c r="S142">
        <v>1.2909025674370279E-2</v>
      </c>
      <c r="T142">
        <v>-6627</v>
      </c>
      <c r="U142">
        <v>-246.94474139746225</v>
      </c>
      <c r="V142">
        <v>6028076</v>
      </c>
      <c r="Z142">
        <v>10404.905258602537</v>
      </c>
    </row>
    <row r="143" spans="5:26" x14ac:dyDescent="0.15">
      <c r="Q143">
        <f t="shared" si="4"/>
        <v>0</v>
      </c>
    </row>
    <row r="144" spans="5:26" x14ac:dyDescent="0.15">
      <c r="E144" t="s">
        <v>16</v>
      </c>
      <c r="F144">
        <v>544</v>
      </c>
      <c r="G144">
        <v>446.76</v>
      </c>
      <c r="H144">
        <v>0.11276136733585629</v>
      </c>
      <c r="I144">
        <v>0.11019429654614887</v>
      </c>
      <c r="K144">
        <v>477</v>
      </c>
      <c r="L144">
        <v>405.24</v>
      </c>
      <c r="M144">
        <v>5.5309734513274339E-2</v>
      </c>
      <c r="N144">
        <v>8.3819202995453423E-2</v>
      </c>
      <c r="P144">
        <v>477</v>
      </c>
      <c r="Q144">
        <f t="shared" si="4"/>
        <v>394.15</v>
      </c>
      <c r="R144">
        <v>7.1910112359550568E-2</v>
      </c>
      <c r="S144">
        <v>9.8737211830624588E-2</v>
      </c>
      <c r="T144">
        <v>0</v>
      </c>
      <c r="U144">
        <v>-11.090000000000032</v>
      </c>
      <c r="V144">
        <v>461</v>
      </c>
      <c r="Z144">
        <v>394.15</v>
      </c>
    </row>
    <row r="145" spans="5:26" x14ac:dyDescent="0.15">
      <c r="E145" t="s">
        <v>515</v>
      </c>
      <c r="F145">
        <v>2588</v>
      </c>
      <c r="G145">
        <v>1316.41</v>
      </c>
      <c r="H145">
        <v>8.5039177032507407E-2</v>
      </c>
      <c r="I145">
        <v>3.5484983386173008E-2</v>
      </c>
      <c r="K145">
        <v>2427</v>
      </c>
      <c r="L145">
        <v>1021.09</v>
      </c>
      <c r="M145">
        <v>6.6344463971880485E-2</v>
      </c>
      <c r="N145">
        <v>6.6345712018045955E-2</v>
      </c>
      <c r="P145">
        <v>2405</v>
      </c>
      <c r="Q145">
        <f t="shared" si="4"/>
        <v>969.49</v>
      </c>
      <c r="R145">
        <v>8.479927830401443E-2</v>
      </c>
      <c r="S145">
        <v>1.2469322750770132E-2</v>
      </c>
      <c r="T145">
        <v>-22</v>
      </c>
      <c r="U145">
        <v>-51.600000000000023</v>
      </c>
      <c r="V145">
        <v>2311</v>
      </c>
      <c r="Z145">
        <v>969.49</v>
      </c>
    </row>
    <row r="146" spans="5:26" x14ac:dyDescent="0.15">
      <c r="E146" t="s">
        <v>516</v>
      </c>
      <c r="F146">
        <v>861</v>
      </c>
      <c r="G146">
        <v>116.07</v>
      </c>
      <c r="H146">
        <v>7.1973505773710977E-2</v>
      </c>
      <c r="I146">
        <v>2.5816764343340903E-2</v>
      </c>
      <c r="K146">
        <v>830</v>
      </c>
      <c r="L146">
        <v>130.18</v>
      </c>
      <c r="M146">
        <v>5.7324840764331211E-2</v>
      </c>
      <c r="N146">
        <v>5.7342430149447711E-2</v>
      </c>
      <c r="P146">
        <v>830</v>
      </c>
      <c r="Q146">
        <f t="shared" si="4"/>
        <v>134.21</v>
      </c>
      <c r="R146">
        <v>6.2740076824583865E-2</v>
      </c>
      <c r="S146">
        <v>-3.5501257635644969E-2</v>
      </c>
      <c r="T146">
        <v>0</v>
      </c>
      <c r="U146">
        <v>4.0300000000000011</v>
      </c>
      <c r="V146">
        <v>806</v>
      </c>
      <c r="Z146">
        <v>134.21</v>
      </c>
    </row>
    <row r="147" spans="5:26" x14ac:dyDescent="0.15">
      <c r="E147" t="s">
        <v>517</v>
      </c>
      <c r="F147">
        <v>458</v>
      </c>
      <c r="G147">
        <v>86.9</v>
      </c>
      <c r="H147">
        <v>7.649631578778382E-2</v>
      </c>
      <c r="I147">
        <v>0.10258360714113546</v>
      </c>
      <c r="K147">
        <v>432</v>
      </c>
      <c r="L147">
        <v>70.56</v>
      </c>
      <c r="M147">
        <v>6.1425061425061427E-2</v>
      </c>
      <c r="N147">
        <v>6.1371841155234627E-2</v>
      </c>
      <c r="P147">
        <v>432</v>
      </c>
      <c r="Q147">
        <f t="shared" si="4"/>
        <v>70.56</v>
      </c>
      <c r="R147">
        <v>6.4039408866995079E-2</v>
      </c>
      <c r="S147">
        <v>-5.1485414706277703E-2</v>
      </c>
      <c r="T147">
        <v>0</v>
      </c>
      <c r="U147">
        <v>0</v>
      </c>
      <c r="V147">
        <v>419</v>
      </c>
      <c r="Z147">
        <v>70.56</v>
      </c>
    </row>
    <row r="148" spans="5:26" x14ac:dyDescent="0.15">
      <c r="E148" t="s">
        <v>518</v>
      </c>
      <c r="F148">
        <v>411</v>
      </c>
      <c r="G148">
        <v>459.46</v>
      </c>
      <c r="H148">
        <v>7.9707070386161538E-2</v>
      </c>
      <c r="I148">
        <v>7.9166391397385238E-2</v>
      </c>
      <c r="K148">
        <v>430</v>
      </c>
      <c r="L148">
        <v>554.33000000000004</v>
      </c>
      <c r="M148">
        <v>9.4147582697201013E-2</v>
      </c>
      <c r="N148">
        <v>0.14488413399975222</v>
      </c>
      <c r="P148">
        <v>430</v>
      </c>
      <c r="Q148">
        <f t="shared" si="4"/>
        <v>531.4</v>
      </c>
      <c r="R148">
        <v>9.4147582697201013E-2</v>
      </c>
      <c r="S148">
        <v>0.14486384005515329</v>
      </c>
      <c r="T148">
        <v>0</v>
      </c>
      <c r="U148">
        <v>-22.930000000000064</v>
      </c>
      <c r="V148">
        <v>412</v>
      </c>
      <c r="Z148">
        <v>531.4</v>
      </c>
    </row>
    <row r="149" spans="5:26" x14ac:dyDescent="0.15">
      <c r="E149" t="s">
        <v>312</v>
      </c>
      <c r="F149">
        <v>32</v>
      </c>
      <c r="G149">
        <v>18.98</v>
      </c>
      <c r="H149">
        <v>0</v>
      </c>
      <c r="I149">
        <v>4.6372340817737223E-2</v>
      </c>
      <c r="K149">
        <v>33</v>
      </c>
      <c r="L149">
        <v>16.899999999999999</v>
      </c>
      <c r="M149">
        <v>3.125E-2</v>
      </c>
      <c r="N149">
        <v>3.1746031746031723E-2</v>
      </c>
      <c r="P149">
        <v>33</v>
      </c>
      <c r="Q149">
        <f t="shared" si="4"/>
        <v>16.899999999999999</v>
      </c>
      <c r="R149">
        <v>0</v>
      </c>
      <c r="S149">
        <v>3.1746031746031723E-2</v>
      </c>
      <c r="T149">
        <v>0</v>
      </c>
      <c r="U149">
        <v>0</v>
      </c>
      <c r="V149">
        <v>33</v>
      </c>
      <c r="Z149">
        <v>16.899999999999999</v>
      </c>
    </row>
    <row r="150" spans="5:26" x14ac:dyDescent="0.15">
      <c r="E150" t="s">
        <v>313</v>
      </c>
      <c r="F150">
        <v>108</v>
      </c>
      <c r="G150">
        <v>33.25</v>
      </c>
      <c r="H150">
        <v>8.0000000000000071E-2</v>
      </c>
      <c r="I150">
        <v>7.2580645161290258E-2</v>
      </c>
      <c r="K150">
        <v>135</v>
      </c>
      <c r="L150">
        <v>9.0500000000000007</v>
      </c>
      <c r="M150">
        <v>0.1440677966101695</v>
      </c>
      <c r="N150">
        <v>2.3755656108597381E-2</v>
      </c>
      <c r="P150">
        <v>135</v>
      </c>
      <c r="Q150">
        <f t="shared" si="4"/>
        <v>9.0500000000000007</v>
      </c>
      <c r="R150">
        <v>7.1428571428571425E-2</v>
      </c>
      <c r="S150">
        <v>-0.71150781000956331</v>
      </c>
      <c r="T150">
        <v>0</v>
      </c>
      <c r="U150">
        <v>0</v>
      </c>
      <c r="V150">
        <v>131</v>
      </c>
      <c r="Z150">
        <v>9.0500000000000007</v>
      </c>
    </row>
    <row r="151" spans="5:26" x14ac:dyDescent="0.15">
      <c r="E151" t="s">
        <v>519</v>
      </c>
      <c r="F151">
        <v>5002</v>
      </c>
      <c r="G151">
        <v>2477.83</v>
      </c>
      <c r="H151">
        <v>8.366188518081441E-2</v>
      </c>
      <c r="I151">
        <v>6.1873447231415524E-2</v>
      </c>
      <c r="K151">
        <v>4764</v>
      </c>
      <c r="L151">
        <v>2207.3500000000004</v>
      </c>
      <c r="M151">
        <v>6.7443423706027336E-2</v>
      </c>
      <c r="N151">
        <v>8.7118189966805717E-2</v>
      </c>
      <c r="P151">
        <v>4742</v>
      </c>
      <c r="Q151">
        <f t="shared" si="4"/>
        <v>2125.7600000000002</v>
      </c>
      <c r="R151">
        <v>7.7482390365825951E-2</v>
      </c>
      <c r="S151">
        <v>4.1156274335979647E-2</v>
      </c>
      <c r="T151">
        <v>-22</v>
      </c>
      <c r="U151">
        <v>-81.590000000000117</v>
      </c>
      <c r="V151">
        <v>4573</v>
      </c>
      <c r="Z151">
        <v>2125.7600000000002</v>
      </c>
    </row>
    <row r="152" spans="5:26" x14ac:dyDescent="0.15">
      <c r="E152" t="s">
        <v>539</v>
      </c>
      <c r="F152">
        <v>6274855</v>
      </c>
      <c r="G152">
        <v>12572.92</v>
      </c>
      <c r="H152">
        <v>5.0508453286702171E-2</v>
      </c>
      <c r="I152">
        <v>4.1183680045985938E-2</v>
      </c>
      <c r="K152">
        <v>6172855</v>
      </c>
      <c r="L152">
        <v>12859.2</v>
      </c>
      <c r="M152">
        <v>4.6500785699306289E-2</v>
      </c>
      <c r="N152">
        <v>4.628257733493768E-2</v>
      </c>
      <c r="P152">
        <v>6166206</v>
      </c>
      <c r="Q152">
        <f t="shared" si="4"/>
        <v>12530.67</v>
      </c>
      <c r="R152">
        <v>4.5281945468143868E-2</v>
      </c>
      <c r="S152">
        <v>1.7592565960669448E-2</v>
      </c>
      <c r="T152">
        <v>-6649</v>
      </c>
      <c r="U152">
        <v>-328.53474139746237</v>
      </c>
      <c r="V152">
        <v>6032649</v>
      </c>
      <c r="Z152">
        <v>12530.665258602538</v>
      </c>
    </row>
    <row r="153" spans="5:26" x14ac:dyDescent="0.15">
      <c r="H153">
        <v>0</v>
      </c>
      <c r="I153">
        <v>0</v>
      </c>
      <c r="Q153">
        <f t="shared" si="4"/>
        <v>0</v>
      </c>
    </row>
    <row r="154" spans="5:26" x14ac:dyDescent="0.15">
      <c r="E154" t="s">
        <v>521</v>
      </c>
      <c r="F154">
        <v>4575776</v>
      </c>
      <c r="G154">
        <v>6019.5599999999995</v>
      </c>
      <c r="H154">
        <v>6.4191106098452799E-2</v>
      </c>
      <c r="I154">
        <v>6.0162439988840521E-2</v>
      </c>
      <c r="K154">
        <v>4441486</v>
      </c>
      <c r="L154">
        <v>5547.7900000000009</v>
      </c>
      <c r="M154">
        <v>5.9464748563879857E-2</v>
      </c>
      <c r="N154">
        <v>5.4346111523937125E-2</v>
      </c>
      <c r="P154">
        <v>4455844</v>
      </c>
      <c r="Q154">
        <f t="shared" si="4"/>
        <v>5468.41</v>
      </c>
      <c r="R154">
        <v>5.9410874653230507E-2</v>
      </c>
      <c r="S154">
        <v>3.400649459507752E-2</v>
      </c>
      <c r="T154">
        <v>14358</v>
      </c>
      <c r="U154">
        <v>-79.384741397462449</v>
      </c>
      <c r="V154">
        <v>4330908</v>
      </c>
      <c r="Z154">
        <v>5468.4052586025373</v>
      </c>
    </row>
    <row r="155" spans="5:26" x14ac:dyDescent="0.15">
      <c r="Q155">
        <f t="shared" si="4"/>
        <v>0</v>
      </c>
    </row>
    <row r="156" spans="5:26" x14ac:dyDescent="0.15">
      <c r="E156" t="s">
        <v>522</v>
      </c>
      <c r="F156">
        <v>1699079</v>
      </c>
      <c r="G156">
        <v>6553.3600000000006</v>
      </c>
      <c r="H156">
        <v>1.4748757859613049E-2</v>
      </c>
      <c r="I156">
        <v>2.4525893937752841E-2</v>
      </c>
      <c r="K156">
        <v>1731369</v>
      </c>
      <c r="L156">
        <v>7311.41</v>
      </c>
      <c r="M156">
        <v>1.465099283918074E-2</v>
      </c>
      <c r="N156">
        <v>4.02459116687107E-2</v>
      </c>
      <c r="P156">
        <v>1710362</v>
      </c>
      <c r="Q156">
        <f t="shared" si="4"/>
        <v>7062.26</v>
      </c>
      <c r="R156">
        <v>1.0183566433566434E-2</v>
      </c>
      <c r="S156">
        <v>5.236660323081452E-3</v>
      </c>
      <c r="T156">
        <v>-21007</v>
      </c>
      <c r="U156">
        <v>-249.14999999999992</v>
      </c>
      <c r="V156">
        <v>1701741</v>
      </c>
      <c r="Z156">
        <v>7062.26</v>
      </c>
    </row>
    <row r="157" spans="5:26" x14ac:dyDescent="0.15">
      <c r="F157">
        <v>1699079</v>
      </c>
      <c r="G157">
        <v>6553.3600000000006</v>
      </c>
      <c r="H157">
        <v>1.4748757859613049E-2</v>
      </c>
      <c r="I157">
        <v>2.4525893937752841E-2</v>
      </c>
      <c r="K157">
        <v>1731369</v>
      </c>
      <c r="L157">
        <v>7311.41</v>
      </c>
      <c r="M157">
        <v>1.465099283918074E-2</v>
      </c>
      <c r="N157">
        <v>4.02459116687107E-2</v>
      </c>
      <c r="P157">
        <v>1710362</v>
      </c>
      <c r="Q157">
        <f t="shared" si="4"/>
        <v>7062.26</v>
      </c>
      <c r="R157">
        <v>1.0183566433566434E-2</v>
      </c>
      <c r="S157">
        <v>5.236660323081452E-3</v>
      </c>
      <c r="T157">
        <v>-21007</v>
      </c>
      <c r="U157">
        <v>-249.14999999999992</v>
      </c>
      <c r="V157">
        <v>1701741</v>
      </c>
      <c r="Z157">
        <v>7062.26</v>
      </c>
    </row>
    <row r="158" spans="5:26" x14ac:dyDescent="0.15">
      <c r="E158" t="s">
        <v>540</v>
      </c>
      <c r="G158">
        <v>16.5</v>
      </c>
    </row>
    <row r="159" spans="5:26" x14ac:dyDescent="0.15">
      <c r="E159" t="s">
        <v>343</v>
      </c>
      <c r="G159">
        <v>12589.42</v>
      </c>
    </row>
    <row r="162" spans="5:26" x14ac:dyDescent="0.15">
      <c r="E162" t="s">
        <v>494</v>
      </c>
    </row>
    <row r="164" spans="5:26" x14ac:dyDescent="0.15">
      <c r="E164" t="s">
        <v>541</v>
      </c>
      <c r="K164" t="s">
        <v>541</v>
      </c>
      <c r="P164" t="s">
        <v>541</v>
      </c>
    </row>
    <row r="165" spans="5:26" x14ac:dyDescent="0.15">
      <c r="E165" t="s">
        <v>495</v>
      </c>
      <c r="J165" t="s">
        <v>496</v>
      </c>
      <c r="O165" t="s">
        <v>497</v>
      </c>
    </row>
    <row r="166" spans="5:26" x14ac:dyDescent="0.15">
      <c r="E166" t="s">
        <v>31</v>
      </c>
      <c r="F166" t="s">
        <v>498</v>
      </c>
      <c r="G166" t="s">
        <v>499</v>
      </c>
      <c r="H166" t="s">
        <v>500</v>
      </c>
      <c r="I166" t="s">
        <v>501</v>
      </c>
      <c r="K166" t="s">
        <v>498</v>
      </c>
      <c r="L166" t="s">
        <v>499</v>
      </c>
      <c r="M166" t="s">
        <v>500</v>
      </c>
      <c r="N166" t="s">
        <v>501</v>
      </c>
      <c r="P166" t="s">
        <v>498</v>
      </c>
      <c r="Q166" t="s">
        <v>499</v>
      </c>
      <c r="R166" t="s">
        <v>500</v>
      </c>
      <c r="S166" t="s">
        <v>501</v>
      </c>
      <c r="T166" t="s">
        <v>502</v>
      </c>
      <c r="U166" t="s">
        <v>503</v>
      </c>
      <c r="V166" t="s">
        <v>504</v>
      </c>
    </row>
    <row r="167" spans="5:26" x14ac:dyDescent="0.15">
      <c r="E167" t="s">
        <v>505</v>
      </c>
      <c r="F167">
        <v>588551</v>
      </c>
      <c r="G167">
        <v>249.77</v>
      </c>
      <c r="H167">
        <v>0</v>
      </c>
      <c r="I167">
        <v>0</v>
      </c>
      <c r="K167">
        <v>590514</v>
      </c>
      <c r="L167">
        <v>268.9563561536055</v>
      </c>
      <c r="M167">
        <v>-1.1981428033630318E-2</v>
      </c>
      <c r="N167">
        <v>-1.8371633440616486E-2</v>
      </c>
      <c r="P167">
        <v>590514</v>
      </c>
      <c r="Q167">
        <f t="shared" ref="Q167:Q196" si="5">ROUND(Z167,2)</f>
        <v>263.05</v>
      </c>
      <c r="R167">
        <v>0</v>
      </c>
      <c r="S167">
        <v>0</v>
      </c>
      <c r="T167">
        <v>0</v>
      </c>
      <c r="U167">
        <v>-5.9102124361547794</v>
      </c>
      <c r="V167">
        <v>590514</v>
      </c>
      <c r="Z167">
        <v>263.04614371745072</v>
      </c>
    </row>
    <row r="168" spans="5:26" x14ac:dyDescent="0.15">
      <c r="E168" t="s">
        <v>505</v>
      </c>
      <c r="F168">
        <v>9124</v>
      </c>
      <c r="G168">
        <v>6.32</v>
      </c>
      <c r="H168">
        <v>0</v>
      </c>
      <c r="I168">
        <v>0</v>
      </c>
      <c r="K168">
        <v>7161</v>
      </c>
      <c r="L168">
        <v>7.7736438463945206</v>
      </c>
      <c r="M168" t="e">
        <v>#DIV/0!</v>
      </c>
      <c r="N168" t="e">
        <v>#DIV/0!</v>
      </c>
      <c r="P168">
        <v>7161</v>
      </c>
      <c r="Q168">
        <f t="shared" si="5"/>
        <v>7.6</v>
      </c>
      <c r="R168">
        <v>0</v>
      </c>
      <c r="S168">
        <v>0</v>
      </c>
      <c r="T168">
        <v>0</v>
      </c>
      <c r="U168">
        <v>-0.17082283234442919</v>
      </c>
      <c r="V168">
        <v>7161</v>
      </c>
      <c r="Z168">
        <v>7.6028210140500914</v>
      </c>
    </row>
    <row r="169" spans="5:26" x14ac:dyDescent="0.15">
      <c r="E169" t="s">
        <v>506</v>
      </c>
      <c r="F169">
        <v>2145331</v>
      </c>
      <c r="G169">
        <v>1449.72</v>
      </c>
      <c r="H169">
        <v>4.9067636387252422E-2</v>
      </c>
      <c r="I169">
        <v>4.913830023289556E-2</v>
      </c>
      <c r="K169">
        <v>2091248</v>
      </c>
      <c r="L169">
        <v>1426.35</v>
      </c>
      <c r="M169">
        <v>3.4273366934576492E-2</v>
      </c>
      <c r="N169">
        <v>4.5910510801179034E-2</v>
      </c>
      <c r="P169">
        <v>2108952</v>
      </c>
      <c r="Q169">
        <f t="shared" si="5"/>
        <v>1426.35</v>
      </c>
      <c r="R169">
        <v>3.9396436499268613E-2</v>
      </c>
      <c r="S169">
        <v>4.5910510801179034E-2</v>
      </c>
      <c r="T169">
        <v>17704</v>
      </c>
      <c r="U169">
        <v>0</v>
      </c>
      <c r="V169">
        <v>2068984</v>
      </c>
      <c r="Z169">
        <v>1426.35</v>
      </c>
    </row>
    <row r="170" spans="5:26" x14ac:dyDescent="0.15">
      <c r="E170" t="s">
        <v>507</v>
      </c>
      <c r="F170">
        <v>6307</v>
      </c>
      <c r="G170">
        <v>18.010000000000002</v>
      </c>
      <c r="H170">
        <v>5.8340804710883987E-2</v>
      </c>
      <c r="I170">
        <v>5.8340804710883987E-2</v>
      </c>
      <c r="K170">
        <v>6172</v>
      </c>
      <c r="L170">
        <v>13.07</v>
      </c>
      <c r="M170">
        <v>4.7344306804683524E-2</v>
      </c>
      <c r="N170">
        <v>3.2385466034755145E-2</v>
      </c>
      <c r="P170">
        <v>6191</v>
      </c>
      <c r="Q170">
        <f t="shared" si="5"/>
        <v>13.48</v>
      </c>
      <c r="R170">
        <v>5.0568471067368066E-2</v>
      </c>
      <c r="S170">
        <v>5.0568471067368066E-2</v>
      </c>
      <c r="T170">
        <v>19</v>
      </c>
      <c r="U170">
        <v>0.411644760213143</v>
      </c>
      <c r="V170">
        <v>6042</v>
      </c>
      <c r="Z170">
        <v>13.481644760213143</v>
      </c>
    </row>
    <row r="171" spans="5:26" x14ac:dyDescent="0.15">
      <c r="E171" t="s">
        <v>508</v>
      </c>
      <c r="F171">
        <v>347143</v>
      </c>
      <c r="G171">
        <v>398.22</v>
      </c>
      <c r="H171">
        <v>5.3973413432984119E-2</v>
      </c>
      <c r="I171">
        <v>1.7834543249802826E-2</v>
      </c>
      <c r="K171">
        <v>340290</v>
      </c>
      <c r="L171">
        <v>404.78</v>
      </c>
      <c r="M171">
        <v>4.1604172660989661E-2</v>
      </c>
      <c r="N171">
        <v>5.4938754235079448E-2</v>
      </c>
      <c r="P171">
        <v>341521</v>
      </c>
      <c r="Q171">
        <f t="shared" si="5"/>
        <v>428.58</v>
      </c>
      <c r="R171">
        <v>4.410020299850808E-2</v>
      </c>
      <c r="S171">
        <v>3.7698845064284142E-2</v>
      </c>
      <c r="T171">
        <v>1231</v>
      </c>
      <c r="U171">
        <v>23.800000000000011</v>
      </c>
      <c r="V171">
        <v>334309</v>
      </c>
      <c r="Z171">
        <v>428.58</v>
      </c>
    </row>
    <row r="172" spans="5:26" x14ac:dyDescent="0.15">
      <c r="E172" t="s">
        <v>509</v>
      </c>
      <c r="F172">
        <v>437519</v>
      </c>
      <c r="G172">
        <v>3248.23</v>
      </c>
      <c r="H172">
        <v>2.3390773275573817E-2</v>
      </c>
      <c r="I172">
        <v>2.3667482895437519E-2</v>
      </c>
      <c r="K172">
        <v>439477</v>
      </c>
      <c r="L172">
        <v>3659.87</v>
      </c>
      <c r="M172">
        <v>2.5124444257836373E-2</v>
      </c>
      <c r="N172">
        <v>2.2935818279897463E-2</v>
      </c>
      <c r="P172">
        <v>439477</v>
      </c>
      <c r="Q172">
        <f t="shared" si="5"/>
        <v>3659.82</v>
      </c>
      <c r="R172">
        <v>2.5124444257836373E-2</v>
      </c>
      <c r="S172">
        <v>2.2921843250480103E-2</v>
      </c>
      <c r="T172">
        <v>0</v>
      </c>
      <c r="U172">
        <v>-4.9999999999727152E-2</v>
      </c>
      <c r="V172">
        <v>434092</v>
      </c>
      <c r="Z172">
        <v>3659.82</v>
      </c>
    </row>
    <row r="173" spans="5:26" x14ac:dyDescent="0.15">
      <c r="E173" t="s">
        <v>510</v>
      </c>
      <c r="F173">
        <v>2491</v>
      </c>
      <c r="G173">
        <v>3.45</v>
      </c>
      <c r="H173">
        <v>3.8631415719752704E-2</v>
      </c>
      <c r="I173">
        <v>1.9990030115655255E-2</v>
      </c>
      <c r="K173">
        <v>2324</v>
      </c>
      <c r="L173">
        <v>4.17</v>
      </c>
      <c r="M173">
        <v>4.3215211754537601E-3</v>
      </c>
      <c r="N173">
        <v>0.11796246648793564</v>
      </c>
      <c r="P173">
        <v>2384</v>
      </c>
      <c r="Q173">
        <f t="shared" si="5"/>
        <v>3.73</v>
      </c>
      <c r="R173">
        <v>3.4273318872017351E-2</v>
      </c>
      <c r="S173">
        <v>0.11676646706586831</v>
      </c>
      <c r="T173">
        <v>60</v>
      </c>
      <c r="U173">
        <v>-0.43999999999999995</v>
      </c>
      <c r="V173">
        <v>2345</v>
      </c>
      <c r="Z173">
        <v>3.73</v>
      </c>
    </row>
    <row r="174" spans="5:26" x14ac:dyDescent="0.15">
      <c r="E174" t="s">
        <v>87</v>
      </c>
      <c r="F174">
        <v>690</v>
      </c>
      <c r="G174">
        <v>2.13</v>
      </c>
      <c r="H174">
        <v>5.5061630069833667E-2</v>
      </c>
      <c r="I174">
        <v>2.2410294215992055E-2</v>
      </c>
      <c r="K174">
        <v>659</v>
      </c>
      <c r="L174">
        <v>5.33</v>
      </c>
      <c r="M174">
        <v>5.9485530546623797E-2</v>
      </c>
      <c r="N174">
        <v>0.23379629629629622</v>
      </c>
      <c r="P174">
        <v>675</v>
      </c>
      <c r="Q174">
        <f t="shared" si="5"/>
        <v>5.33</v>
      </c>
      <c r="R174">
        <v>9.0468497576736667E-2</v>
      </c>
      <c r="S174">
        <v>0.44905146549734604</v>
      </c>
      <c r="T174">
        <v>16</v>
      </c>
      <c r="U174">
        <v>0</v>
      </c>
      <c r="V174">
        <v>647</v>
      </c>
      <c r="Z174">
        <v>5.33</v>
      </c>
    </row>
    <row r="175" spans="5:26" x14ac:dyDescent="0.15">
      <c r="E175" t="s">
        <v>511</v>
      </c>
      <c r="F175">
        <v>77906</v>
      </c>
      <c r="G175">
        <v>190.3</v>
      </c>
      <c r="H175">
        <v>3.7564749228447436E-2</v>
      </c>
      <c r="I175">
        <v>2.2752967806611402E-2</v>
      </c>
      <c r="K175">
        <v>75943</v>
      </c>
      <c r="L175">
        <v>188.32</v>
      </c>
      <c r="M175">
        <v>3.0462156367879724E-2</v>
      </c>
      <c r="N175">
        <v>2.0096419478901357E-2</v>
      </c>
      <c r="P175">
        <v>76291</v>
      </c>
      <c r="Q175">
        <f t="shared" si="5"/>
        <v>192.92</v>
      </c>
      <c r="R175">
        <v>3.7224858265468438E-2</v>
      </c>
      <c r="S175">
        <v>1.7832647462277067E-2</v>
      </c>
      <c r="T175">
        <v>348</v>
      </c>
      <c r="U175">
        <v>4.5999999999999943</v>
      </c>
      <c r="V175">
        <v>74922</v>
      </c>
      <c r="Z175">
        <v>192.92</v>
      </c>
    </row>
    <row r="176" spans="5:26" x14ac:dyDescent="0.15">
      <c r="E176" t="s">
        <v>12</v>
      </c>
      <c r="F176">
        <v>38148</v>
      </c>
      <c r="G176">
        <v>581.13</v>
      </c>
      <c r="H176">
        <v>0.12008776389678544</v>
      </c>
      <c r="I176">
        <v>0.16843341918146226</v>
      </c>
      <c r="K176">
        <v>29882</v>
      </c>
      <c r="L176">
        <v>478.33</v>
      </c>
      <c r="M176">
        <v>3.5950771364187901E-2</v>
      </c>
      <c r="N176">
        <v>0.1315528009084026</v>
      </c>
      <c r="P176">
        <v>30916</v>
      </c>
      <c r="Q176">
        <f t="shared" si="5"/>
        <v>441</v>
      </c>
      <c r="R176">
        <v>6.1894621144466581E-2</v>
      </c>
      <c r="S176">
        <v>0.13156074200297913</v>
      </c>
      <c r="T176">
        <v>1034</v>
      </c>
      <c r="U176">
        <v>-37.329999999999984</v>
      </c>
      <c r="V176">
        <v>30015</v>
      </c>
      <c r="Z176">
        <v>441</v>
      </c>
    </row>
    <row r="177" spans="5:26" x14ac:dyDescent="0.15">
      <c r="E177" t="s">
        <v>12</v>
      </c>
      <c r="F177">
        <v>17082</v>
      </c>
      <c r="G177">
        <v>313.93</v>
      </c>
      <c r="H177">
        <v>4.2562877678352429E-2</v>
      </c>
      <c r="I177">
        <v>4.2562877678352429E-2</v>
      </c>
      <c r="K177">
        <v>18661</v>
      </c>
      <c r="L177">
        <v>220.93</v>
      </c>
      <c r="M177">
        <v>5.4293785310734463E-2</v>
      </c>
      <c r="N177">
        <v>4.7296375460458432E-3</v>
      </c>
      <c r="P177">
        <v>18790</v>
      </c>
      <c r="Q177">
        <f t="shared" si="5"/>
        <v>244.96</v>
      </c>
      <c r="R177">
        <v>5.4314891706879136E-2</v>
      </c>
      <c r="S177">
        <v>5.4314891706879101E-2</v>
      </c>
      <c r="T177">
        <v>129</v>
      </c>
      <c r="U177">
        <v>24.029459137479137</v>
      </c>
      <c r="V177">
        <v>18306</v>
      </c>
      <c r="Z177">
        <v>244.95945913747914</v>
      </c>
    </row>
    <row r="178" spans="5:26" x14ac:dyDescent="0.15">
      <c r="E178" t="s">
        <v>12</v>
      </c>
      <c r="Q178">
        <f t="shared" si="5"/>
        <v>0</v>
      </c>
    </row>
    <row r="179" spans="5:26" x14ac:dyDescent="0.15">
      <c r="E179" t="s">
        <v>15</v>
      </c>
      <c r="F179">
        <v>53635</v>
      </c>
      <c r="G179">
        <v>30.02</v>
      </c>
      <c r="H179">
        <v>9.3944400252911509E-2</v>
      </c>
      <c r="I179">
        <v>9.6420745069393687E-2</v>
      </c>
      <c r="K179">
        <v>63750</v>
      </c>
      <c r="L179">
        <v>29.3</v>
      </c>
      <c r="M179">
        <v>0.15315739015610585</v>
      </c>
      <c r="N179">
        <v>8.1579918789221148E-2</v>
      </c>
      <c r="P179">
        <v>63750</v>
      </c>
      <c r="Q179">
        <f t="shared" si="5"/>
        <v>29.3</v>
      </c>
      <c r="R179">
        <v>0.15315739015610585</v>
      </c>
      <c r="S179">
        <v>8.1579918789221287E-2</v>
      </c>
      <c r="T179">
        <v>0</v>
      </c>
      <c r="U179">
        <v>0</v>
      </c>
      <c r="V179">
        <v>59517</v>
      </c>
      <c r="Z179">
        <v>29.3</v>
      </c>
    </row>
    <row r="180" spans="5:26" x14ac:dyDescent="0.15">
      <c r="E180" t="s">
        <v>177</v>
      </c>
      <c r="F180">
        <v>3723928</v>
      </c>
      <c r="G180">
        <v>6491.2400000000016</v>
      </c>
      <c r="H180">
        <v>3.9552149088571964E-2</v>
      </c>
      <c r="I180">
        <v>3.9763800561173568E-2</v>
      </c>
      <c r="K180">
        <v>3666081</v>
      </c>
      <c r="L180">
        <v>6707.1799999999994</v>
      </c>
      <c r="M180">
        <v>2.9976543687487409E-2</v>
      </c>
      <c r="N180">
        <v>3.5976312350755157E-2</v>
      </c>
      <c r="P180">
        <v>3686622</v>
      </c>
      <c r="Q180">
        <f t="shared" si="5"/>
        <v>6716.12</v>
      </c>
      <c r="R180">
        <v>3.3511985426743766E-2</v>
      </c>
      <c r="S180">
        <v>3.583770608468613E-2</v>
      </c>
      <c r="T180">
        <v>20541</v>
      </c>
      <c r="U180">
        <v>8.940068629193366</v>
      </c>
      <c r="V180">
        <v>3626854</v>
      </c>
      <c r="Z180">
        <v>6716.1200686291932</v>
      </c>
    </row>
    <row r="181" spans="5:26" x14ac:dyDescent="0.15">
      <c r="H181">
        <v>0</v>
      </c>
      <c r="I181">
        <v>0</v>
      </c>
      <c r="Q181">
        <f t="shared" si="5"/>
        <v>0</v>
      </c>
    </row>
    <row r="182" spans="5:26" x14ac:dyDescent="0.15">
      <c r="E182" t="s">
        <v>16</v>
      </c>
      <c r="F182">
        <v>202</v>
      </c>
      <c r="G182">
        <v>149.07</v>
      </c>
      <c r="H182">
        <v>6.307100231931595E-2</v>
      </c>
      <c r="I182">
        <v>4.5704804283882572E-2</v>
      </c>
      <c r="K182">
        <v>203</v>
      </c>
      <c r="L182">
        <v>143.38999999999999</v>
      </c>
      <c r="M182">
        <v>6.2827225130890049E-2</v>
      </c>
      <c r="N182">
        <v>6.4118738404452591E-2</v>
      </c>
      <c r="P182">
        <v>203</v>
      </c>
      <c r="Q182">
        <f t="shared" si="5"/>
        <v>141.09</v>
      </c>
      <c r="R182">
        <v>6.2827225130890049E-2</v>
      </c>
      <c r="S182">
        <v>6.4107398748020211E-2</v>
      </c>
      <c r="T182">
        <v>0</v>
      </c>
      <c r="U182">
        <v>-2.2999999999999829</v>
      </c>
      <c r="V182">
        <v>197</v>
      </c>
      <c r="Z182">
        <v>141.09</v>
      </c>
    </row>
    <row r="183" spans="5:26" x14ac:dyDescent="0.15">
      <c r="E183" t="s">
        <v>515</v>
      </c>
      <c r="F183">
        <v>2063</v>
      </c>
      <c r="G183">
        <v>1095.23</v>
      </c>
      <c r="H183">
        <v>6.449777422876557E-2</v>
      </c>
      <c r="I183">
        <v>-1.9092973409501779E-2</v>
      </c>
      <c r="K183">
        <v>1905</v>
      </c>
      <c r="L183">
        <v>1356.76</v>
      </c>
      <c r="M183">
        <v>2.2544283413848631E-2</v>
      </c>
      <c r="N183">
        <v>5.9405940594059348E-2</v>
      </c>
      <c r="P183">
        <v>1982</v>
      </c>
      <c r="Q183">
        <f t="shared" si="5"/>
        <v>1356.76</v>
      </c>
      <c r="R183">
        <v>5.4816391697711547E-2</v>
      </c>
      <c r="S183">
        <v>5.9405940594059348E-2</v>
      </c>
      <c r="T183">
        <v>77</v>
      </c>
      <c r="U183">
        <v>0</v>
      </c>
      <c r="V183">
        <v>1931</v>
      </c>
      <c r="Z183">
        <v>1356.76</v>
      </c>
    </row>
    <row r="184" spans="5:26" x14ac:dyDescent="0.15">
      <c r="E184" t="s">
        <v>516</v>
      </c>
      <c r="F184">
        <v>520</v>
      </c>
      <c r="G184">
        <v>86.1</v>
      </c>
      <c r="H184">
        <v>5.6319161541351859E-2</v>
      </c>
      <c r="I184">
        <v>5.6319161541351859E-2</v>
      </c>
      <c r="K184">
        <v>548</v>
      </c>
      <c r="L184">
        <v>67.14</v>
      </c>
      <c r="M184">
        <v>9.6000000000000002E-2</v>
      </c>
      <c r="N184">
        <v>9.9277978339349666E-3</v>
      </c>
      <c r="P184">
        <v>518</v>
      </c>
      <c r="Q184">
        <f t="shared" si="5"/>
        <v>76.12</v>
      </c>
      <c r="R184">
        <v>5.9304703476482618E-2</v>
      </c>
      <c r="S184">
        <v>-3.3887549181368215E-2</v>
      </c>
      <c r="T184">
        <v>-30</v>
      </c>
      <c r="U184">
        <v>8.980000000000004</v>
      </c>
      <c r="V184">
        <v>504</v>
      </c>
      <c r="Z184">
        <v>76.12</v>
      </c>
    </row>
    <row r="185" spans="5:26" x14ac:dyDescent="0.15">
      <c r="E185" t="s">
        <v>517</v>
      </c>
      <c r="F185">
        <v>393</v>
      </c>
      <c r="G185">
        <v>39.93</v>
      </c>
      <c r="H185">
        <v>0.12065846893298771</v>
      </c>
      <c r="I185">
        <v>1.3641307305308992E-2</v>
      </c>
      <c r="K185">
        <v>370</v>
      </c>
      <c r="L185">
        <v>47.93</v>
      </c>
      <c r="M185">
        <v>0.12804878048780488</v>
      </c>
      <c r="N185">
        <v>0.14940047961630687</v>
      </c>
      <c r="P185">
        <v>382</v>
      </c>
      <c r="Q185">
        <f t="shared" si="5"/>
        <v>51.96</v>
      </c>
      <c r="R185">
        <v>0.16109422492401215</v>
      </c>
      <c r="S185">
        <v>0.11334904649667879</v>
      </c>
      <c r="T185">
        <v>12</v>
      </c>
      <c r="U185">
        <v>4.0300000000000011</v>
      </c>
      <c r="V185">
        <v>356</v>
      </c>
      <c r="Z185">
        <v>51.96</v>
      </c>
    </row>
    <row r="186" spans="5:26" x14ac:dyDescent="0.15">
      <c r="E186" t="s">
        <v>518</v>
      </c>
      <c r="F186">
        <v>546</v>
      </c>
      <c r="G186">
        <v>126.4</v>
      </c>
      <c r="H186">
        <v>8.9130434782608736E-2</v>
      </c>
      <c r="I186">
        <v>6.6369916348116842E-2</v>
      </c>
      <c r="K186">
        <v>474</v>
      </c>
      <c r="L186">
        <v>116.65</v>
      </c>
      <c r="M186">
        <v>2.5974025974025976E-2</v>
      </c>
      <c r="N186">
        <v>3.8643041581337398E-2</v>
      </c>
      <c r="P186">
        <v>486</v>
      </c>
      <c r="Q186">
        <f t="shared" si="5"/>
        <v>116.65</v>
      </c>
      <c r="R186">
        <v>5.6521739130434782E-2</v>
      </c>
      <c r="S186">
        <v>3.8643041581337398E-2</v>
      </c>
      <c r="T186">
        <v>12</v>
      </c>
      <c r="U186">
        <v>0</v>
      </c>
      <c r="V186">
        <v>473</v>
      </c>
      <c r="Z186">
        <v>116.65</v>
      </c>
    </row>
    <row r="187" spans="5:26" x14ac:dyDescent="0.15">
      <c r="E187" t="s">
        <v>312</v>
      </c>
      <c r="F187">
        <v>55</v>
      </c>
      <c r="G187">
        <v>17.64</v>
      </c>
      <c r="H187">
        <v>7.9608473046602901E-2</v>
      </c>
      <c r="I187">
        <v>6.7594678496383898E-2</v>
      </c>
      <c r="K187">
        <v>59</v>
      </c>
      <c r="L187">
        <v>15.73</v>
      </c>
      <c r="M187">
        <v>7.2727272727272724E-2</v>
      </c>
      <c r="N187">
        <v>2.6762402088772855E-2</v>
      </c>
      <c r="P187">
        <v>61</v>
      </c>
      <c r="Q187">
        <f t="shared" si="5"/>
        <v>15.31</v>
      </c>
      <c r="R187">
        <v>0.11926605504587157</v>
      </c>
      <c r="S187">
        <v>2.68276324614353E-2</v>
      </c>
      <c r="T187">
        <v>2</v>
      </c>
      <c r="U187">
        <v>-0.41999999999999993</v>
      </c>
      <c r="V187">
        <v>58</v>
      </c>
      <c r="Z187">
        <v>15.31</v>
      </c>
    </row>
    <row r="188" spans="5:26" x14ac:dyDescent="0.15">
      <c r="E188" t="s">
        <v>313</v>
      </c>
      <c r="F188">
        <v>65</v>
      </c>
      <c r="G188">
        <v>20.329999999999998</v>
      </c>
      <c r="H188">
        <v>0.10169491525423724</v>
      </c>
      <c r="I188">
        <v>9.4776521270866887E-2</v>
      </c>
      <c r="K188">
        <v>74</v>
      </c>
      <c r="L188">
        <v>15.29</v>
      </c>
      <c r="M188">
        <v>7.2463768115942032E-2</v>
      </c>
      <c r="N188">
        <v>9.9999999999999908E-2</v>
      </c>
      <c r="P188">
        <v>74</v>
      </c>
      <c r="Q188">
        <f t="shared" si="5"/>
        <v>15.29</v>
      </c>
      <c r="R188">
        <v>7.2463768115942032E-2</v>
      </c>
      <c r="S188">
        <v>0.10079193664506829</v>
      </c>
      <c r="T188">
        <v>0</v>
      </c>
      <c r="U188">
        <v>0</v>
      </c>
      <c r="V188">
        <v>72</v>
      </c>
      <c r="Z188">
        <v>15.29</v>
      </c>
    </row>
    <row r="189" spans="5:26" x14ac:dyDescent="0.15">
      <c r="E189" t="s">
        <v>519</v>
      </c>
      <c r="F189">
        <v>3845</v>
      </c>
      <c r="G189">
        <v>1534.7</v>
      </c>
      <c r="H189">
        <v>7.3025962265373057E-2</v>
      </c>
      <c r="I189">
        <v>-9.114012614407363E-4</v>
      </c>
      <c r="K189">
        <v>3633</v>
      </c>
      <c r="L189">
        <v>1762.8900000000003</v>
      </c>
      <c r="M189">
        <v>4.7577854671280277E-2</v>
      </c>
      <c r="N189">
        <v>5.8703772655752801E-2</v>
      </c>
      <c r="P189">
        <v>3706</v>
      </c>
      <c r="Q189">
        <f t="shared" si="5"/>
        <v>1773.18</v>
      </c>
      <c r="R189">
        <v>6.7550050410485382E-2</v>
      </c>
      <c r="S189">
        <v>5.5564815696732835E-2</v>
      </c>
      <c r="T189">
        <v>73</v>
      </c>
      <c r="U189">
        <v>10.290000000000022</v>
      </c>
      <c r="V189">
        <v>3591</v>
      </c>
      <c r="Z189">
        <v>1773.1799999999998</v>
      </c>
    </row>
    <row r="190" spans="5:26" x14ac:dyDescent="0.15">
      <c r="Q190">
        <f t="shared" si="5"/>
        <v>0</v>
      </c>
    </row>
    <row r="191" spans="5:26" ht="15" x14ac:dyDescent="0.2">
      <c r="E191" s="1181" t="s">
        <v>527</v>
      </c>
      <c r="F191" s="1181">
        <v>3727773</v>
      </c>
      <c r="G191" s="1181">
        <v>8025.9500000000016</v>
      </c>
      <c r="H191" s="1181">
        <v>3.9585797772127673E-2</v>
      </c>
      <c r="I191" s="1181">
        <v>3.1131078639872856E-2</v>
      </c>
      <c r="J191" s="1181"/>
      <c r="K191" s="1181">
        <v>3669714</v>
      </c>
      <c r="L191" s="1181">
        <v>8470.07</v>
      </c>
      <c r="M191" s="1181">
        <v>2.9993676412513461E-2</v>
      </c>
      <c r="N191" s="1181">
        <v>4.0625844656854322E-2</v>
      </c>
      <c r="O191" s="1181"/>
      <c r="P191" s="1181">
        <v>3690328</v>
      </c>
      <c r="Q191" s="509">
        <f t="shared" si="5"/>
        <v>8489.2999999999993</v>
      </c>
      <c r="R191" s="1181">
        <v>3.3545079215309338E-2</v>
      </c>
      <c r="S191" s="1181">
        <v>3.9896993608840685E-2</v>
      </c>
      <c r="T191" s="1181">
        <v>20614</v>
      </c>
      <c r="U191" s="1181">
        <v>19.23006862919339</v>
      </c>
      <c r="V191" s="1181">
        <v>3630445</v>
      </c>
      <c r="Z191">
        <v>8489.3000686291925</v>
      </c>
    </row>
    <row r="192" spans="5:26" x14ac:dyDescent="0.15">
      <c r="H192">
        <v>0</v>
      </c>
      <c r="I192">
        <v>0</v>
      </c>
      <c r="Q192">
        <f t="shared" si="5"/>
        <v>0</v>
      </c>
    </row>
    <row r="193" spans="5:26" x14ac:dyDescent="0.15">
      <c r="E193" t="s">
        <v>521</v>
      </c>
      <c r="F193">
        <v>2701703</v>
      </c>
      <c r="G193">
        <v>4527.9500000000007</v>
      </c>
      <c r="H193">
        <v>5.0933923161007755E-2</v>
      </c>
      <c r="I193">
        <v>3.8248552217909904E-2</v>
      </c>
      <c r="K193">
        <v>2639723</v>
      </c>
      <c r="L193">
        <v>4541.2436438463947</v>
      </c>
      <c r="M193">
        <v>4.0707361017477045E-2</v>
      </c>
      <c r="N193">
        <v>5.9157487602946701E-2</v>
      </c>
      <c r="P193">
        <v>2660337</v>
      </c>
      <c r="Q193">
        <f t="shared" si="5"/>
        <v>4566.43</v>
      </c>
      <c r="R193">
        <v>4.2724128382275385E-2</v>
      </c>
      <c r="S193">
        <v>5.6374643771060884E-2</v>
      </c>
      <c r="T193">
        <v>20614</v>
      </c>
      <c r="U193">
        <v>25.190281065347897</v>
      </c>
      <c r="V193">
        <v>2605839</v>
      </c>
      <c r="Z193">
        <v>4566.433924911742</v>
      </c>
    </row>
    <row r="194" spans="5:26" x14ac:dyDescent="0.15">
      <c r="H194">
        <v>0</v>
      </c>
      <c r="I194">
        <v>0</v>
      </c>
      <c r="Q194">
        <f t="shared" si="5"/>
        <v>0</v>
      </c>
    </row>
    <row r="195" spans="5:26" x14ac:dyDescent="0.15">
      <c r="E195" t="s">
        <v>522</v>
      </c>
      <c r="F195">
        <v>1026070</v>
      </c>
      <c r="G195">
        <v>3498.0000000000009</v>
      </c>
      <c r="H195">
        <v>9.8228642882893791E-3</v>
      </c>
      <c r="I195">
        <v>2.1855689830484915E-2</v>
      </c>
      <c r="K195">
        <v>1029991</v>
      </c>
      <c r="L195">
        <v>3928.826356153605</v>
      </c>
      <c r="M195">
        <v>3.5172124191698794E-3</v>
      </c>
      <c r="N195">
        <v>1.9997496275405209E-2</v>
      </c>
      <c r="P195">
        <v>1029991</v>
      </c>
      <c r="Q195">
        <f t="shared" si="5"/>
        <v>3922.87</v>
      </c>
      <c r="R195">
        <v>1.0567885245579953E-2</v>
      </c>
      <c r="S195">
        <v>2.135201031523775E-2</v>
      </c>
      <c r="T195">
        <v>0</v>
      </c>
      <c r="U195">
        <v>-5.9602124361545066</v>
      </c>
      <c r="V195">
        <v>1024606</v>
      </c>
      <c r="Z195">
        <v>3922.8661437174505</v>
      </c>
    </row>
    <row r="196" spans="5:26" x14ac:dyDescent="0.15">
      <c r="F196">
        <v>1026070</v>
      </c>
      <c r="G196">
        <v>3498</v>
      </c>
      <c r="H196">
        <v>9.8228642882893791E-3</v>
      </c>
      <c r="I196">
        <v>2.1855689830484692E-2</v>
      </c>
      <c r="K196">
        <v>1029991</v>
      </c>
      <c r="L196">
        <v>3928.8263561536055</v>
      </c>
      <c r="M196">
        <v>3.5172124191698794E-3</v>
      </c>
      <c r="N196">
        <v>1.9997496275405088E-2</v>
      </c>
      <c r="P196">
        <v>1029991</v>
      </c>
      <c r="Q196">
        <f t="shared" si="5"/>
        <v>3922.87</v>
      </c>
      <c r="R196">
        <v>1.0567885245579953E-2</v>
      </c>
      <c r="S196">
        <v>2.135201031523799E-2</v>
      </c>
      <c r="T196">
        <v>0</v>
      </c>
      <c r="U196">
        <v>-5.9602124361545066</v>
      </c>
      <c r="V196">
        <v>1024606</v>
      </c>
      <c r="Z196">
        <v>3922.866143717451</v>
      </c>
    </row>
    <row r="197" spans="5:26" x14ac:dyDescent="0.15">
      <c r="E197" t="s">
        <v>542</v>
      </c>
      <c r="G197">
        <v>220</v>
      </c>
    </row>
    <row r="198" spans="5:26" ht="15" x14ac:dyDescent="0.2">
      <c r="E198" s="1181" t="s">
        <v>343</v>
      </c>
      <c r="F198" s="1181"/>
      <c r="G198" s="1181">
        <v>8245.9500000000007</v>
      </c>
      <c r="H198" s="1181"/>
      <c r="I198" s="1181"/>
      <c r="J198" s="1181"/>
      <c r="K198" s="1181"/>
      <c r="L198" s="1181"/>
      <c r="M198" s="1181"/>
      <c r="N198" s="1181"/>
      <c r="O198" s="1181"/>
      <c r="P198" s="1181"/>
      <c r="Q198" s="1181"/>
      <c r="R198" s="1181"/>
      <c r="S198" s="1181"/>
      <c r="T198" s="1181"/>
      <c r="U198" s="1181"/>
      <c r="V198" s="1181"/>
    </row>
    <row r="200" spans="5:26" x14ac:dyDescent="0.15">
      <c r="E200" t="s">
        <v>494</v>
      </c>
    </row>
    <row r="202" spans="5:26" x14ac:dyDescent="0.15">
      <c r="E202" t="s">
        <v>543</v>
      </c>
      <c r="K202" t="s">
        <v>543</v>
      </c>
      <c r="P202" t="s">
        <v>543</v>
      </c>
      <c r="T202" t="s">
        <v>502</v>
      </c>
      <c r="U202" t="s">
        <v>503</v>
      </c>
      <c r="V202" t="s">
        <v>504</v>
      </c>
    </row>
    <row r="203" spans="5:26" x14ac:dyDescent="0.15">
      <c r="E203" t="s">
        <v>495</v>
      </c>
      <c r="J203" t="s">
        <v>496</v>
      </c>
      <c r="O203" t="s">
        <v>497</v>
      </c>
    </row>
    <row r="204" spans="5:26" x14ac:dyDescent="0.15">
      <c r="E204" t="s">
        <v>31</v>
      </c>
      <c r="F204" t="s">
        <v>498</v>
      </c>
      <c r="G204" t="s">
        <v>499</v>
      </c>
      <c r="H204" t="s">
        <v>500</v>
      </c>
      <c r="I204" t="s">
        <v>501</v>
      </c>
      <c r="K204" t="s">
        <v>498</v>
      </c>
      <c r="L204" t="s">
        <v>499</v>
      </c>
      <c r="M204" t="s">
        <v>500</v>
      </c>
      <c r="N204" t="s">
        <v>501</v>
      </c>
      <c r="P204" t="s">
        <v>498</v>
      </c>
      <c r="Q204" t="s">
        <v>499</v>
      </c>
      <c r="R204" t="s">
        <v>500</v>
      </c>
      <c r="S204" t="s">
        <v>501</v>
      </c>
    </row>
    <row r="205" spans="5:26" x14ac:dyDescent="0.15">
      <c r="E205" t="s">
        <v>505</v>
      </c>
      <c r="F205">
        <v>2627374</v>
      </c>
      <c r="G205">
        <v>741.3900000000001</v>
      </c>
      <c r="H205">
        <v>0</v>
      </c>
      <c r="I205">
        <v>0</v>
      </c>
      <c r="K205">
        <v>2669615</v>
      </c>
      <c r="L205">
        <v>742.44635615360539</v>
      </c>
      <c r="M205">
        <v>-2.6752331909730212E-3</v>
      </c>
      <c r="N205">
        <v>-5.4568448888101979E-3</v>
      </c>
      <c r="P205">
        <v>2651479</v>
      </c>
      <c r="Q205">
        <v>729.62329739501024</v>
      </c>
      <c r="R205">
        <v>0</v>
      </c>
      <c r="S205">
        <v>-3.9010696985398571E-6</v>
      </c>
      <c r="T205">
        <v>-18136</v>
      </c>
      <c r="U205">
        <v>-12.823058758595153</v>
      </c>
      <c r="V205">
        <v>2651479</v>
      </c>
    </row>
    <row r="206" spans="5:26" x14ac:dyDescent="0.15">
      <c r="E206" t="s">
        <v>505</v>
      </c>
      <c r="F206">
        <v>241451</v>
      </c>
      <c r="G206">
        <v>181.81</v>
      </c>
      <c r="H206">
        <v>0</v>
      </c>
      <c r="I206">
        <v>0</v>
      </c>
      <c r="K206">
        <v>192473</v>
      </c>
      <c r="L206">
        <v>194.0736438463945</v>
      </c>
      <c r="M206">
        <v>3.8642937316525641E-2</v>
      </c>
      <c r="N206">
        <v>4.3406687346207007E-2</v>
      </c>
      <c r="P206">
        <v>208529</v>
      </c>
      <c r="Q206">
        <v>191.81235893405008</v>
      </c>
      <c r="R206">
        <v>0</v>
      </c>
      <c r="S206">
        <v>0</v>
      </c>
      <c r="T206">
        <v>16056</v>
      </c>
      <c r="U206">
        <v>-2.2612849123444221</v>
      </c>
      <c r="V206">
        <v>208529</v>
      </c>
    </row>
    <row r="207" spans="5:26" x14ac:dyDescent="0.15">
      <c r="E207" t="s">
        <v>544</v>
      </c>
      <c r="F207">
        <v>19397618</v>
      </c>
      <c r="G207">
        <v>14253.789999999999</v>
      </c>
      <c r="H207">
        <v>4.4774603844717875E-2</v>
      </c>
      <c r="I207">
        <v>3.9857016660892253E-2</v>
      </c>
      <c r="K207">
        <v>19206629</v>
      </c>
      <c r="L207">
        <v>14226.829999999998</v>
      </c>
      <c r="M207">
        <v>3.8294603715400909E-2</v>
      </c>
      <c r="N207">
        <v>3.4631140536833374E-2</v>
      </c>
      <c r="P207">
        <v>19276422</v>
      </c>
      <c r="Q207">
        <v>14209.879489244162</v>
      </c>
      <c r="R207">
        <v>3.7581302156481235E-2</v>
      </c>
      <c r="S207">
        <v>3.4051055778735205E-2</v>
      </c>
      <c r="T207">
        <v>69793</v>
      </c>
      <c r="U207">
        <v>-16.950510755836149</v>
      </c>
      <c r="V207">
        <v>18927325</v>
      </c>
    </row>
    <row r="208" spans="5:26" x14ac:dyDescent="0.15">
      <c r="E208" t="s">
        <v>508</v>
      </c>
      <c r="F208">
        <v>2718095</v>
      </c>
      <c r="G208">
        <v>4285.0300000000007</v>
      </c>
      <c r="H208">
        <v>4.4166396890232607E-2</v>
      </c>
      <c r="I208">
        <v>6.4884074911393474E-2</v>
      </c>
      <c r="K208">
        <v>2708677</v>
      </c>
      <c r="L208">
        <v>3979.58</v>
      </c>
      <c r="M208">
        <v>4.0461852673161144E-2</v>
      </c>
      <c r="N208">
        <v>2.5189345149157539E-2</v>
      </c>
      <c r="P208">
        <v>2717490</v>
      </c>
      <c r="Q208">
        <v>4093.17</v>
      </c>
      <c r="R208">
        <v>3.9775231716724008E-2</v>
      </c>
      <c r="S208">
        <v>3.1617039235555075E-2</v>
      </c>
      <c r="T208">
        <v>8813</v>
      </c>
      <c r="U208">
        <v>113.59000000000015</v>
      </c>
      <c r="V208">
        <v>2665513</v>
      </c>
    </row>
    <row r="209" spans="5:22" x14ac:dyDescent="0.15">
      <c r="E209" t="s">
        <v>509</v>
      </c>
      <c r="F209">
        <v>3371550</v>
      </c>
      <c r="G209">
        <v>21937.23</v>
      </c>
      <c r="H209">
        <v>2.704266969256186E-2</v>
      </c>
      <c r="I209">
        <v>2.1870034698591834E-2</v>
      </c>
      <c r="K209">
        <v>3410273</v>
      </c>
      <c r="L209">
        <v>21890.79</v>
      </c>
      <c r="M209">
        <v>2.9161879636327531E-2</v>
      </c>
      <c r="N209">
        <v>3.7838737343352108E-2</v>
      </c>
      <c r="P209">
        <v>3417128</v>
      </c>
      <c r="Q209">
        <v>21422.639999999999</v>
      </c>
      <c r="R209">
        <v>2.3792011126167977E-2</v>
      </c>
      <c r="S209">
        <v>1.5643823185969401E-2</v>
      </c>
      <c r="T209">
        <v>6855</v>
      </c>
      <c r="U209">
        <v>-468.15000000000146</v>
      </c>
      <c r="V209">
        <v>3377423</v>
      </c>
    </row>
    <row r="210" spans="5:22" x14ac:dyDescent="0.15">
      <c r="E210" t="s">
        <v>510</v>
      </c>
      <c r="F210">
        <v>4016</v>
      </c>
      <c r="G210">
        <v>25.430000000000003</v>
      </c>
      <c r="H210">
        <v>-1.3159038056213657E-2</v>
      </c>
      <c r="I210">
        <v>2.4286825163419845E-2</v>
      </c>
      <c r="K210">
        <v>4404</v>
      </c>
      <c r="L210">
        <v>24.49</v>
      </c>
      <c r="M210">
        <v>8.241758241758242E-3</v>
      </c>
      <c r="N210">
        <v>4.2571306939122873E-2</v>
      </c>
      <c r="P210">
        <v>4371</v>
      </c>
      <c r="Q210">
        <v>26.256764501013166</v>
      </c>
      <c r="R210">
        <v>2.8954802259887006E-2</v>
      </c>
      <c r="S210">
        <v>3.2106467248795935E-2</v>
      </c>
      <c r="T210">
        <v>-33</v>
      </c>
      <c r="U210">
        <v>1.7667645010131672</v>
      </c>
      <c r="V210">
        <v>4310</v>
      </c>
    </row>
    <row r="211" spans="5:22" x14ac:dyDescent="0.15">
      <c r="E211" t="s">
        <v>87</v>
      </c>
      <c r="F211">
        <v>22462</v>
      </c>
      <c r="G211">
        <v>46.1</v>
      </c>
      <c r="H211">
        <v>8.0819193595779382E-2</v>
      </c>
      <c r="I211">
        <v>0.16535946580949989</v>
      </c>
      <c r="K211">
        <v>22427</v>
      </c>
      <c r="L211">
        <v>39.150000000000006</v>
      </c>
      <c r="M211">
        <v>8.0715111796453354E-2</v>
      </c>
      <c r="N211">
        <v>4.3721674220208152E-2</v>
      </c>
      <c r="P211">
        <v>22189</v>
      </c>
      <c r="Q211">
        <v>42.307043101547919</v>
      </c>
      <c r="R211">
        <v>8.4453350276135083E-2</v>
      </c>
      <c r="S211">
        <v>0.11293494750911999</v>
      </c>
      <c r="T211">
        <v>-238</v>
      </c>
      <c r="U211">
        <v>3.157043101547913</v>
      </c>
      <c r="V211">
        <v>21325</v>
      </c>
    </row>
    <row r="212" spans="5:22" x14ac:dyDescent="0.15">
      <c r="E212" t="s">
        <v>511</v>
      </c>
      <c r="F212">
        <v>557352</v>
      </c>
      <c r="G212">
        <v>2059.3100000000004</v>
      </c>
      <c r="H212">
        <v>3.5465029285165706E-2</v>
      </c>
      <c r="I212">
        <v>-9.3286719476500801E-3</v>
      </c>
      <c r="K212">
        <v>562521</v>
      </c>
      <c r="L212">
        <v>2299.35</v>
      </c>
      <c r="M212">
        <v>3.7505579266155893E-2</v>
      </c>
      <c r="N212">
        <v>3.0165500309136981E-2</v>
      </c>
      <c r="P212">
        <v>565538</v>
      </c>
      <c r="Q212">
        <v>2240.7585208862661</v>
      </c>
      <c r="R212">
        <v>3.8320732338717675E-2</v>
      </c>
      <c r="S212">
        <v>1.3811456330285148E-2</v>
      </c>
      <c r="T212">
        <v>3017</v>
      </c>
      <c r="U212">
        <v>-58.59147911373384</v>
      </c>
      <c r="V212">
        <v>555102</v>
      </c>
    </row>
    <row r="213" spans="5:22" x14ac:dyDescent="0.15">
      <c r="E213" t="s">
        <v>12</v>
      </c>
      <c r="F213">
        <v>261044</v>
      </c>
      <c r="G213">
        <v>3090.71</v>
      </c>
      <c r="H213">
        <v>6.4724948308601649E-2</v>
      </c>
      <c r="I213">
        <v>7.221835081006911E-2</v>
      </c>
      <c r="K213">
        <v>239446</v>
      </c>
      <c r="L213">
        <v>2955.13</v>
      </c>
      <c r="M213">
        <v>4.178975900731375E-2</v>
      </c>
      <c r="N213">
        <v>6.8960278387695501E-2</v>
      </c>
      <c r="P213">
        <v>240731</v>
      </c>
      <c r="Q213">
        <v>2913.98</v>
      </c>
      <c r="R213">
        <v>4.9911246603601599E-2</v>
      </c>
      <c r="S213">
        <v>9.5337465975216612E-2</v>
      </c>
      <c r="T213">
        <v>1285</v>
      </c>
      <c r="U213">
        <v>-41.150000000000091</v>
      </c>
      <c r="V213">
        <v>235009</v>
      </c>
    </row>
    <row r="214" spans="5:22" x14ac:dyDescent="0.15">
      <c r="E214" t="s">
        <v>12</v>
      </c>
      <c r="F214">
        <v>190822</v>
      </c>
      <c r="G214">
        <v>1275.76</v>
      </c>
      <c r="H214">
        <v>4.7036398437796167E-2</v>
      </c>
      <c r="I214">
        <v>3.7243668038552613E-2</v>
      </c>
      <c r="K214">
        <v>199082</v>
      </c>
      <c r="L214">
        <v>1260.48</v>
      </c>
      <c r="M214">
        <v>6.063366737524041E-2</v>
      </c>
      <c r="N214">
        <v>4.1159707595093478E-2</v>
      </c>
      <c r="P214">
        <v>201022</v>
      </c>
      <c r="Q214">
        <v>1287.9247410254734</v>
      </c>
      <c r="R214">
        <v>6.00078041783993E-2</v>
      </c>
      <c r="S214">
        <v>4.4535451493600338E-2</v>
      </c>
      <c r="T214">
        <v>1940</v>
      </c>
      <c r="U214">
        <v>27.444741025473377</v>
      </c>
      <c r="V214">
        <v>195332</v>
      </c>
    </row>
    <row r="215" spans="5:22" x14ac:dyDescent="0.15">
      <c r="E215" t="s">
        <v>514</v>
      </c>
      <c r="F215">
        <v>150</v>
      </c>
      <c r="G215">
        <v>0.4</v>
      </c>
      <c r="H215">
        <v>0.19999999999999996</v>
      </c>
      <c r="I215">
        <v>0</v>
      </c>
      <c r="K215">
        <v>685</v>
      </c>
      <c r="L215">
        <v>19.84</v>
      </c>
      <c r="M215">
        <v>1.6862745098039216</v>
      </c>
      <c r="N215">
        <v>2.3856655290102391</v>
      </c>
      <c r="P215">
        <v>685</v>
      </c>
      <c r="Q215">
        <v>25.72</v>
      </c>
      <c r="R215">
        <v>1.6862745098039216</v>
      </c>
      <c r="S215">
        <v>3.3890784982935154</v>
      </c>
      <c r="T215">
        <v>0</v>
      </c>
      <c r="U215">
        <v>5.879999999999999</v>
      </c>
      <c r="V215">
        <v>470</v>
      </c>
    </row>
    <row r="216" spans="5:22" x14ac:dyDescent="0.15">
      <c r="E216" t="s">
        <v>15</v>
      </c>
      <c r="F216">
        <v>1644540</v>
      </c>
      <c r="G216">
        <v>357.07000000000005</v>
      </c>
      <c r="H216">
        <v>0.15087803714287795</v>
      </c>
      <c r="I216">
        <v>9.9885759643055128E-2</v>
      </c>
      <c r="K216">
        <v>1615110</v>
      </c>
      <c r="L216">
        <v>456.58000000000004</v>
      </c>
      <c r="M216">
        <v>0.13691701774947998</v>
      </c>
      <c r="N216">
        <v>0.16290560847638946</v>
      </c>
      <c r="P216">
        <v>1615110</v>
      </c>
      <c r="Q216">
        <v>456.58000000000004</v>
      </c>
      <c r="R216">
        <v>0.11473538398465566</v>
      </c>
      <c r="S216">
        <v>0.16077693598413587</v>
      </c>
      <c r="T216">
        <v>0</v>
      </c>
      <c r="U216">
        <v>0</v>
      </c>
      <c r="V216">
        <v>1531992</v>
      </c>
    </row>
    <row r="217" spans="5:22" x14ac:dyDescent="0.15">
      <c r="E217" t="s">
        <v>177</v>
      </c>
      <c r="F217">
        <v>31036477</v>
      </c>
      <c r="G217">
        <v>48254.040000000008</v>
      </c>
      <c r="H217">
        <v>4.3618361353645607E-2</v>
      </c>
      <c r="I217">
        <v>3.3340647775753851E-2</v>
      </c>
      <c r="K217">
        <v>30831342</v>
      </c>
      <c r="L217">
        <v>48088.74</v>
      </c>
      <c r="M217">
        <v>3.8685318123033476E-2</v>
      </c>
      <c r="N217">
        <v>3.8044944703068968E-2</v>
      </c>
      <c r="P217">
        <v>30920694</v>
      </c>
      <c r="Q217">
        <v>47640.652215087524</v>
      </c>
      <c r="R217">
        <v>3.666996893848417E-2</v>
      </c>
      <c r="S217">
        <v>2.9132938450649772E-2</v>
      </c>
      <c r="T217">
        <v>89352</v>
      </c>
      <c r="U217">
        <v>-448.0877849124758</v>
      </c>
      <c r="V217">
        <v>30373828</v>
      </c>
    </row>
    <row r="218" spans="5:22" x14ac:dyDescent="0.15">
      <c r="E218" t="s">
        <v>177</v>
      </c>
      <c r="F218">
        <v>31036474</v>
      </c>
      <c r="G218">
        <v>48254.03</v>
      </c>
      <c r="H218">
        <v>4.3618361353645607E-2</v>
      </c>
      <c r="I218">
        <v>3.3340647775754073E-2</v>
      </c>
      <c r="K218">
        <v>30831342</v>
      </c>
      <c r="L218">
        <v>48088.74</v>
      </c>
      <c r="M218">
        <v>3.8686017974448962E-2</v>
      </c>
      <c r="N218">
        <v>3.8089761174814309E-2</v>
      </c>
      <c r="P218">
        <v>30920694</v>
      </c>
      <c r="Q218">
        <v>47640.652215087532</v>
      </c>
      <c r="R218">
        <v>3.6670664062173897E-2</v>
      </c>
      <c r="S218">
        <v>2.9177403012560776E-2</v>
      </c>
      <c r="T218">
        <v>89352</v>
      </c>
      <c r="U218">
        <v>-448.08778491247654</v>
      </c>
      <c r="V218">
        <v>30373809</v>
      </c>
    </row>
    <row r="219" spans="5:22" x14ac:dyDescent="0.15">
      <c r="H219">
        <v>0</v>
      </c>
      <c r="I219">
        <v>0</v>
      </c>
    </row>
    <row r="220" spans="5:22" x14ac:dyDescent="0.15">
      <c r="E220" t="s">
        <v>16</v>
      </c>
      <c r="F220">
        <v>1449</v>
      </c>
      <c r="G220">
        <v>2130.66</v>
      </c>
      <c r="H220">
        <v>7.9902709762378343E-2</v>
      </c>
      <c r="I220">
        <v>4.6742515037119015E-2</v>
      </c>
      <c r="K220">
        <v>1367</v>
      </c>
      <c r="L220">
        <v>2122.3000000000002</v>
      </c>
      <c r="M220">
        <v>5.8869093725793957E-2</v>
      </c>
      <c r="N220">
        <v>5.2759506731351193E-2</v>
      </c>
      <c r="P220">
        <v>1365</v>
      </c>
      <c r="Q220">
        <v>2105.71</v>
      </c>
      <c r="R220">
        <v>6.9749216300940442E-2</v>
      </c>
      <c r="S220">
        <v>5.6229653743711111E-2</v>
      </c>
      <c r="T220">
        <v>-2</v>
      </c>
      <c r="U220">
        <v>-16.590000000000146</v>
      </c>
      <c r="V220">
        <v>1321</v>
      </c>
    </row>
    <row r="221" spans="5:22" x14ac:dyDescent="0.15">
      <c r="E221" t="s">
        <v>545</v>
      </c>
      <c r="F221">
        <v>16049</v>
      </c>
      <c r="G221">
        <v>8214.9600000000009</v>
      </c>
      <c r="H221">
        <v>5.3754614308976878E-2</v>
      </c>
      <c r="I221">
        <v>1.5347410111712367E-3</v>
      </c>
      <c r="K221">
        <v>15491</v>
      </c>
      <c r="L221">
        <v>9164.23</v>
      </c>
      <c r="M221">
        <v>4.281386738471895E-2</v>
      </c>
      <c r="N221">
        <v>3.9207437109343109E-2</v>
      </c>
      <c r="P221">
        <v>15613</v>
      </c>
      <c r="Q221">
        <v>9028.5400000000009</v>
      </c>
      <c r="R221">
        <v>5.3011398125042151E-2</v>
      </c>
      <c r="S221">
        <v>2.0355342130926286E-2</v>
      </c>
      <c r="T221">
        <v>122</v>
      </c>
      <c r="U221">
        <v>-135.68999999999869</v>
      </c>
      <c r="V221">
        <v>15220</v>
      </c>
    </row>
    <row r="222" spans="5:22" x14ac:dyDescent="0.15">
      <c r="E222" t="s">
        <v>546</v>
      </c>
      <c r="F222">
        <v>12795</v>
      </c>
      <c r="G222">
        <v>2524.44</v>
      </c>
      <c r="H222">
        <v>6.2773632280143099E-2</v>
      </c>
      <c r="I222">
        <v>1.0433447622899106E-2</v>
      </c>
      <c r="K222">
        <v>12202</v>
      </c>
      <c r="L222">
        <v>2680.82</v>
      </c>
      <c r="M222">
        <v>4.513918629550321E-2</v>
      </c>
      <c r="N222">
        <v>3.6840410635797143E-3</v>
      </c>
      <c r="P222">
        <v>12279</v>
      </c>
      <c r="Q222">
        <v>2699.4700000000003</v>
      </c>
      <c r="R222">
        <v>5.3087478559176671E-2</v>
      </c>
      <c r="S222">
        <v>-9.5018060918333948E-3</v>
      </c>
      <c r="T222">
        <v>77</v>
      </c>
      <c r="U222">
        <v>18.650000000000091</v>
      </c>
      <c r="V222">
        <v>11970</v>
      </c>
    </row>
    <row r="223" spans="5:22" x14ac:dyDescent="0.15">
      <c r="E223" t="s">
        <v>517</v>
      </c>
      <c r="F223">
        <v>2854</v>
      </c>
      <c r="G223">
        <v>632.49</v>
      </c>
      <c r="H223">
        <v>9.0759220088696191E-2</v>
      </c>
      <c r="I223">
        <v>-1.3754595261890379E-2</v>
      </c>
      <c r="K223">
        <v>2721</v>
      </c>
      <c r="L223">
        <v>649.44000000000005</v>
      </c>
      <c r="M223">
        <v>7.9333597778659268E-2</v>
      </c>
      <c r="N223">
        <v>3.4123660451266802E-2</v>
      </c>
      <c r="P223">
        <v>2735</v>
      </c>
      <c r="Q223">
        <v>679.04</v>
      </c>
      <c r="R223">
        <v>8.74751491053678E-2</v>
      </c>
      <c r="S223">
        <v>-7.2224334044855912E-3</v>
      </c>
      <c r="T223">
        <v>14</v>
      </c>
      <c r="U223">
        <v>29.599999999999909</v>
      </c>
      <c r="V223">
        <v>2625</v>
      </c>
    </row>
    <row r="224" spans="5:22" x14ac:dyDescent="0.15">
      <c r="E224" t="s">
        <v>518</v>
      </c>
      <c r="F224">
        <v>1226</v>
      </c>
      <c r="G224">
        <v>1045.1400000000001</v>
      </c>
      <c r="H224">
        <v>8.49026563998041E-2</v>
      </c>
      <c r="I224">
        <v>9.3659961909352996E-2</v>
      </c>
      <c r="K224">
        <v>1185</v>
      </c>
      <c r="L224">
        <v>1155.75</v>
      </c>
      <c r="M224">
        <v>6.4690026954177901E-2</v>
      </c>
      <c r="N224">
        <v>0.15706905872694871</v>
      </c>
      <c r="P224">
        <v>1216</v>
      </c>
      <c r="Q224">
        <v>1128.085</v>
      </c>
      <c r="R224">
        <v>7.7059344552701511E-2</v>
      </c>
      <c r="S224">
        <v>0.18053678902918541</v>
      </c>
      <c r="T224">
        <v>31</v>
      </c>
      <c r="U224">
        <v>-27.664999999999964</v>
      </c>
      <c r="V224">
        <v>1173</v>
      </c>
    </row>
    <row r="225" spans="5:22" x14ac:dyDescent="0.15">
      <c r="E225" t="s">
        <v>312</v>
      </c>
      <c r="F225">
        <v>947</v>
      </c>
      <c r="G225">
        <v>189.7</v>
      </c>
      <c r="H225">
        <v>0.12871556547420893</v>
      </c>
      <c r="I225">
        <v>0.10721104967319661</v>
      </c>
      <c r="K225">
        <v>788</v>
      </c>
      <c r="L225">
        <v>161.13</v>
      </c>
      <c r="M225">
        <v>8.5399449035812675E-2</v>
      </c>
      <c r="N225">
        <v>5.6936700557559908E-2</v>
      </c>
      <c r="P225">
        <v>860</v>
      </c>
      <c r="Q225">
        <v>161</v>
      </c>
      <c r="R225">
        <v>0.15513767629281397</v>
      </c>
      <c r="S225">
        <v>3.6836682122617391E-2</v>
      </c>
      <c r="T225">
        <v>72</v>
      </c>
      <c r="U225">
        <v>-0.12999999999999545</v>
      </c>
      <c r="V225">
        <v>802</v>
      </c>
    </row>
    <row r="226" spans="5:22" x14ac:dyDescent="0.15">
      <c r="E226" t="s">
        <v>313</v>
      </c>
      <c r="F226">
        <v>3153</v>
      </c>
      <c r="G226">
        <v>173.36</v>
      </c>
      <c r="H226">
        <v>0.22282728881026093</v>
      </c>
      <c r="I226">
        <v>6.1012975860549989E-2</v>
      </c>
      <c r="K226">
        <v>2977</v>
      </c>
      <c r="L226">
        <v>279.88</v>
      </c>
      <c r="M226">
        <v>0.17204724409448818</v>
      </c>
      <c r="N226">
        <v>0.21123469078634183</v>
      </c>
      <c r="P226">
        <v>2977</v>
      </c>
      <c r="Q226">
        <v>279.88</v>
      </c>
      <c r="R226">
        <v>0.16152945766679672</v>
      </c>
      <c r="S226">
        <v>9.9984279201383419E-2</v>
      </c>
      <c r="T226">
        <v>0</v>
      </c>
      <c r="U226">
        <v>0</v>
      </c>
      <c r="V226">
        <v>2770</v>
      </c>
    </row>
    <row r="227" spans="5:22" x14ac:dyDescent="0.15">
      <c r="F227">
        <v>38475</v>
      </c>
      <c r="G227">
        <v>14910.74</v>
      </c>
      <c r="H227">
        <v>7.5157589217812459E-2</v>
      </c>
      <c r="I227">
        <v>1.6983096956778798E-2</v>
      </c>
      <c r="K227">
        <v>36731</v>
      </c>
      <c r="L227">
        <v>16213.55</v>
      </c>
      <c r="M227">
        <v>5.7890037729328075E-2</v>
      </c>
      <c r="N227">
        <v>4.4970961839519506E-2</v>
      </c>
      <c r="P227">
        <v>37045</v>
      </c>
      <c r="Q227">
        <v>16081.725</v>
      </c>
      <c r="R227">
        <v>6.713333045269268E-2</v>
      </c>
      <c r="S227">
        <v>2.9779219428532584E-2</v>
      </c>
      <c r="T227">
        <v>314</v>
      </c>
      <c r="U227">
        <v>-131.82500000000019</v>
      </c>
    </row>
    <row r="228" spans="5:22" x14ac:dyDescent="0.15">
      <c r="E228" t="s">
        <v>519</v>
      </c>
      <c r="F228">
        <v>38473</v>
      </c>
      <c r="G228">
        <v>14910.750000000002</v>
      </c>
      <c r="H228">
        <v>7.5157589217812459E-2</v>
      </c>
      <c r="I228">
        <v>1.6983096956778798E-2</v>
      </c>
      <c r="K228">
        <v>36731</v>
      </c>
      <c r="L228">
        <v>16213.549999999997</v>
      </c>
      <c r="M228">
        <v>5.7890037729328075E-2</v>
      </c>
      <c r="N228">
        <v>4.4970961839519388E-2</v>
      </c>
      <c r="P228">
        <v>37045</v>
      </c>
      <c r="Q228">
        <v>16081.725</v>
      </c>
      <c r="R228">
        <v>6.713333045269268E-2</v>
      </c>
      <c r="S228">
        <v>2.9779219428532462E-2</v>
      </c>
      <c r="T228">
        <v>314</v>
      </c>
      <c r="U228">
        <v>-131.82499999999879</v>
      </c>
    </row>
    <row r="230" spans="5:22" x14ac:dyDescent="0.15">
      <c r="E230" t="s">
        <v>527</v>
      </c>
      <c r="F230">
        <v>31074952</v>
      </c>
      <c r="G230">
        <v>63164.770000000004</v>
      </c>
      <c r="H230">
        <v>4.3656047229550188E-2</v>
      </c>
      <c r="I230">
        <v>2.9447109562016349E-2</v>
      </c>
      <c r="K230">
        <v>30868073</v>
      </c>
      <c r="L230">
        <v>64302.299999999996</v>
      </c>
      <c r="M230">
        <v>3.8707756118267982E-2</v>
      </c>
      <c r="N230">
        <v>3.9782969643303925E-2</v>
      </c>
      <c r="P230">
        <v>30957739</v>
      </c>
      <c r="Q230">
        <v>63722.387215087518</v>
      </c>
      <c r="R230">
        <v>3.6705382928284069E-2</v>
      </c>
      <c r="S230">
        <v>2.9296292730700061E-2</v>
      </c>
      <c r="T230">
        <v>89666</v>
      </c>
      <c r="U230">
        <v>-579.91278491247635</v>
      </c>
      <c r="V230">
        <v>30409716</v>
      </c>
    </row>
    <row r="231" spans="5:22" x14ac:dyDescent="0.15">
      <c r="F231">
        <v>31074947</v>
      </c>
      <c r="G231">
        <v>63164.78</v>
      </c>
      <c r="H231">
        <v>4.3656047229549744E-2</v>
      </c>
      <c r="I231">
        <v>2.9447109562016349E-2</v>
      </c>
      <c r="K231">
        <v>30868073</v>
      </c>
      <c r="L231">
        <v>64302.289999999994</v>
      </c>
      <c r="P231">
        <v>30957739</v>
      </c>
      <c r="Q231">
        <v>63722.37721508753</v>
      </c>
      <c r="R231">
        <v>3.670607726760311E-2</v>
      </c>
      <c r="S231">
        <v>2.9329218077311023E-2</v>
      </c>
    </row>
    <row r="232" spans="5:22" x14ac:dyDescent="0.15">
      <c r="H232">
        <v>0</v>
      </c>
      <c r="I232">
        <v>0</v>
      </c>
    </row>
    <row r="233" spans="5:22" x14ac:dyDescent="0.15">
      <c r="E233" t="s">
        <v>521</v>
      </c>
      <c r="F233">
        <v>25076028</v>
      </c>
      <c r="G233">
        <v>40486.15</v>
      </c>
      <c r="H233">
        <v>5.0509815742345365E-2</v>
      </c>
      <c r="I233">
        <v>3.4023641816257388E-2</v>
      </c>
      <c r="K233">
        <v>24788185</v>
      </c>
      <c r="L233">
        <v>41669.063643846392</v>
      </c>
      <c r="M233">
        <v>4.4709463527065896E-2</v>
      </c>
      <c r="N233">
        <v>4.1652373364557412E-2</v>
      </c>
      <c r="P233">
        <v>24889132</v>
      </c>
      <c r="Q233">
        <v>41570.123917692508</v>
      </c>
      <c r="R233">
        <v>4.2587673046424059E-2</v>
      </c>
      <c r="S233">
        <v>3.7013255436113127E-2</v>
      </c>
      <c r="T233">
        <v>100947</v>
      </c>
      <c r="U233">
        <v>-98.939726153883427</v>
      </c>
      <c r="V233">
        <v>24380814</v>
      </c>
    </row>
    <row r="234" spans="5:22" x14ac:dyDescent="0.15">
      <c r="H234">
        <v>0</v>
      </c>
      <c r="I234">
        <v>0</v>
      </c>
    </row>
    <row r="235" spans="5:22" x14ac:dyDescent="0.15">
      <c r="E235" t="s">
        <v>522</v>
      </c>
      <c r="F235">
        <v>5998924</v>
      </c>
      <c r="G235">
        <v>22678.620000000003</v>
      </c>
      <c r="H235">
        <v>1.4959757367985826E-2</v>
      </c>
      <c r="I235">
        <v>2.1151167596726861E-2</v>
      </c>
      <c r="K235">
        <v>6079888</v>
      </c>
      <c r="L235">
        <v>22633.236356153604</v>
      </c>
      <c r="M235">
        <v>1.4935688116536795E-2</v>
      </c>
      <c r="N235">
        <v>3.6358782361140755E-2</v>
      </c>
      <c r="P235">
        <v>6068607</v>
      </c>
      <c r="Q235">
        <v>22152.263297395009</v>
      </c>
      <c r="V235">
        <v>6028902</v>
      </c>
    </row>
    <row r="236" spans="5:22" x14ac:dyDescent="0.15">
      <c r="F236">
        <v>5998924</v>
      </c>
      <c r="G236">
        <v>22678.62</v>
      </c>
      <c r="H236">
        <v>1.4959757367985826E-2</v>
      </c>
      <c r="I236">
        <v>2.1151167596726861E-2</v>
      </c>
      <c r="K236">
        <v>6079888</v>
      </c>
      <c r="L236">
        <v>22633.236356153608</v>
      </c>
      <c r="M236">
        <v>1.4935688116536795E-2</v>
      </c>
      <c r="N236">
        <v>3.6358782361141095E-2</v>
      </c>
      <c r="P236">
        <v>6068607</v>
      </c>
      <c r="Q236">
        <v>22152.263297395009</v>
      </c>
      <c r="R236">
        <v>1.3259041781234075E-2</v>
      </c>
      <c r="S236">
        <v>1.5120643194669348E-2</v>
      </c>
      <c r="V236">
        <v>6028902</v>
      </c>
    </row>
    <row r="237" spans="5:22" x14ac:dyDescent="0.15">
      <c r="E237" t="s">
        <v>547</v>
      </c>
      <c r="G237">
        <v>660</v>
      </c>
      <c r="L237">
        <v>0</v>
      </c>
      <c r="Q237">
        <v>0</v>
      </c>
    </row>
    <row r="238" spans="5:22" x14ac:dyDescent="0.15">
      <c r="E238" t="s">
        <v>548</v>
      </c>
      <c r="F238">
        <v>253</v>
      </c>
      <c r="G238">
        <v>12.5</v>
      </c>
      <c r="K238">
        <v>270</v>
      </c>
      <c r="L238">
        <v>12.44</v>
      </c>
      <c r="P238" s="1222">
        <v>270</v>
      </c>
      <c r="Q238">
        <v>12.44</v>
      </c>
    </row>
    <row r="239" spans="5:22" x14ac:dyDescent="0.15">
      <c r="E239" t="s">
        <v>343</v>
      </c>
      <c r="F239">
        <v>31075205</v>
      </c>
      <c r="G239">
        <v>63837.270000000004</v>
      </c>
      <c r="K239">
        <v>30868343</v>
      </c>
      <c r="L239">
        <v>64314.74</v>
      </c>
      <c r="P239">
        <v>30958009</v>
      </c>
      <c r="Q239">
        <v>63734.82721508752</v>
      </c>
      <c r="T239">
        <v>89666</v>
      </c>
      <c r="U239">
        <v>-579.91278491247795</v>
      </c>
    </row>
    <row r="241" spans="5:26" x14ac:dyDescent="0.15">
      <c r="J241" t="s">
        <v>549</v>
      </c>
      <c r="L241">
        <v>371.33534299999997</v>
      </c>
      <c r="Q241">
        <v>371.33534299999997</v>
      </c>
    </row>
    <row r="242" spans="5:26" x14ac:dyDescent="0.15">
      <c r="J242" t="s">
        <v>550</v>
      </c>
      <c r="L242">
        <v>67.95</v>
      </c>
      <c r="Q242">
        <v>67.95</v>
      </c>
    </row>
    <row r="243" spans="5:26" x14ac:dyDescent="0.15">
      <c r="J243" t="s">
        <v>551</v>
      </c>
      <c r="L243">
        <v>30.96</v>
      </c>
      <c r="Q243">
        <v>30.96</v>
      </c>
    </row>
    <row r="244" spans="5:26" x14ac:dyDescent="0.15">
      <c r="J244" t="s">
        <v>552</v>
      </c>
      <c r="L244">
        <v>64784.985342999993</v>
      </c>
      <c r="Q244">
        <v>64205.072558087515</v>
      </c>
      <c r="U244">
        <v>-579.91278491247795</v>
      </c>
    </row>
    <row r="249" spans="5:26" x14ac:dyDescent="0.15">
      <c r="E249" t="s">
        <v>618</v>
      </c>
    </row>
    <row r="250" spans="5:26" x14ac:dyDescent="0.15">
      <c r="E250" t="s">
        <v>495</v>
      </c>
    </row>
    <row r="251" spans="5:26" x14ac:dyDescent="0.15">
      <c r="E251" t="s">
        <v>31</v>
      </c>
      <c r="P251" t="s">
        <v>498</v>
      </c>
      <c r="Q251" t="s">
        <v>499</v>
      </c>
      <c r="R251" t="s">
        <v>500</v>
      </c>
      <c r="S251" t="s">
        <v>501</v>
      </c>
      <c r="T251" t="s">
        <v>502</v>
      </c>
      <c r="U251" t="s">
        <v>503</v>
      </c>
      <c r="V251" t="s">
        <v>504</v>
      </c>
    </row>
    <row r="252" spans="5:26" x14ac:dyDescent="0.15">
      <c r="E252" t="s">
        <v>505</v>
      </c>
      <c r="P252">
        <v>12074</v>
      </c>
      <c r="Q252" s="509">
        <f>ROUND(Z252,2)</f>
        <v>3.92</v>
      </c>
      <c r="R252">
        <v>0</v>
      </c>
      <c r="S252">
        <v>0</v>
      </c>
      <c r="T252">
        <v>0</v>
      </c>
      <c r="U252">
        <v>-5.9102124361547794</v>
      </c>
      <c r="V252">
        <v>12074</v>
      </c>
      <c r="Z252">
        <v>3.923</v>
      </c>
    </row>
    <row r="253" spans="5:26" x14ac:dyDescent="0.15">
      <c r="E253" t="s">
        <v>505</v>
      </c>
      <c r="P253">
        <v>380</v>
      </c>
      <c r="Q253" s="509">
        <f t="shared" ref="Q253:Q275" si="6">ROUND(Z253,2)</f>
        <v>0.26</v>
      </c>
      <c r="R253">
        <v>0</v>
      </c>
      <c r="S253">
        <v>0</v>
      </c>
      <c r="T253">
        <v>0</v>
      </c>
      <c r="U253">
        <v>-0.17082283234442919</v>
      </c>
      <c r="V253">
        <v>380</v>
      </c>
      <c r="Z253">
        <v>0.26100000000000001</v>
      </c>
    </row>
    <row r="254" spans="5:26" x14ac:dyDescent="0.15">
      <c r="E254" t="s">
        <v>506</v>
      </c>
      <c r="P254">
        <v>90351</v>
      </c>
      <c r="Q254" s="509">
        <f t="shared" si="6"/>
        <v>32.450000000000003</v>
      </c>
      <c r="R254">
        <v>3.9396436499268613E-2</v>
      </c>
      <c r="S254">
        <v>4.5910510801179034E-2</v>
      </c>
      <c r="T254">
        <v>17704</v>
      </c>
      <c r="U254">
        <v>0</v>
      </c>
      <c r="V254">
        <v>88850</v>
      </c>
      <c r="Z254">
        <v>32.451000000000001</v>
      </c>
    </row>
    <row r="255" spans="5:26" x14ac:dyDescent="0.15">
      <c r="E255" t="s">
        <v>507</v>
      </c>
      <c r="P255">
        <v>95</v>
      </c>
      <c r="Q255" s="509">
        <f t="shared" si="6"/>
        <v>0.24</v>
      </c>
      <c r="R255">
        <v>5.0568471067368066E-2</v>
      </c>
      <c r="S255">
        <v>5.0568471067368066E-2</v>
      </c>
      <c r="T255">
        <v>19</v>
      </c>
      <c r="U255">
        <v>0.411644760213143</v>
      </c>
      <c r="V255">
        <v>94</v>
      </c>
      <c r="Z255">
        <v>0.24299999999999999</v>
      </c>
    </row>
    <row r="256" spans="5:26" x14ac:dyDescent="0.15">
      <c r="E256" t="s">
        <v>508</v>
      </c>
      <c r="P256">
        <v>6755</v>
      </c>
      <c r="Q256" s="509">
        <f t="shared" si="6"/>
        <v>10.67</v>
      </c>
      <c r="R256">
        <v>4.410020299850808E-2</v>
      </c>
      <c r="S256">
        <v>3.7698845064284142E-2</v>
      </c>
      <c r="T256">
        <v>1231</v>
      </c>
      <c r="U256">
        <v>23.800000000000011</v>
      </c>
      <c r="V256">
        <v>6673</v>
      </c>
      <c r="Z256">
        <v>10.664999999999999</v>
      </c>
    </row>
    <row r="257" spans="5:26" x14ac:dyDescent="0.15">
      <c r="E257" t="s">
        <v>509</v>
      </c>
      <c r="P257">
        <f>34191-15</f>
        <v>34176</v>
      </c>
      <c r="Q257" s="509">
        <f>ROUND(Z257,2)-0.08</f>
        <v>192.38</v>
      </c>
      <c r="R257">
        <v>2.5124444257836373E-2</v>
      </c>
      <c r="S257">
        <v>2.2921843250480103E-2</v>
      </c>
      <c r="T257">
        <v>0</v>
      </c>
      <c r="U257">
        <v>-4.9999999999727152E-2</v>
      </c>
      <c r="V257">
        <f>33516-15</f>
        <v>33501</v>
      </c>
      <c r="Z257">
        <v>192.46100000000001</v>
      </c>
    </row>
    <row r="258" spans="5:26" x14ac:dyDescent="0.15">
      <c r="E258" t="s">
        <v>510</v>
      </c>
      <c r="P258">
        <v>11</v>
      </c>
      <c r="Q258" s="509">
        <v>0.08</v>
      </c>
      <c r="R258">
        <v>3.4273318872017351E-2</v>
      </c>
      <c r="S258">
        <v>0.11676646706586831</v>
      </c>
      <c r="T258">
        <v>60</v>
      </c>
      <c r="U258">
        <v>-0.43999999999999995</v>
      </c>
      <c r="V258">
        <v>11</v>
      </c>
    </row>
    <row r="259" spans="5:26" x14ac:dyDescent="0.15">
      <c r="E259" t="s">
        <v>87</v>
      </c>
      <c r="P259">
        <v>4</v>
      </c>
      <c r="Q259" s="509">
        <f t="shared" si="6"/>
        <v>0</v>
      </c>
      <c r="R259">
        <v>9.0468497576736667E-2</v>
      </c>
      <c r="S259">
        <v>0.44905146549734604</v>
      </c>
      <c r="T259">
        <v>16</v>
      </c>
      <c r="U259">
        <v>0</v>
      </c>
      <c r="V259">
        <v>4</v>
      </c>
    </row>
    <row r="260" spans="5:26" x14ac:dyDescent="0.15">
      <c r="E260" t="s">
        <v>511</v>
      </c>
      <c r="P260">
        <v>2473</v>
      </c>
      <c r="Q260" s="509">
        <f t="shared" si="6"/>
        <v>6.57</v>
      </c>
      <c r="R260">
        <v>3.7224858265468438E-2</v>
      </c>
      <c r="S260">
        <v>1.7832647462277067E-2</v>
      </c>
      <c r="T260">
        <v>348</v>
      </c>
      <c r="U260">
        <v>4.5999999999999943</v>
      </c>
      <c r="V260">
        <v>2452</v>
      </c>
      <c r="Z260">
        <v>6.5679999999999996</v>
      </c>
    </row>
    <row r="261" spans="5:26" x14ac:dyDescent="0.15">
      <c r="E261" t="s">
        <v>12</v>
      </c>
      <c r="P261">
        <v>884</v>
      </c>
      <c r="Q261" s="509">
        <f t="shared" si="6"/>
        <v>4.47</v>
      </c>
      <c r="R261">
        <v>6.1894621144466581E-2</v>
      </c>
      <c r="S261">
        <v>0.13156074200297913</v>
      </c>
      <c r="T261">
        <v>1034</v>
      </c>
      <c r="U261">
        <v>-37.329999999999984</v>
      </c>
      <c r="V261">
        <v>862</v>
      </c>
      <c r="Z261">
        <v>4.468</v>
      </c>
    </row>
    <row r="262" spans="5:26" x14ac:dyDescent="0.15">
      <c r="E262" t="s">
        <v>12</v>
      </c>
      <c r="P262">
        <v>618</v>
      </c>
      <c r="Q262" s="509">
        <f t="shared" si="6"/>
        <v>2.91</v>
      </c>
      <c r="R262">
        <v>5.4314891706879136E-2</v>
      </c>
      <c r="S262">
        <v>5.4314891706879101E-2</v>
      </c>
      <c r="T262">
        <v>129</v>
      </c>
      <c r="U262">
        <v>24.029459137479137</v>
      </c>
      <c r="V262">
        <v>596</v>
      </c>
      <c r="Z262">
        <v>2.9119999999999999</v>
      </c>
    </row>
    <row r="263" spans="5:26" x14ac:dyDescent="0.15">
      <c r="E263" t="s">
        <v>12</v>
      </c>
      <c r="P263">
        <v>0</v>
      </c>
      <c r="Q263" s="509">
        <f>ROUND(Z263,2)</f>
        <v>0</v>
      </c>
    </row>
    <row r="264" spans="5:26" x14ac:dyDescent="0.15">
      <c r="E264" t="s">
        <v>15</v>
      </c>
      <c r="P264">
        <v>100</v>
      </c>
      <c r="Q264" s="509">
        <f t="shared" si="6"/>
        <v>0.38</v>
      </c>
      <c r="R264">
        <v>0.15315739015610585</v>
      </c>
      <c r="S264">
        <v>8.1579918789221287E-2</v>
      </c>
      <c r="T264">
        <v>0</v>
      </c>
      <c r="U264">
        <v>0</v>
      </c>
      <c r="V264">
        <v>100</v>
      </c>
      <c r="Z264">
        <v>0.38</v>
      </c>
    </row>
    <row r="265" spans="5:26" x14ac:dyDescent="0.15">
      <c r="E265" t="s">
        <v>177</v>
      </c>
      <c r="P265">
        <f>SUM(P252:P264)</f>
        <v>147921</v>
      </c>
      <c r="Q265">
        <f>SUM(Q252:Q264)</f>
        <v>254.33</v>
      </c>
      <c r="R265">
        <v>3.3511985426743766E-2</v>
      </c>
      <c r="S265">
        <v>3.583770608468613E-2</v>
      </c>
      <c r="T265">
        <v>20541</v>
      </c>
      <c r="U265">
        <v>8.940068629193366</v>
      </c>
      <c r="V265">
        <f>SUM(V252:V264)</f>
        <v>145597</v>
      </c>
      <c r="Z265">
        <v>254.33200000000002</v>
      </c>
    </row>
    <row r="266" spans="5:26" x14ac:dyDescent="0.15">
      <c r="Q266" s="509">
        <f t="shared" si="6"/>
        <v>0</v>
      </c>
    </row>
    <row r="267" spans="5:26" x14ac:dyDescent="0.15">
      <c r="E267" t="s">
        <v>16</v>
      </c>
      <c r="P267">
        <v>12</v>
      </c>
      <c r="Q267" s="509">
        <f t="shared" si="6"/>
        <v>8.7799999999999994</v>
      </c>
      <c r="R267">
        <v>6.2827225130890049E-2</v>
      </c>
      <c r="S267">
        <v>6.4107398748020211E-2</v>
      </c>
      <c r="T267">
        <v>0</v>
      </c>
      <c r="U267">
        <v>-2.2999999999999829</v>
      </c>
      <c r="V267">
        <v>12</v>
      </c>
      <c r="Z267">
        <v>8.7840000000000007</v>
      </c>
    </row>
    <row r="268" spans="5:26" x14ac:dyDescent="0.15">
      <c r="E268" t="s">
        <v>515</v>
      </c>
      <c r="P268">
        <v>28</v>
      </c>
      <c r="Q268" s="509">
        <f t="shared" si="6"/>
        <v>96.88</v>
      </c>
      <c r="R268">
        <v>5.4816391697711547E-2</v>
      </c>
      <c r="S268">
        <v>5.9405940594059348E-2</v>
      </c>
      <c r="T268">
        <v>77</v>
      </c>
      <c r="U268">
        <v>0</v>
      </c>
      <c r="V268">
        <v>26</v>
      </c>
      <c r="Z268">
        <v>96.875</v>
      </c>
    </row>
    <row r="269" spans="5:26" x14ac:dyDescent="0.15">
      <c r="E269" t="s">
        <v>516</v>
      </c>
      <c r="P269">
        <v>5</v>
      </c>
      <c r="Q269" s="509">
        <f t="shared" si="6"/>
        <v>0.14000000000000001</v>
      </c>
      <c r="R269">
        <v>5.9304703476482618E-2</v>
      </c>
      <c r="S269">
        <v>-3.3887549181368215E-2</v>
      </c>
      <c r="T269">
        <v>-30</v>
      </c>
      <c r="U269">
        <v>8.980000000000004</v>
      </c>
      <c r="V269">
        <v>5</v>
      </c>
      <c r="Z269">
        <v>0.14000000000000001</v>
      </c>
    </row>
    <row r="270" spans="5:26" x14ac:dyDescent="0.15">
      <c r="E270" t="s">
        <v>517</v>
      </c>
      <c r="P270">
        <v>6</v>
      </c>
      <c r="Q270" s="509">
        <f t="shared" si="6"/>
        <v>0.56000000000000005</v>
      </c>
      <c r="R270">
        <v>0.16109422492401215</v>
      </c>
      <c r="S270">
        <v>0.11334904649667879</v>
      </c>
      <c r="T270">
        <v>12</v>
      </c>
      <c r="U270">
        <v>4.0300000000000011</v>
      </c>
      <c r="V270">
        <v>6</v>
      </c>
      <c r="Z270">
        <v>0.56000000000000005</v>
      </c>
    </row>
    <row r="271" spans="5:26" x14ac:dyDescent="0.15">
      <c r="E271" t="s">
        <v>518</v>
      </c>
      <c r="P271">
        <v>14</v>
      </c>
      <c r="Q271" s="509">
        <f t="shared" si="6"/>
        <v>5.77</v>
      </c>
      <c r="R271">
        <v>5.6521739130434782E-2</v>
      </c>
      <c r="S271">
        <v>3.8643041581337398E-2</v>
      </c>
      <c r="T271">
        <v>12</v>
      </c>
      <c r="U271">
        <v>0</v>
      </c>
      <c r="V271">
        <v>14</v>
      </c>
      <c r="Z271">
        <v>5.7649999999999997</v>
      </c>
    </row>
    <row r="272" spans="5:26" x14ac:dyDescent="0.15">
      <c r="E272" t="s">
        <v>312</v>
      </c>
      <c r="Q272" s="509">
        <f t="shared" si="6"/>
        <v>0</v>
      </c>
      <c r="R272">
        <v>0.11926605504587157</v>
      </c>
      <c r="S272">
        <v>2.68276324614353E-2</v>
      </c>
      <c r="T272">
        <v>2</v>
      </c>
      <c r="U272">
        <v>-0.41999999999999993</v>
      </c>
    </row>
    <row r="273" spans="5:26" x14ac:dyDescent="0.15">
      <c r="E273" t="s">
        <v>313</v>
      </c>
      <c r="P273">
        <v>2</v>
      </c>
      <c r="Q273" s="509">
        <f t="shared" si="6"/>
        <v>0.94</v>
      </c>
      <c r="R273">
        <v>7.2463768115942032E-2</v>
      </c>
      <c r="S273">
        <v>0.10079193664506829</v>
      </c>
      <c r="T273">
        <v>0</v>
      </c>
      <c r="U273">
        <v>0</v>
      </c>
      <c r="V273">
        <v>2</v>
      </c>
      <c r="Z273">
        <v>0.94199999999999995</v>
      </c>
    </row>
    <row r="274" spans="5:26" x14ac:dyDescent="0.15">
      <c r="E274" t="s">
        <v>519</v>
      </c>
      <c r="P274">
        <f>SUM(P267:P273)</f>
        <v>67</v>
      </c>
      <c r="Q274">
        <f>SUM(Q267:Q273)</f>
        <v>113.07</v>
      </c>
      <c r="R274">
        <v>6.7550050410485382E-2</v>
      </c>
      <c r="S274">
        <v>5.5564815696732835E-2</v>
      </c>
      <c r="T274">
        <v>73</v>
      </c>
      <c r="U274">
        <v>10.290000000000022</v>
      </c>
      <c r="V274">
        <f>SUM(V267:V273)</f>
        <v>65</v>
      </c>
      <c r="Z274">
        <v>113.066</v>
      </c>
    </row>
    <row r="275" spans="5:26" x14ac:dyDescent="0.15">
      <c r="Q275" s="509">
        <f t="shared" si="6"/>
        <v>0</v>
      </c>
    </row>
    <row r="276" spans="5:26" ht="15" x14ac:dyDescent="0.2">
      <c r="E276" s="1181" t="s">
        <v>527</v>
      </c>
      <c r="P276" s="1181">
        <f>+P265+P274</f>
        <v>147988</v>
      </c>
      <c r="Q276" s="1184">
        <f>+Q265+Q274</f>
        <v>367.4</v>
      </c>
      <c r="R276" s="1181">
        <v>3.3545079215309338E-2</v>
      </c>
      <c r="S276" s="1181">
        <v>3.9896993608840685E-2</v>
      </c>
      <c r="T276" s="1181">
        <v>20614</v>
      </c>
      <c r="U276" s="1181">
        <v>19.23006862919339</v>
      </c>
      <c r="V276" s="1181">
        <f>+V265+V274</f>
        <v>145662</v>
      </c>
      <c r="Z276">
        <v>367.39800000000002</v>
      </c>
    </row>
    <row r="277" spans="5:26" x14ac:dyDescent="0.15">
      <c r="Q277">
        <f>ROUND(Z277,2)</f>
        <v>0</v>
      </c>
    </row>
    <row r="278" spans="5:26" x14ac:dyDescent="0.15">
      <c r="P278">
        <v>2660337</v>
      </c>
      <c r="Q278">
        <f>ROUND(Z278,2)</f>
        <v>0</v>
      </c>
      <c r="R278">
        <v>4.2724128382275385E-2</v>
      </c>
      <c r="S278">
        <v>5.6374643771060884E-2</v>
      </c>
      <c r="T278">
        <v>20614</v>
      </c>
      <c r="U278">
        <v>25.190281065347897</v>
      </c>
      <c r="V278">
        <v>2605839</v>
      </c>
    </row>
    <row r="279" spans="5:26" x14ac:dyDescent="0.15">
      <c r="Q279">
        <f>ROUND(Z279,2)</f>
        <v>0</v>
      </c>
    </row>
    <row r="280" spans="5:26" x14ac:dyDescent="0.15">
      <c r="P280">
        <v>1029991</v>
      </c>
      <c r="Q280">
        <f>ROUND(Z280,2)</f>
        <v>0</v>
      </c>
      <c r="R280">
        <v>1.0567885245579953E-2</v>
      </c>
      <c r="S280">
        <v>2.135201031523775E-2</v>
      </c>
      <c r="T280">
        <v>0</v>
      </c>
      <c r="U280">
        <v>-5.9602124361545066</v>
      </c>
      <c r="V280">
        <v>1024606</v>
      </c>
    </row>
    <row r="281" spans="5:26" x14ac:dyDescent="0.15">
      <c r="P281">
        <v>1029991</v>
      </c>
      <c r="Q281">
        <f>ROUND(Z281,2)</f>
        <v>0</v>
      </c>
      <c r="R281">
        <v>1.0567885245579953E-2</v>
      </c>
      <c r="S281">
        <v>2.135201031523799E-2</v>
      </c>
      <c r="T281">
        <v>0</v>
      </c>
      <c r="U281">
        <v>-5.9602124361545066</v>
      </c>
      <c r="V281">
        <v>1024606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R121"/>
  <sheetViews>
    <sheetView view="pageBreakPreview" topLeftCell="A64" zoomScale="60" zoomScaleNormal="75" workbookViewId="0">
      <selection activeCell="A3" sqref="A3:R117"/>
    </sheetView>
  </sheetViews>
  <sheetFormatPr defaultRowHeight="10.5" x14ac:dyDescent="0.1"/>
  <cols>
    <col min="1" max="1" width="11.32421875" style="1256" customWidth="1"/>
    <col min="2" max="2" width="32.36328125" style="1256" customWidth="1"/>
    <col min="3" max="3" width="35.46484375" style="1256" bestFit="1" customWidth="1"/>
    <col min="4" max="4" width="7.68359375" style="1256" customWidth="1"/>
    <col min="5" max="5" width="17.6640625" style="1256" customWidth="1"/>
    <col min="6" max="6" width="10.3828125" style="1256" customWidth="1"/>
    <col min="7" max="7" width="11.4609375" style="1256" customWidth="1"/>
    <col min="8" max="9" width="30.609375" style="1256" customWidth="1"/>
    <col min="10" max="10" width="10.3828125" style="1256" customWidth="1"/>
    <col min="11" max="11" width="17.6640625" style="1256" customWidth="1"/>
    <col min="12" max="12" width="10.3828125" style="1256" customWidth="1"/>
    <col min="13" max="13" width="11.32421875" style="1256" customWidth="1"/>
    <col min="14" max="15" width="30.74609375" style="1256" customWidth="1"/>
    <col min="16" max="16" width="7.68359375" style="1256" customWidth="1"/>
    <col min="17" max="17" width="17.6640625" style="1256" customWidth="1"/>
    <col min="18" max="18" width="10.3828125" style="1256" customWidth="1"/>
    <col min="19" max="19" width="5.52734375" style="1256" customWidth="1"/>
    <col min="20" max="155" width="8.76171875" style="1256"/>
    <col min="156" max="156" width="11.32421875" style="1256" customWidth="1"/>
    <col min="157" max="157" width="32.09375" style="1256" customWidth="1"/>
    <col min="158" max="158" width="17.39453125" style="1256" customWidth="1"/>
    <col min="159" max="159" width="10.24609375" style="1256" customWidth="1"/>
    <col min="160" max="160" width="19.8203125" style="1256" customWidth="1"/>
    <col min="161" max="161" width="10.3828125" style="1256" customWidth="1"/>
    <col min="162" max="162" width="19.41796875" style="1256" customWidth="1"/>
    <col min="163" max="163" width="10.3828125" style="1256" customWidth="1"/>
    <col min="164" max="164" width="9.16796875" style="1256" customWidth="1"/>
    <col min="165" max="165" width="11.0546875" style="1256" customWidth="1"/>
    <col min="166" max="411" width="8.76171875" style="1256"/>
    <col min="412" max="412" width="11.32421875" style="1256" customWidth="1"/>
    <col min="413" max="413" width="32.09375" style="1256" customWidth="1"/>
    <col min="414" max="414" width="17.39453125" style="1256" customWidth="1"/>
    <col min="415" max="415" width="10.24609375" style="1256" customWidth="1"/>
    <col min="416" max="416" width="19.8203125" style="1256" customWidth="1"/>
    <col min="417" max="417" width="10.3828125" style="1256" customWidth="1"/>
    <col min="418" max="418" width="19.41796875" style="1256" customWidth="1"/>
    <col min="419" max="419" width="10.3828125" style="1256" customWidth="1"/>
    <col min="420" max="420" width="9.16796875" style="1256" customWidth="1"/>
    <col min="421" max="421" width="11.0546875" style="1256" customWidth="1"/>
    <col min="422" max="667" width="8.76171875" style="1256"/>
    <col min="668" max="668" width="11.32421875" style="1256" customWidth="1"/>
    <col min="669" max="669" width="32.09375" style="1256" customWidth="1"/>
    <col min="670" max="670" width="17.39453125" style="1256" customWidth="1"/>
    <col min="671" max="671" width="10.24609375" style="1256" customWidth="1"/>
    <col min="672" max="672" width="19.8203125" style="1256" customWidth="1"/>
    <col min="673" max="673" width="10.3828125" style="1256" customWidth="1"/>
    <col min="674" max="674" width="19.41796875" style="1256" customWidth="1"/>
    <col min="675" max="675" width="10.3828125" style="1256" customWidth="1"/>
    <col min="676" max="676" width="9.16796875" style="1256" customWidth="1"/>
    <col min="677" max="677" width="11.0546875" style="1256" customWidth="1"/>
    <col min="678" max="923" width="8.76171875" style="1256"/>
    <col min="924" max="924" width="11.32421875" style="1256" customWidth="1"/>
    <col min="925" max="925" width="32.09375" style="1256" customWidth="1"/>
    <col min="926" max="926" width="17.39453125" style="1256" customWidth="1"/>
    <col min="927" max="927" width="10.24609375" style="1256" customWidth="1"/>
    <col min="928" max="928" width="19.8203125" style="1256" customWidth="1"/>
    <col min="929" max="929" width="10.3828125" style="1256" customWidth="1"/>
    <col min="930" max="930" width="19.41796875" style="1256" customWidth="1"/>
    <col min="931" max="931" width="10.3828125" style="1256" customWidth="1"/>
    <col min="932" max="932" width="9.16796875" style="1256" customWidth="1"/>
    <col min="933" max="933" width="11.0546875" style="1256" customWidth="1"/>
    <col min="934" max="1179" width="8.76171875" style="1256"/>
    <col min="1180" max="1180" width="11.32421875" style="1256" customWidth="1"/>
    <col min="1181" max="1181" width="32.09375" style="1256" customWidth="1"/>
    <col min="1182" max="1182" width="17.39453125" style="1256" customWidth="1"/>
    <col min="1183" max="1183" width="10.24609375" style="1256" customWidth="1"/>
    <col min="1184" max="1184" width="19.8203125" style="1256" customWidth="1"/>
    <col min="1185" max="1185" width="10.3828125" style="1256" customWidth="1"/>
    <col min="1186" max="1186" width="19.41796875" style="1256" customWidth="1"/>
    <col min="1187" max="1187" width="10.3828125" style="1256" customWidth="1"/>
    <col min="1188" max="1188" width="9.16796875" style="1256" customWidth="1"/>
    <col min="1189" max="1189" width="11.0546875" style="1256" customWidth="1"/>
    <col min="1190" max="1435" width="8.76171875" style="1256"/>
    <col min="1436" max="1436" width="11.32421875" style="1256" customWidth="1"/>
    <col min="1437" max="1437" width="32.09375" style="1256" customWidth="1"/>
    <col min="1438" max="1438" width="17.39453125" style="1256" customWidth="1"/>
    <col min="1439" max="1439" width="10.24609375" style="1256" customWidth="1"/>
    <col min="1440" max="1440" width="19.8203125" style="1256" customWidth="1"/>
    <col min="1441" max="1441" width="10.3828125" style="1256" customWidth="1"/>
    <col min="1442" max="1442" width="19.41796875" style="1256" customWidth="1"/>
    <col min="1443" max="1443" width="10.3828125" style="1256" customWidth="1"/>
    <col min="1444" max="1444" width="9.16796875" style="1256" customWidth="1"/>
    <col min="1445" max="1445" width="11.0546875" style="1256" customWidth="1"/>
    <col min="1446" max="1691" width="8.76171875" style="1256"/>
    <col min="1692" max="1692" width="11.32421875" style="1256" customWidth="1"/>
    <col min="1693" max="1693" width="32.09375" style="1256" customWidth="1"/>
    <col min="1694" max="1694" width="17.39453125" style="1256" customWidth="1"/>
    <col min="1695" max="1695" width="10.24609375" style="1256" customWidth="1"/>
    <col min="1696" max="1696" width="19.8203125" style="1256" customWidth="1"/>
    <col min="1697" max="1697" width="10.3828125" style="1256" customWidth="1"/>
    <col min="1698" max="1698" width="19.41796875" style="1256" customWidth="1"/>
    <col min="1699" max="1699" width="10.3828125" style="1256" customWidth="1"/>
    <col min="1700" max="1700" width="9.16796875" style="1256" customWidth="1"/>
    <col min="1701" max="1701" width="11.0546875" style="1256" customWidth="1"/>
    <col min="1702" max="1947" width="8.76171875" style="1256"/>
    <col min="1948" max="1948" width="11.32421875" style="1256" customWidth="1"/>
    <col min="1949" max="1949" width="32.09375" style="1256" customWidth="1"/>
    <col min="1950" max="1950" width="17.39453125" style="1256" customWidth="1"/>
    <col min="1951" max="1951" width="10.24609375" style="1256" customWidth="1"/>
    <col min="1952" max="1952" width="19.8203125" style="1256" customWidth="1"/>
    <col min="1953" max="1953" width="10.3828125" style="1256" customWidth="1"/>
    <col min="1954" max="1954" width="19.41796875" style="1256" customWidth="1"/>
    <col min="1955" max="1955" width="10.3828125" style="1256" customWidth="1"/>
    <col min="1956" max="1956" width="9.16796875" style="1256" customWidth="1"/>
    <col min="1957" max="1957" width="11.0546875" style="1256" customWidth="1"/>
    <col min="1958" max="2203" width="8.76171875" style="1256"/>
    <col min="2204" max="2204" width="11.32421875" style="1256" customWidth="1"/>
    <col min="2205" max="2205" width="32.09375" style="1256" customWidth="1"/>
    <col min="2206" max="2206" width="17.39453125" style="1256" customWidth="1"/>
    <col min="2207" max="2207" width="10.24609375" style="1256" customWidth="1"/>
    <col min="2208" max="2208" width="19.8203125" style="1256" customWidth="1"/>
    <col min="2209" max="2209" width="10.3828125" style="1256" customWidth="1"/>
    <col min="2210" max="2210" width="19.41796875" style="1256" customWidth="1"/>
    <col min="2211" max="2211" width="10.3828125" style="1256" customWidth="1"/>
    <col min="2212" max="2212" width="9.16796875" style="1256" customWidth="1"/>
    <col min="2213" max="2213" width="11.0546875" style="1256" customWidth="1"/>
    <col min="2214" max="2459" width="8.76171875" style="1256"/>
    <col min="2460" max="2460" width="11.32421875" style="1256" customWidth="1"/>
    <col min="2461" max="2461" width="32.09375" style="1256" customWidth="1"/>
    <col min="2462" max="2462" width="17.39453125" style="1256" customWidth="1"/>
    <col min="2463" max="2463" width="10.24609375" style="1256" customWidth="1"/>
    <col min="2464" max="2464" width="19.8203125" style="1256" customWidth="1"/>
    <col min="2465" max="2465" width="10.3828125" style="1256" customWidth="1"/>
    <col min="2466" max="2466" width="19.41796875" style="1256" customWidth="1"/>
    <col min="2467" max="2467" width="10.3828125" style="1256" customWidth="1"/>
    <col min="2468" max="2468" width="9.16796875" style="1256" customWidth="1"/>
    <col min="2469" max="2469" width="11.0546875" style="1256" customWidth="1"/>
    <col min="2470" max="2715" width="8.76171875" style="1256"/>
    <col min="2716" max="2716" width="11.32421875" style="1256" customWidth="1"/>
    <col min="2717" max="2717" width="32.09375" style="1256" customWidth="1"/>
    <col min="2718" max="2718" width="17.39453125" style="1256" customWidth="1"/>
    <col min="2719" max="2719" width="10.24609375" style="1256" customWidth="1"/>
    <col min="2720" max="2720" width="19.8203125" style="1256" customWidth="1"/>
    <col min="2721" max="2721" width="10.3828125" style="1256" customWidth="1"/>
    <col min="2722" max="2722" width="19.41796875" style="1256" customWidth="1"/>
    <col min="2723" max="2723" width="10.3828125" style="1256" customWidth="1"/>
    <col min="2724" max="2724" width="9.16796875" style="1256" customWidth="1"/>
    <col min="2725" max="2725" width="11.0546875" style="1256" customWidth="1"/>
    <col min="2726" max="2971" width="8.76171875" style="1256"/>
    <col min="2972" max="2972" width="11.32421875" style="1256" customWidth="1"/>
    <col min="2973" max="2973" width="32.09375" style="1256" customWidth="1"/>
    <col min="2974" max="2974" width="17.39453125" style="1256" customWidth="1"/>
    <col min="2975" max="2975" width="10.24609375" style="1256" customWidth="1"/>
    <col min="2976" max="2976" width="19.8203125" style="1256" customWidth="1"/>
    <col min="2977" max="2977" width="10.3828125" style="1256" customWidth="1"/>
    <col min="2978" max="2978" width="19.41796875" style="1256" customWidth="1"/>
    <col min="2979" max="2979" width="10.3828125" style="1256" customWidth="1"/>
    <col min="2980" max="2980" width="9.16796875" style="1256" customWidth="1"/>
    <col min="2981" max="2981" width="11.0546875" style="1256" customWidth="1"/>
    <col min="2982" max="3227" width="8.76171875" style="1256"/>
    <col min="3228" max="3228" width="11.32421875" style="1256" customWidth="1"/>
    <col min="3229" max="3229" width="32.09375" style="1256" customWidth="1"/>
    <col min="3230" max="3230" width="17.39453125" style="1256" customWidth="1"/>
    <col min="3231" max="3231" width="10.24609375" style="1256" customWidth="1"/>
    <col min="3232" max="3232" width="19.8203125" style="1256" customWidth="1"/>
    <col min="3233" max="3233" width="10.3828125" style="1256" customWidth="1"/>
    <col min="3234" max="3234" width="19.41796875" style="1256" customWidth="1"/>
    <col min="3235" max="3235" width="10.3828125" style="1256" customWidth="1"/>
    <col min="3236" max="3236" width="9.16796875" style="1256" customWidth="1"/>
    <col min="3237" max="3237" width="11.0546875" style="1256" customWidth="1"/>
    <col min="3238" max="3483" width="8.76171875" style="1256"/>
    <col min="3484" max="3484" width="11.32421875" style="1256" customWidth="1"/>
    <col min="3485" max="3485" width="32.09375" style="1256" customWidth="1"/>
    <col min="3486" max="3486" width="17.39453125" style="1256" customWidth="1"/>
    <col min="3487" max="3487" width="10.24609375" style="1256" customWidth="1"/>
    <col min="3488" max="3488" width="19.8203125" style="1256" customWidth="1"/>
    <col min="3489" max="3489" width="10.3828125" style="1256" customWidth="1"/>
    <col min="3490" max="3490" width="19.41796875" style="1256" customWidth="1"/>
    <col min="3491" max="3491" width="10.3828125" style="1256" customWidth="1"/>
    <col min="3492" max="3492" width="9.16796875" style="1256" customWidth="1"/>
    <col min="3493" max="3493" width="11.0546875" style="1256" customWidth="1"/>
    <col min="3494" max="3739" width="8.76171875" style="1256"/>
    <col min="3740" max="3740" width="11.32421875" style="1256" customWidth="1"/>
    <col min="3741" max="3741" width="32.09375" style="1256" customWidth="1"/>
    <col min="3742" max="3742" width="17.39453125" style="1256" customWidth="1"/>
    <col min="3743" max="3743" width="10.24609375" style="1256" customWidth="1"/>
    <col min="3744" max="3744" width="19.8203125" style="1256" customWidth="1"/>
    <col min="3745" max="3745" width="10.3828125" style="1256" customWidth="1"/>
    <col min="3746" max="3746" width="19.41796875" style="1256" customWidth="1"/>
    <col min="3747" max="3747" width="10.3828125" style="1256" customWidth="1"/>
    <col min="3748" max="3748" width="9.16796875" style="1256" customWidth="1"/>
    <col min="3749" max="3749" width="11.0546875" style="1256" customWidth="1"/>
    <col min="3750" max="3995" width="8.76171875" style="1256"/>
    <col min="3996" max="3996" width="11.32421875" style="1256" customWidth="1"/>
    <col min="3997" max="3997" width="32.09375" style="1256" customWidth="1"/>
    <col min="3998" max="3998" width="17.39453125" style="1256" customWidth="1"/>
    <col min="3999" max="3999" width="10.24609375" style="1256" customWidth="1"/>
    <col min="4000" max="4000" width="19.8203125" style="1256" customWidth="1"/>
    <col min="4001" max="4001" width="10.3828125" style="1256" customWidth="1"/>
    <col min="4002" max="4002" width="19.41796875" style="1256" customWidth="1"/>
    <col min="4003" max="4003" width="10.3828125" style="1256" customWidth="1"/>
    <col min="4004" max="4004" width="9.16796875" style="1256" customWidth="1"/>
    <col min="4005" max="4005" width="11.0546875" style="1256" customWidth="1"/>
    <col min="4006" max="4251" width="8.76171875" style="1256"/>
    <col min="4252" max="4252" width="11.32421875" style="1256" customWidth="1"/>
    <col min="4253" max="4253" width="32.09375" style="1256" customWidth="1"/>
    <col min="4254" max="4254" width="17.39453125" style="1256" customWidth="1"/>
    <col min="4255" max="4255" width="10.24609375" style="1256" customWidth="1"/>
    <col min="4256" max="4256" width="19.8203125" style="1256" customWidth="1"/>
    <col min="4257" max="4257" width="10.3828125" style="1256" customWidth="1"/>
    <col min="4258" max="4258" width="19.41796875" style="1256" customWidth="1"/>
    <col min="4259" max="4259" width="10.3828125" style="1256" customWidth="1"/>
    <col min="4260" max="4260" width="9.16796875" style="1256" customWidth="1"/>
    <col min="4261" max="4261" width="11.0546875" style="1256" customWidth="1"/>
    <col min="4262" max="4507" width="8.76171875" style="1256"/>
    <col min="4508" max="4508" width="11.32421875" style="1256" customWidth="1"/>
    <col min="4509" max="4509" width="32.09375" style="1256" customWidth="1"/>
    <col min="4510" max="4510" width="17.39453125" style="1256" customWidth="1"/>
    <col min="4511" max="4511" width="10.24609375" style="1256" customWidth="1"/>
    <col min="4512" max="4512" width="19.8203125" style="1256" customWidth="1"/>
    <col min="4513" max="4513" width="10.3828125" style="1256" customWidth="1"/>
    <col min="4514" max="4514" width="19.41796875" style="1256" customWidth="1"/>
    <col min="4515" max="4515" width="10.3828125" style="1256" customWidth="1"/>
    <col min="4516" max="4516" width="9.16796875" style="1256" customWidth="1"/>
    <col min="4517" max="4517" width="11.0546875" style="1256" customWidth="1"/>
    <col min="4518" max="4763" width="8.76171875" style="1256"/>
    <col min="4764" max="4764" width="11.32421875" style="1256" customWidth="1"/>
    <col min="4765" max="4765" width="32.09375" style="1256" customWidth="1"/>
    <col min="4766" max="4766" width="17.39453125" style="1256" customWidth="1"/>
    <col min="4767" max="4767" width="10.24609375" style="1256" customWidth="1"/>
    <col min="4768" max="4768" width="19.8203125" style="1256" customWidth="1"/>
    <col min="4769" max="4769" width="10.3828125" style="1256" customWidth="1"/>
    <col min="4770" max="4770" width="19.41796875" style="1256" customWidth="1"/>
    <col min="4771" max="4771" width="10.3828125" style="1256" customWidth="1"/>
    <col min="4772" max="4772" width="9.16796875" style="1256" customWidth="1"/>
    <col min="4773" max="4773" width="11.0546875" style="1256" customWidth="1"/>
    <col min="4774" max="5019" width="8.76171875" style="1256"/>
    <col min="5020" max="5020" width="11.32421875" style="1256" customWidth="1"/>
    <col min="5021" max="5021" width="32.09375" style="1256" customWidth="1"/>
    <col min="5022" max="5022" width="17.39453125" style="1256" customWidth="1"/>
    <col min="5023" max="5023" width="10.24609375" style="1256" customWidth="1"/>
    <col min="5024" max="5024" width="19.8203125" style="1256" customWidth="1"/>
    <col min="5025" max="5025" width="10.3828125" style="1256" customWidth="1"/>
    <col min="5026" max="5026" width="19.41796875" style="1256" customWidth="1"/>
    <col min="5027" max="5027" width="10.3828125" style="1256" customWidth="1"/>
    <col min="5028" max="5028" width="9.16796875" style="1256" customWidth="1"/>
    <col min="5029" max="5029" width="11.0546875" style="1256" customWidth="1"/>
    <col min="5030" max="5275" width="8.76171875" style="1256"/>
    <col min="5276" max="5276" width="11.32421875" style="1256" customWidth="1"/>
    <col min="5277" max="5277" width="32.09375" style="1256" customWidth="1"/>
    <col min="5278" max="5278" width="17.39453125" style="1256" customWidth="1"/>
    <col min="5279" max="5279" width="10.24609375" style="1256" customWidth="1"/>
    <col min="5280" max="5280" width="19.8203125" style="1256" customWidth="1"/>
    <col min="5281" max="5281" width="10.3828125" style="1256" customWidth="1"/>
    <col min="5282" max="5282" width="19.41796875" style="1256" customWidth="1"/>
    <col min="5283" max="5283" width="10.3828125" style="1256" customWidth="1"/>
    <col min="5284" max="5284" width="9.16796875" style="1256" customWidth="1"/>
    <col min="5285" max="5285" width="11.0546875" style="1256" customWidth="1"/>
    <col min="5286" max="5531" width="8.76171875" style="1256"/>
    <col min="5532" max="5532" width="11.32421875" style="1256" customWidth="1"/>
    <col min="5533" max="5533" width="32.09375" style="1256" customWidth="1"/>
    <col min="5534" max="5534" width="17.39453125" style="1256" customWidth="1"/>
    <col min="5535" max="5535" width="10.24609375" style="1256" customWidth="1"/>
    <col min="5536" max="5536" width="19.8203125" style="1256" customWidth="1"/>
    <col min="5537" max="5537" width="10.3828125" style="1256" customWidth="1"/>
    <col min="5538" max="5538" width="19.41796875" style="1256" customWidth="1"/>
    <col min="5539" max="5539" width="10.3828125" style="1256" customWidth="1"/>
    <col min="5540" max="5540" width="9.16796875" style="1256" customWidth="1"/>
    <col min="5541" max="5541" width="11.0546875" style="1256" customWidth="1"/>
    <col min="5542" max="5787" width="8.76171875" style="1256"/>
    <col min="5788" max="5788" width="11.32421875" style="1256" customWidth="1"/>
    <col min="5789" max="5789" width="32.09375" style="1256" customWidth="1"/>
    <col min="5790" max="5790" width="17.39453125" style="1256" customWidth="1"/>
    <col min="5791" max="5791" width="10.24609375" style="1256" customWidth="1"/>
    <col min="5792" max="5792" width="19.8203125" style="1256" customWidth="1"/>
    <col min="5793" max="5793" width="10.3828125" style="1256" customWidth="1"/>
    <col min="5794" max="5794" width="19.41796875" style="1256" customWidth="1"/>
    <col min="5795" max="5795" width="10.3828125" style="1256" customWidth="1"/>
    <col min="5796" max="5796" width="9.16796875" style="1256" customWidth="1"/>
    <col min="5797" max="5797" width="11.0546875" style="1256" customWidth="1"/>
    <col min="5798" max="6043" width="8.76171875" style="1256"/>
    <col min="6044" max="6044" width="11.32421875" style="1256" customWidth="1"/>
    <col min="6045" max="6045" width="32.09375" style="1256" customWidth="1"/>
    <col min="6046" max="6046" width="17.39453125" style="1256" customWidth="1"/>
    <col min="6047" max="6047" width="10.24609375" style="1256" customWidth="1"/>
    <col min="6048" max="6048" width="19.8203125" style="1256" customWidth="1"/>
    <col min="6049" max="6049" width="10.3828125" style="1256" customWidth="1"/>
    <col min="6050" max="6050" width="19.41796875" style="1256" customWidth="1"/>
    <col min="6051" max="6051" width="10.3828125" style="1256" customWidth="1"/>
    <col min="6052" max="6052" width="9.16796875" style="1256" customWidth="1"/>
    <col min="6053" max="6053" width="11.0546875" style="1256" customWidth="1"/>
    <col min="6054" max="6299" width="8.76171875" style="1256"/>
    <col min="6300" max="6300" width="11.32421875" style="1256" customWidth="1"/>
    <col min="6301" max="6301" width="32.09375" style="1256" customWidth="1"/>
    <col min="6302" max="6302" width="17.39453125" style="1256" customWidth="1"/>
    <col min="6303" max="6303" width="10.24609375" style="1256" customWidth="1"/>
    <col min="6304" max="6304" width="19.8203125" style="1256" customWidth="1"/>
    <col min="6305" max="6305" width="10.3828125" style="1256" customWidth="1"/>
    <col min="6306" max="6306" width="19.41796875" style="1256" customWidth="1"/>
    <col min="6307" max="6307" width="10.3828125" style="1256" customWidth="1"/>
    <col min="6308" max="6308" width="9.16796875" style="1256" customWidth="1"/>
    <col min="6309" max="6309" width="11.0546875" style="1256" customWidth="1"/>
    <col min="6310" max="6555" width="8.76171875" style="1256"/>
    <col min="6556" max="6556" width="11.32421875" style="1256" customWidth="1"/>
    <col min="6557" max="6557" width="32.09375" style="1256" customWidth="1"/>
    <col min="6558" max="6558" width="17.39453125" style="1256" customWidth="1"/>
    <col min="6559" max="6559" width="10.24609375" style="1256" customWidth="1"/>
    <col min="6560" max="6560" width="19.8203125" style="1256" customWidth="1"/>
    <col min="6561" max="6561" width="10.3828125" style="1256" customWidth="1"/>
    <col min="6562" max="6562" width="19.41796875" style="1256" customWidth="1"/>
    <col min="6563" max="6563" width="10.3828125" style="1256" customWidth="1"/>
    <col min="6564" max="6564" width="9.16796875" style="1256" customWidth="1"/>
    <col min="6565" max="6565" width="11.0546875" style="1256" customWidth="1"/>
    <col min="6566" max="6811" width="8.76171875" style="1256"/>
    <col min="6812" max="6812" width="11.32421875" style="1256" customWidth="1"/>
    <col min="6813" max="6813" width="32.09375" style="1256" customWidth="1"/>
    <col min="6814" max="6814" width="17.39453125" style="1256" customWidth="1"/>
    <col min="6815" max="6815" width="10.24609375" style="1256" customWidth="1"/>
    <col min="6816" max="6816" width="19.8203125" style="1256" customWidth="1"/>
    <col min="6817" max="6817" width="10.3828125" style="1256" customWidth="1"/>
    <col min="6818" max="6818" width="19.41796875" style="1256" customWidth="1"/>
    <col min="6819" max="6819" width="10.3828125" style="1256" customWidth="1"/>
    <col min="6820" max="6820" width="9.16796875" style="1256" customWidth="1"/>
    <col min="6821" max="6821" width="11.0546875" style="1256" customWidth="1"/>
    <col min="6822" max="7067" width="8.76171875" style="1256"/>
    <col min="7068" max="7068" width="11.32421875" style="1256" customWidth="1"/>
    <col min="7069" max="7069" width="32.09375" style="1256" customWidth="1"/>
    <col min="7070" max="7070" width="17.39453125" style="1256" customWidth="1"/>
    <col min="7071" max="7071" width="10.24609375" style="1256" customWidth="1"/>
    <col min="7072" max="7072" width="19.8203125" style="1256" customWidth="1"/>
    <col min="7073" max="7073" width="10.3828125" style="1256" customWidth="1"/>
    <col min="7074" max="7074" width="19.41796875" style="1256" customWidth="1"/>
    <col min="7075" max="7075" width="10.3828125" style="1256" customWidth="1"/>
    <col min="7076" max="7076" width="9.16796875" style="1256" customWidth="1"/>
    <col min="7077" max="7077" width="11.0546875" style="1256" customWidth="1"/>
    <col min="7078" max="7323" width="8.76171875" style="1256"/>
    <col min="7324" max="7324" width="11.32421875" style="1256" customWidth="1"/>
    <col min="7325" max="7325" width="32.09375" style="1256" customWidth="1"/>
    <col min="7326" max="7326" width="17.39453125" style="1256" customWidth="1"/>
    <col min="7327" max="7327" width="10.24609375" style="1256" customWidth="1"/>
    <col min="7328" max="7328" width="19.8203125" style="1256" customWidth="1"/>
    <col min="7329" max="7329" width="10.3828125" style="1256" customWidth="1"/>
    <col min="7330" max="7330" width="19.41796875" style="1256" customWidth="1"/>
    <col min="7331" max="7331" width="10.3828125" style="1256" customWidth="1"/>
    <col min="7332" max="7332" width="9.16796875" style="1256" customWidth="1"/>
    <col min="7333" max="7333" width="11.0546875" style="1256" customWidth="1"/>
    <col min="7334" max="7579" width="8.76171875" style="1256"/>
    <col min="7580" max="7580" width="11.32421875" style="1256" customWidth="1"/>
    <col min="7581" max="7581" width="32.09375" style="1256" customWidth="1"/>
    <col min="7582" max="7582" width="17.39453125" style="1256" customWidth="1"/>
    <col min="7583" max="7583" width="10.24609375" style="1256" customWidth="1"/>
    <col min="7584" max="7584" width="19.8203125" style="1256" customWidth="1"/>
    <col min="7585" max="7585" width="10.3828125" style="1256" customWidth="1"/>
    <col min="7586" max="7586" width="19.41796875" style="1256" customWidth="1"/>
    <col min="7587" max="7587" width="10.3828125" style="1256" customWidth="1"/>
    <col min="7588" max="7588" width="9.16796875" style="1256" customWidth="1"/>
    <col min="7589" max="7589" width="11.0546875" style="1256" customWidth="1"/>
    <col min="7590" max="7835" width="8.76171875" style="1256"/>
    <col min="7836" max="7836" width="11.32421875" style="1256" customWidth="1"/>
    <col min="7837" max="7837" width="32.09375" style="1256" customWidth="1"/>
    <col min="7838" max="7838" width="17.39453125" style="1256" customWidth="1"/>
    <col min="7839" max="7839" width="10.24609375" style="1256" customWidth="1"/>
    <col min="7840" max="7840" width="19.8203125" style="1256" customWidth="1"/>
    <col min="7841" max="7841" width="10.3828125" style="1256" customWidth="1"/>
    <col min="7842" max="7842" width="19.41796875" style="1256" customWidth="1"/>
    <col min="7843" max="7843" width="10.3828125" style="1256" customWidth="1"/>
    <col min="7844" max="7844" width="9.16796875" style="1256" customWidth="1"/>
    <col min="7845" max="7845" width="11.0546875" style="1256" customWidth="1"/>
    <col min="7846" max="8091" width="8.76171875" style="1256"/>
    <col min="8092" max="8092" width="11.32421875" style="1256" customWidth="1"/>
    <col min="8093" max="8093" width="32.09375" style="1256" customWidth="1"/>
    <col min="8094" max="8094" width="17.39453125" style="1256" customWidth="1"/>
    <col min="8095" max="8095" width="10.24609375" style="1256" customWidth="1"/>
    <col min="8096" max="8096" width="19.8203125" style="1256" customWidth="1"/>
    <col min="8097" max="8097" width="10.3828125" style="1256" customWidth="1"/>
    <col min="8098" max="8098" width="19.41796875" style="1256" customWidth="1"/>
    <col min="8099" max="8099" width="10.3828125" style="1256" customWidth="1"/>
    <col min="8100" max="8100" width="9.16796875" style="1256" customWidth="1"/>
    <col min="8101" max="8101" width="11.0546875" style="1256" customWidth="1"/>
    <col min="8102" max="8347" width="8.76171875" style="1256"/>
    <col min="8348" max="8348" width="11.32421875" style="1256" customWidth="1"/>
    <col min="8349" max="8349" width="32.09375" style="1256" customWidth="1"/>
    <col min="8350" max="8350" width="17.39453125" style="1256" customWidth="1"/>
    <col min="8351" max="8351" width="10.24609375" style="1256" customWidth="1"/>
    <col min="8352" max="8352" width="19.8203125" style="1256" customWidth="1"/>
    <col min="8353" max="8353" width="10.3828125" style="1256" customWidth="1"/>
    <col min="8354" max="8354" width="19.41796875" style="1256" customWidth="1"/>
    <col min="8355" max="8355" width="10.3828125" style="1256" customWidth="1"/>
    <col min="8356" max="8356" width="9.16796875" style="1256" customWidth="1"/>
    <col min="8357" max="8357" width="11.0546875" style="1256" customWidth="1"/>
    <col min="8358" max="8603" width="8.76171875" style="1256"/>
    <col min="8604" max="8604" width="11.32421875" style="1256" customWidth="1"/>
    <col min="8605" max="8605" width="32.09375" style="1256" customWidth="1"/>
    <col min="8606" max="8606" width="17.39453125" style="1256" customWidth="1"/>
    <col min="8607" max="8607" width="10.24609375" style="1256" customWidth="1"/>
    <col min="8608" max="8608" width="19.8203125" style="1256" customWidth="1"/>
    <col min="8609" max="8609" width="10.3828125" style="1256" customWidth="1"/>
    <col min="8610" max="8610" width="19.41796875" style="1256" customWidth="1"/>
    <col min="8611" max="8611" width="10.3828125" style="1256" customWidth="1"/>
    <col min="8612" max="8612" width="9.16796875" style="1256" customWidth="1"/>
    <col min="8613" max="8613" width="11.0546875" style="1256" customWidth="1"/>
    <col min="8614" max="8859" width="8.76171875" style="1256"/>
    <col min="8860" max="8860" width="11.32421875" style="1256" customWidth="1"/>
    <col min="8861" max="8861" width="32.09375" style="1256" customWidth="1"/>
    <col min="8862" max="8862" width="17.39453125" style="1256" customWidth="1"/>
    <col min="8863" max="8863" width="10.24609375" style="1256" customWidth="1"/>
    <col min="8864" max="8864" width="19.8203125" style="1256" customWidth="1"/>
    <col min="8865" max="8865" width="10.3828125" style="1256" customWidth="1"/>
    <col min="8866" max="8866" width="19.41796875" style="1256" customWidth="1"/>
    <col min="8867" max="8867" width="10.3828125" style="1256" customWidth="1"/>
    <col min="8868" max="8868" width="9.16796875" style="1256" customWidth="1"/>
    <col min="8869" max="8869" width="11.0546875" style="1256" customWidth="1"/>
    <col min="8870" max="9115" width="8.76171875" style="1256"/>
    <col min="9116" max="9116" width="11.32421875" style="1256" customWidth="1"/>
    <col min="9117" max="9117" width="32.09375" style="1256" customWidth="1"/>
    <col min="9118" max="9118" width="17.39453125" style="1256" customWidth="1"/>
    <col min="9119" max="9119" width="10.24609375" style="1256" customWidth="1"/>
    <col min="9120" max="9120" width="19.8203125" style="1256" customWidth="1"/>
    <col min="9121" max="9121" width="10.3828125" style="1256" customWidth="1"/>
    <col min="9122" max="9122" width="19.41796875" style="1256" customWidth="1"/>
    <col min="9123" max="9123" width="10.3828125" style="1256" customWidth="1"/>
    <col min="9124" max="9124" width="9.16796875" style="1256" customWidth="1"/>
    <col min="9125" max="9125" width="11.0546875" style="1256" customWidth="1"/>
    <col min="9126" max="9371" width="8.76171875" style="1256"/>
    <col min="9372" max="9372" width="11.32421875" style="1256" customWidth="1"/>
    <col min="9373" max="9373" width="32.09375" style="1256" customWidth="1"/>
    <col min="9374" max="9374" width="17.39453125" style="1256" customWidth="1"/>
    <col min="9375" max="9375" width="10.24609375" style="1256" customWidth="1"/>
    <col min="9376" max="9376" width="19.8203125" style="1256" customWidth="1"/>
    <col min="9377" max="9377" width="10.3828125" style="1256" customWidth="1"/>
    <col min="9378" max="9378" width="19.41796875" style="1256" customWidth="1"/>
    <col min="9379" max="9379" width="10.3828125" style="1256" customWidth="1"/>
    <col min="9380" max="9380" width="9.16796875" style="1256" customWidth="1"/>
    <col min="9381" max="9381" width="11.0546875" style="1256" customWidth="1"/>
    <col min="9382" max="9627" width="8.76171875" style="1256"/>
    <col min="9628" max="9628" width="11.32421875" style="1256" customWidth="1"/>
    <col min="9629" max="9629" width="32.09375" style="1256" customWidth="1"/>
    <col min="9630" max="9630" width="17.39453125" style="1256" customWidth="1"/>
    <col min="9631" max="9631" width="10.24609375" style="1256" customWidth="1"/>
    <col min="9632" max="9632" width="19.8203125" style="1256" customWidth="1"/>
    <col min="9633" max="9633" width="10.3828125" style="1256" customWidth="1"/>
    <col min="9634" max="9634" width="19.41796875" style="1256" customWidth="1"/>
    <col min="9635" max="9635" width="10.3828125" style="1256" customWidth="1"/>
    <col min="9636" max="9636" width="9.16796875" style="1256" customWidth="1"/>
    <col min="9637" max="9637" width="11.0546875" style="1256" customWidth="1"/>
    <col min="9638" max="9883" width="8.76171875" style="1256"/>
    <col min="9884" max="9884" width="11.32421875" style="1256" customWidth="1"/>
    <col min="9885" max="9885" width="32.09375" style="1256" customWidth="1"/>
    <col min="9886" max="9886" width="17.39453125" style="1256" customWidth="1"/>
    <col min="9887" max="9887" width="10.24609375" style="1256" customWidth="1"/>
    <col min="9888" max="9888" width="19.8203125" style="1256" customWidth="1"/>
    <col min="9889" max="9889" width="10.3828125" style="1256" customWidth="1"/>
    <col min="9890" max="9890" width="19.41796875" style="1256" customWidth="1"/>
    <col min="9891" max="9891" width="10.3828125" style="1256" customWidth="1"/>
    <col min="9892" max="9892" width="9.16796875" style="1256" customWidth="1"/>
    <col min="9893" max="9893" width="11.0546875" style="1256" customWidth="1"/>
    <col min="9894" max="10139" width="8.76171875" style="1256"/>
    <col min="10140" max="10140" width="11.32421875" style="1256" customWidth="1"/>
    <col min="10141" max="10141" width="32.09375" style="1256" customWidth="1"/>
    <col min="10142" max="10142" width="17.39453125" style="1256" customWidth="1"/>
    <col min="10143" max="10143" width="10.24609375" style="1256" customWidth="1"/>
    <col min="10144" max="10144" width="19.8203125" style="1256" customWidth="1"/>
    <col min="10145" max="10145" width="10.3828125" style="1256" customWidth="1"/>
    <col min="10146" max="10146" width="19.41796875" style="1256" customWidth="1"/>
    <col min="10147" max="10147" width="10.3828125" style="1256" customWidth="1"/>
    <col min="10148" max="10148" width="9.16796875" style="1256" customWidth="1"/>
    <col min="10149" max="10149" width="11.0546875" style="1256" customWidth="1"/>
    <col min="10150" max="10395" width="8.76171875" style="1256"/>
    <col min="10396" max="10396" width="11.32421875" style="1256" customWidth="1"/>
    <col min="10397" max="10397" width="32.09375" style="1256" customWidth="1"/>
    <col min="10398" max="10398" width="17.39453125" style="1256" customWidth="1"/>
    <col min="10399" max="10399" width="10.24609375" style="1256" customWidth="1"/>
    <col min="10400" max="10400" width="19.8203125" style="1256" customWidth="1"/>
    <col min="10401" max="10401" width="10.3828125" style="1256" customWidth="1"/>
    <col min="10402" max="10402" width="19.41796875" style="1256" customWidth="1"/>
    <col min="10403" max="10403" width="10.3828125" style="1256" customWidth="1"/>
    <col min="10404" max="10404" width="9.16796875" style="1256" customWidth="1"/>
    <col min="10405" max="10405" width="11.0546875" style="1256" customWidth="1"/>
    <col min="10406" max="10651" width="8.76171875" style="1256"/>
    <col min="10652" max="10652" width="11.32421875" style="1256" customWidth="1"/>
    <col min="10653" max="10653" width="32.09375" style="1256" customWidth="1"/>
    <col min="10654" max="10654" width="17.39453125" style="1256" customWidth="1"/>
    <col min="10655" max="10655" width="10.24609375" style="1256" customWidth="1"/>
    <col min="10656" max="10656" width="19.8203125" style="1256" customWidth="1"/>
    <col min="10657" max="10657" width="10.3828125" style="1256" customWidth="1"/>
    <col min="10658" max="10658" width="19.41796875" style="1256" customWidth="1"/>
    <col min="10659" max="10659" width="10.3828125" style="1256" customWidth="1"/>
    <col min="10660" max="10660" width="9.16796875" style="1256" customWidth="1"/>
    <col min="10661" max="10661" width="11.0546875" style="1256" customWidth="1"/>
    <col min="10662" max="10907" width="8.76171875" style="1256"/>
    <col min="10908" max="10908" width="11.32421875" style="1256" customWidth="1"/>
    <col min="10909" max="10909" width="32.09375" style="1256" customWidth="1"/>
    <col min="10910" max="10910" width="17.39453125" style="1256" customWidth="1"/>
    <col min="10911" max="10911" width="10.24609375" style="1256" customWidth="1"/>
    <col min="10912" max="10912" width="19.8203125" style="1256" customWidth="1"/>
    <col min="10913" max="10913" width="10.3828125" style="1256" customWidth="1"/>
    <col min="10914" max="10914" width="19.41796875" style="1256" customWidth="1"/>
    <col min="10915" max="10915" width="10.3828125" style="1256" customWidth="1"/>
    <col min="10916" max="10916" width="9.16796875" style="1256" customWidth="1"/>
    <col min="10917" max="10917" width="11.0546875" style="1256" customWidth="1"/>
    <col min="10918" max="11163" width="8.76171875" style="1256"/>
    <col min="11164" max="11164" width="11.32421875" style="1256" customWidth="1"/>
    <col min="11165" max="11165" width="32.09375" style="1256" customWidth="1"/>
    <col min="11166" max="11166" width="17.39453125" style="1256" customWidth="1"/>
    <col min="11167" max="11167" width="10.24609375" style="1256" customWidth="1"/>
    <col min="11168" max="11168" width="19.8203125" style="1256" customWidth="1"/>
    <col min="11169" max="11169" width="10.3828125" style="1256" customWidth="1"/>
    <col min="11170" max="11170" width="19.41796875" style="1256" customWidth="1"/>
    <col min="11171" max="11171" width="10.3828125" style="1256" customWidth="1"/>
    <col min="11172" max="11172" width="9.16796875" style="1256" customWidth="1"/>
    <col min="11173" max="11173" width="11.0546875" style="1256" customWidth="1"/>
    <col min="11174" max="11419" width="8.76171875" style="1256"/>
    <col min="11420" max="11420" width="11.32421875" style="1256" customWidth="1"/>
    <col min="11421" max="11421" width="32.09375" style="1256" customWidth="1"/>
    <col min="11422" max="11422" width="17.39453125" style="1256" customWidth="1"/>
    <col min="11423" max="11423" width="10.24609375" style="1256" customWidth="1"/>
    <col min="11424" max="11424" width="19.8203125" style="1256" customWidth="1"/>
    <col min="11425" max="11425" width="10.3828125" style="1256" customWidth="1"/>
    <col min="11426" max="11426" width="19.41796875" style="1256" customWidth="1"/>
    <col min="11427" max="11427" width="10.3828125" style="1256" customWidth="1"/>
    <col min="11428" max="11428" width="9.16796875" style="1256" customWidth="1"/>
    <col min="11429" max="11429" width="11.0546875" style="1256" customWidth="1"/>
    <col min="11430" max="11675" width="8.76171875" style="1256"/>
    <col min="11676" max="11676" width="11.32421875" style="1256" customWidth="1"/>
    <col min="11677" max="11677" width="32.09375" style="1256" customWidth="1"/>
    <col min="11678" max="11678" width="17.39453125" style="1256" customWidth="1"/>
    <col min="11679" max="11679" width="10.24609375" style="1256" customWidth="1"/>
    <col min="11680" max="11680" width="19.8203125" style="1256" customWidth="1"/>
    <col min="11681" max="11681" width="10.3828125" style="1256" customWidth="1"/>
    <col min="11682" max="11682" width="19.41796875" style="1256" customWidth="1"/>
    <col min="11683" max="11683" width="10.3828125" style="1256" customWidth="1"/>
    <col min="11684" max="11684" width="9.16796875" style="1256" customWidth="1"/>
    <col min="11685" max="11685" width="11.0546875" style="1256" customWidth="1"/>
    <col min="11686" max="11931" width="8.76171875" style="1256"/>
    <col min="11932" max="11932" width="11.32421875" style="1256" customWidth="1"/>
    <col min="11933" max="11933" width="32.09375" style="1256" customWidth="1"/>
    <col min="11934" max="11934" width="17.39453125" style="1256" customWidth="1"/>
    <col min="11935" max="11935" width="10.24609375" style="1256" customWidth="1"/>
    <col min="11936" max="11936" width="19.8203125" style="1256" customWidth="1"/>
    <col min="11937" max="11937" width="10.3828125" style="1256" customWidth="1"/>
    <col min="11938" max="11938" width="19.41796875" style="1256" customWidth="1"/>
    <col min="11939" max="11939" width="10.3828125" style="1256" customWidth="1"/>
    <col min="11940" max="11940" width="9.16796875" style="1256" customWidth="1"/>
    <col min="11941" max="11941" width="11.0546875" style="1256" customWidth="1"/>
    <col min="11942" max="12187" width="8.76171875" style="1256"/>
    <col min="12188" max="12188" width="11.32421875" style="1256" customWidth="1"/>
    <col min="12189" max="12189" width="32.09375" style="1256" customWidth="1"/>
    <col min="12190" max="12190" width="17.39453125" style="1256" customWidth="1"/>
    <col min="12191" max="12191" width="10.24609375" style="1256" customWidth="1"/>
    <col min="12192" max="12192" width="19.8203125" style="1256" customWidth="1"/>
    <col min="12193" max="12193" width="10.3828125" style="1256" customWidth="1"/>
    <col min="12194" max="12194" width="19.41796875" style="1256" customWidth="1"/>
    <col min="12195" max="12195" width="10.3828125" style="1256" customWidth="1"/>
    <col min="12196" max="12196" width="9.16796875" style="1256" customWidth="1"/>
    <col min="12197" max="12197" width="11.0546875" style="1256" customWidth="1"/>
    <col min="12198" max="12443" width="8.76171875" style="1256"/>
    <col min="12444" max="12444" width="11.32421875" style="1256" customWidth="1"/>
    <col min="12445" max="12445" width="32.09375" style="1256" customWidth="1"/>
    <col min="12446" max="12446" width="17.39453125" style="1256" customWidth="1"/>
    <col min="12447" max="12447" width="10.24609375" style="1256" customWidth="1"/>
    <col min="12448" max="12448" width="19.8203125" style="1256" customWidth="1"/>
    <col min="12449" max="12449" width="10.3828125" style="1256" customWidth="1"/>
    <col min="12450" max="12450" width="19.41796875" style="1256" customWidth="1"/>
    <col min="12451" max="12451" width="10.3828125" style="1256" customWidth="1"/>
    <col min="12452" max="12452" width="9.16796875" style="1256" customWidth="1"/>
    <col min="12453" max="12453" width="11.0546875" style="1256" customWidth="1"/>
    <col min="12454" max="12699" width="8.76171875" style="1256"/>
    <col min="12700" max="12700" width="11.32421875" style="1256" customWidth="1"/>
    <col min="12701" max="12701" width="32.09375" style="1256" customWidth="1"/>
    <col min="12702" max="12702" width="17.39453125" style="1256" customWidth="1"/>
    <col min="12703" max="12703" width="10.24609375" style="1256" customWidth="1"/>
    <col min="12704" max="12704" width="19.8203125" style="1256" customWidth="1"/>
    <col min="12705" max="12705" width="10.3828125" style="1256" customWidth="1"/>
    <col min="12706" max="12706" width="19.41796875" style="1256" customWidth="1"/>
    <col min="12707" max="12707" width="10.3828125" style="1256" customWidth="1"/>
    <col min="12708" max="12708" width="9.16796875" style="1256" customWidth="1"/>
    <col min="12709" max="12709" width="11.0546875" style="1256" customWidth="1"/>
    <col min="12710" max="12955" width="8.76171875" style="1256"/>
    <col min="12956" max="12956" width="11.32421875" style="1256" customWidth="1"/>
    <col min="12957" max="12957" width="32.09375" style="1256" customWidth="1"/>
    <col min="12958" max="12958" width="17.39453125" style="1256" customWidth="1"/>
    <col min="12959" max="12959" width="10.24609375" style="1256" customWidth="1"/>
    <col min="12960" max="12960" width="19.8203125" style="1256" customWidth="1"/>
    <col min="12961" max="12961" width="10.3828125" style="1256" customWidth="1"/>
    <col min="12962" max="12962" width="19.41796875" style="1256" customWidth="1"/>
    <col min="12963" max="12963" width="10.3828125" style="1256" customWidth="1"/>
    <col min="12964" max="12964" width="9.16796875" style="1256" customWidth="1"/>
    <col min="12965" max="12965" width="11.0546875" style="1256" customWidth="1"/>
    <col min="12966" max="13211" width="8.76171875" style="1256"/>
    <col min="13212" max="13212" width="11.32421875" style="1256" customWidth="1"/>
    <col min="13213" max="13213" width="32.09375" style="1256" customWidth="1"/>
    <col min="13214" max="13214" width="17.39453125" style="1256" customWidth="1"/>
    <col min="13215" max="13215" width="10.24609375" style="1256" customWidth="1"/>
    <col min="13216" max="13216" width="19.8203125" style="1256" customWidth="1"/>
    <col min="13217" max="13217" width="10.3828125" style="1256" customWidth="1"/>
    <col min="13218" max="13218" width="19.41796875" style="1256" customWidth="1"/>
    <col min="13219" max="13219" width="10.3828125" style="1256" customWidth="1"/>
    <col min="13220" max="13220" width="9.16796875" style="1256" customWidth="1"/>
    <col min="13221" max="13221" width="11.0546875" style="1256" customWidth="1"/>
    <col min="13222" max="13467" width="8.76171875" style="1256"/>
    <col min="13468" max="13468" width="11.32421875" style="1256" customWidth="1"/>
    <col min="13469" max="13469" width="32.09375" style="1256" customWidth="1"/>
    <col min="13470" max="13470" width="17.39453125" style="1256" customWidth="1"/>
    <col min="13471" max="13471" width="10.24609375" style="1256" customWidth="1"/>
    <col min="13472" max="13472" width="19.8203125" style="1256" customWidth="1"/>
    <col min="13473" max="13473" width="10.3828125" style="1256" customWidth="1"/>
    <col min="13474" max="13474" width="19.41796875" style="1256" customWidth="1"/>
    <col min="13475" max="13475" width="10.3828125" style="1256" customWidth="1"/>
    <col min="13476" max="13476" width="9.16796875" style="1256" customWidth="1"/>
    <col min="13477" max="13477" width="11.0546875" style="1256" customWidth="1"/>
    <col min="13478" max="13723" width="8.76171875" style="1256"/>
    <col min="13724" max="13724" width="11.32421875" style="1256" customWidth="1"/>
    <col min="13725" max="13725" width="32.09375" style="1256" customWidth="1"/>
    <col min="13726" max="13726" width="17.39453125" style="1256" customWidth="1"/>
    <col min="13727" max="13727" width="10.24609375" style="1256" customWidth="1"/>
    <col min="13728" max="13728" width="19.8203125" style="1256" customWidth="1"/>
    <col min="13729" max="13729" width="10.3828125" style="1256" customWidth="1"/>
    <col min="13730" max="13730" width="19.41796875" style="1256" customWidth="1"/>
    <col min="13731" max="13731" width="10.3828125" style="1256" customWidth="1"/>
    <col min="13732" max="13732" width="9.16796875" style="1256" customWidth="1"/>
    <col min="13733" max="13733" width="11.0546875" style="1256" customWidth="1"/>
    <col min="13734" max="13979" width="8.76171875" style="1256"/>
    <col min="13980" max="13980" width="11.32421875" style="1256" customWidth="1"/>
    <col min="13981" max="13981" width="32.09375" style="1256" customWidth="1"/>
    <col min="13982" max="13982" width="17.39453125" style="1256" customWidth="1"/>
    <col min="13983" max="13983" width="10.24609375" style="1256" customWidth="1"/>
    <col min="13984" max="13984" width="19.8203125" style="1256" customWidth="1"/>
    <col min="13985" max="13985" width="10.3828125" style="1256" customWidth="1"/>
    <col min="13986" max="13986" width="19.41796875" style="1256" customWidth="1"/>
    <col min="13987" max="13987" width="10.3828125" style="1256" customWidth="1"/>
    <col min="13988" max="13988" width="9.16796875" style="1256" customWidth="1"/>
    <col min="13989" max="13989" width="11.0546875" style="1256" customWidth="1"/>
    <col min="13990" max="14235" width="8.76171875" style="1256"/>
    <col min="14236" max="14236" width="11.32421875" style="1256" customWidth="1"/>
    <col min="14237" max="14237" width="32.09375" style="1256" customWidth="1"/>
    <col min="14238" max="14238" width="17.39453125" style="1256" customWidth="1"/>
    <col min="14239" max="14239" width="10.24609375" style="1256" customWidth="1"/>
    <col min="14240" max="14240" width="19.8203125" style="1256" customWidth="1"/>
    <col min="14241" max="14241" width="10.3828125" style="1256" customWidth="1"/>
    <col min="14242" max="14242" width="19.41796875" style="1256" customWidth="1"/>
    <col min="14243" max="14243" width="10.3828125" style="1256" customWidth="1"/>
    <col min="14244" max="14244" width="9.16796875" style="1256" customWidth="1"/>
    <col min="14245" max="14245" width="11.0546875" style="1256" customWidth="1"/>
    <col min="14246" max="14491" width="8.76171875" style="1256"/>
    <col min="14492" max="14492" width="11.32421875" style="1256" customWidth="1"/>
    <col min="14493" max="14493" width="32.09375" style="1256" customWidth="1"/>
    <col min="14494" max="14494" width="17.39453125" style="1256" customWidth="1"/>
    <col min="14495" max="14495" width="10.24609375" style="1256" customWidth="1"/>
    <col min="14496" max="14496" width="19.8203125" style="1256" customWidth="1"/>
    <col min="14497" max="14497" width="10.3828125" style="1256" customWidth="1"/>
    <col min="14498" max="14498" width="19.41796875" style="1256" customWidth="1"/>
    <col min="14499" max="14499" width="10.3828125" style="1256" customWidth="1"/>
    <col min="14500" max="14500" width="9.16796875" style="1256" customWidth="1"/>
    <col min="14501" max="14501" width="11.0546875" style="1256" customWidth="1"/>
    <col min="14502" max="14747" width="8.76171875" style="1256"/>
    <col min="14748" max="14748" width="11.32421875" style="1256" customWidth="1"/>
    <col min="14749" max="14749" width="32.09375" style="1256" customWidth="1"/>
    <col min="14750" max="14750" width="17.39453125" style="1256" customWidth="1"/>
    <col min="14751" max="14751" width="10.24609375" style="1256" customWidth="1"/>
    <col min="14752" max="14752" width="19.8203125" style="1256" customWidth="1"/>
    <col min="14753" max="14753" width="10.3828125" style="1256" customWidth="1"/>
    <col min="14754" max="14754" width="19.41796875" style="1256" customWidth="1"/>
    <col min="14755" max="14755" width="10.3828125" style="1256" customWidth="1"/>
    <col min="14756" max="14756" width="9.16796875" style="1256" customWidth="1"/>
    <col min="14757" max="14757" width="11.0546875" style="1256" customWidth="1"/>
    <col min="14758" max="15003" width="8.76171875" style="1256"/>
    <col min="15004" max="15004" width="11.32421875" style="1256" customWidth="1"/>
    <col min="15005" max="15005" width="32.09375" style="1256" customWidth="1"/>
    <col min="15006" max="15006" width="17.39453125" style="1256" customWidth="1"/>
    <col min="15007" max="15007" width="10.24609375" style="1256" customWidth="1"/>
    <col min="15008" max="15008" width="19.8203125" style="1256" customWidth="1"/>
    <col min="15009" max="15009" width="10.3828125" style="1256" customWidth="1"/>
    <col min="15010" max="15010" width="19.41796875" style="1256" customWidth="1"/>
    <col min="15011" max="15011" width="10.3828125" style="1256" customWidth="1"/>
    <col min="15012" max="15012" width="9.16796875" style="1256" customWidth="1"/>
    <col min="15013" max="15013" width="11.0546875" style="1256" customWidth="1"/>
    <col min="15014" max="15259" width="8.76171875" style="1256"/>
    <col min="15260" max="15260" width="11.32421875" style="1256" customWidth="1"/>
    <col min="15261" max="15261" width="32.09375" style="1256" customWidth="1"/>
    <col min="15262" max="15262" width="17.39453125" style="1256" customWidth="1"/>
    <col min="15263" max="15263" width="10.24609375" style="1256" customWidth="1"/>
    <col min="15264" max="15264" width="19.8203125" style="1256" customWidth="1"/>
    <col min="15265" max="15265" width="10.3828125" style="1256" customWidth="1"/>
    <col min="15266" max="15266" width="19.41796875" style="1256" customWidth="1"/>
    <col min="15267" max="15267" width="10.3828125" style="1256" customWidth="1"/>
    <col min="15268" max="15268" width="9.16796875" style="1256" customWidth="1"/>
    <col min="15269" max="15269" width="11.0546875" style="1256" customWidth="1"/>
    <col min="15270" max="15515" width="8.76171875" style="1256"/>
    <col min="15516" max="15516" width="11.32421875" style="1256" customWidth="1"/>
    <col min="15517" max="15517" width="32.09375" style="1256" customWidth="1"/>
    <col min="15518" max="15518" width="17.39453125" style="1256" customWidth="1"/>
    <col min="15519" max="15519" width="10.24609375" style="1256" customWidth="1"/>
    <col min="15520" max="15520" width="19.8203125" style="1256" customWidth="1"/>
    <col min="15521" max="15521" width="10.3828125" style="1256" customWidth="1"/>
    <col min="15522" max="15522" width="19.41796875" style="1256" customWidth="1"/>
    <col min="15523" max="15523" width="10.3828125" style="1256" customWidth="1"/>
    <col min="15524" max="15524" width="9.16796875" style="1256" customWidth="1"/>
    <col min="15525" max="15525" width="11.0546875" style="1256" customWidth="1"/>
    <col min="15526" max="15771" width="8.76171875" style="1256"/>
    <col min="15772" max="15772" width="11.32421875" style="1256" customWidth="1"/>
    <col min="15773" max="15773" width="32.09375" style="1256" customWidth="1"/>
    <col min="15774" max="15774" width="17.39453125" style="1256" customWidth="1"/>
    <col min="15775" max="15775" width="10.24609375" style="1256" customWidth="1"/>
    <col min="15776" max="15776" width="19.8203125" style="1256" customWidth="1"/>
    <col min="15777" max="15777" width="10.3828125" style="1256" customWidth="1"/>
    <col min="15778" max="15778" width="19.41796875" style="1256" customWidth="1"/>
    <col min="15779" max="15779" width="10.3828125" style="1256" customWidth="1"/>
    <col min="15780" max="15780" width="9.16796875" style="1256" customWidth="1"/>
    <col min="15781" max="15781" width="11.0546875" style="1256" customWidth="1"/>
    <col min="15782" max="16027" width="8.76171875" style="1256"/>
    <col min="16028" max="16028" width="11.32421875" style="1256" customWidth="1"/>
    <col min="16029" max="16029" width="32.09375" style="1256" customWidth="1"/>
    <col min="16030" max="16030" width="17.39453125" style="1256" customWidth="1"/>
    <col min="16031" max="16031" width="10.24609375" style="1256" customWidth="1"/>
    <col min="16032" max="16032" width="19.8203125" style="1256" customWidth="1"/>
    <col min="16033" max="16033" width="10.3828125" style="1256" customWidth="1"/>
    <col min="16034" max="16034" width="19.41796875" style="1256" customWidth="1"/>
    <col min="16035" max="16035" width="10.3828125" style="1256" customWidth="1"/>
    <col min="16036" max="16036" width="9.16796875" style="1256" customWidth="1"/>
    <col min="16037" max="16037" width="11.0546875" style="1256" customWidth="1"/>
    <col min="16038" max="16332" width="8.76171875" style="1256"/>
    <col min="16333" max="16384" width="8.76171875" style="1256" customWidth="1"/>
  </cols>
  <sheetData>
    <row r="1" spans="1:18" ht="13.5" x14ac:dyDescent="0.15">
      <c r="O1" s="1257"/>
      <c r="P1" s="1258"/>
      <c r="Q1" s="1258"/>
      <c r="R1" s="1259"/>
    </row>
    <row r="2" spans="1:18" ht="18" x14ac:dyDescent="0.15">
      <c r="B2" s="1260"/>
      <c r="C2" s="1261"/>
      <c r="D2" s="1260"/>
      <c r="E2" s="1260"/>
      <c r="F2" s="1260"/>
      <c r="G2" s="1260"/>
      <c r="H2" s="1260"/>
      <c r="I2" s="1260"/>
      <c r="J2" s="1260"/>
      <c r="K2" s="1260"/>
      <c r="L2" s="1260"/>
      <c r="M2" s="1260"/>
      <c r="N2" s="1260"/>
      <c r="O2" s="1260"/>
      <c r="P2" s="1258"/>
      <c r="Q2" s="1258"/>
      <c r="R2" s="1260"/>
    </row>
    <row r="3" spans="1:18" ht="31.5" x14ac:dyDescent="0.35">
      <c r="A3" s="1616" t="s">
        <v>733</v>
      </c>
      <c r="B3" s="1616"/>
      <c r="C3" s="1616"/>
      <c r="D3" s="1616"/>
      <c r="E3" s="1616"/>
      <c r="F3" s="1616"/>
      <c r="G3" s="1616"/>
      <c r="H3" s="1616"/>
      <c r="I3" s="1616"/>
      <c r="J3" s="1616"/>
      <c r="K3" s="1616"/>
      <c r="L3" s="1616"/>
      <c r="M3" s="1616"/>
      <c r="N3" s="1616"/>
      <c r="O3" s="1616"/>
      <c r="P3" s="1616"/>
      <c r="Q3" s="1616"/>
      <c r="R3" s="1616"/>
    </row>
    <row r="4" spans="1:18" ht="14.25" x14ac:dyDescent="0.15">
      <c r="A4" s="1615" t="s">
        <v>637</v>
      </c>
      <c r="B4" s="1615"/>
      <c r="C4" s="1615"/>
      <c r="D4" s="1615"/>
      <c r="E4" s="1615"/>
      <c r="F4" s="1615"/>
      <c r="G4" s="1617" t="s">
        <v>723</v>
      </c>
      <c r="H4" s="1618"/>
      <c r="I4" s="1618"/>
      <c r="J4" s="1618"/>
      <c r="K4" s="1618"/>
      <c r="L4" s="1619"/>
      <c r="M4" s="1615" t="s">
        <v>717</v>
      </c>
      <c r="N4" s="1615"/>
      <c r="O4" s="1615"/>
      <c r="P4" s="1615"/>
      <c r="Q4" s="1615"/>
      <c r="R4" s="1615"/>
    </row>
    <row r="5" spans="1:18" ht="27.75" customHeight="1" x14ac:dyDescent="0.15">
      <c r="A5" s="1290" t="s">
        <v>21</v>
      </c>
      <c r="B5" s="1290" t="s">
        <v>22</v>
      </c>
      <c r="C5" s="1368" t="s">
        <v>468</v>
      </c>
      <c r="D5" s="1290" t="s">
        <v>702</v>
      </c>
      <c r="E5" s="1368" t="s">
        <v>639</v>
      </c>
      <c r="F5" s="1291" t="s">
        <v>703</v>
      </c>
      <c r="G5" s="1290" t="s">
        <v>21</v>
      </c>
      <c r="H5" s="1290" t="s">
        <v>22</v>
      </c>
      <c r="I5" s="1368" t="s">
        <v>468</v>
      </c>
      <c r="J5" s="1290" t="s">
        <v>702</v>
      </c>
      <c r="K5" s="1368" t="s">
        <v>639</v>
      </c>
      <c r="L5" s="1291" t="s">
        <v>703</v>
      </c>
      <c r="M5" s="1290" t="s">
        <v>21</v>
      </c>
      <c r="N5" s="1290" t="s">
        <v>22</v>
      </c>
      <c r="O5" s="1368" t="s">
        <v>468</v>
      </c>
      <c r="P5" s="1290" t="s">
        <v>702</v>
      </c>
      <c r="Q5" s="1368" t="s">
        <v>639</v>
      </c>
      <c r="R5" s="1291" t="s">
        <v>703</v>
      </c>
    </row>
    <row r="6" spans="1:18" ht="18.75" customHeight="1" x14ac:dyDescent="0.15">
      <c r="A6" s="1264" t="s">
        <v>38</v>
      </c>
      <c r="B6" s="1265" t="s">
        <v>619</v>
      </c>
      <c r="C6" s="1265" t="s">
        <v>62</v>
      </c>
      <c r="D6" s="1266">
        <v>70</v>
      </c>
      <c r="E6" s="1265"/>
      <c r="F6" s="1449">
        <v>869.99999999999989</v>
      </c>
      <c r="G6" s="1264" t="s">
        <v>38</v>
      </c>
      <c r="H6" s="1265" t="s">
        <v>619</v>
      </c>
      <c r="I6" s="1449" t="s">
        <v>62</v>
      </c>
      <c r="J6" s="1449">
        <v>70</v>
      </c>
      <c r="K6" s="1449"/>
      <c r="L6" s="1449">
        <v>995</v>
      </c>
      <c r="M6" s="1264" t="s">
        <v>38</v>
      </c>
      <c r="N6" s="1265" t="s">
        <v>619</v>
      </c>
      <c r="O6" s="1265" t="s">
        <v>62</v>
      </c>
      <c r="P6" s="1266">
        <v>100</v>
      </c>
      <c r="Q6" s="1265"/>
      <c r="R6" s="1449">
        <v>961.99999999999989</v>
      </c>
    </row>
    <row r="7" spans="1:18" ht="18.75" customHeight="1" thickBot="1" x14ac:dyDescent="0.2">
      <c r="A7" s="1271"/>
      <c r="B7" s="1262"/>
      <c r="C7" s="1262"/>
      <c r="D7" s="1272"/>
      <c r="E7" s="1262"/>
      <c r="F7" s="1273"/>
      <c r="G7" s="1271"/>
      <c r="H7" s="1262"/>
      <c r="I7" s="1273"/>
      <c r="J7" s="1273"/>
      <c r="K7" s="1273"/>
      <c r="L7" s="1273"/>
      <c r="M7" s="1271"/>
      <c r="N7" s="1262"/>
      <c r="O7" s="1262"/>
      <c r="P7" s="1272"/>
      <c r="Q7" s="1262"/>
      <c r="R7" s="1273"/>
    </row>
    <row r="8" spans="1:18" ht="19.5" customHeight="1" x14ac:dyDescent="0.15">
      <c r="A8" s="1430" t="s">
        <v>41</v>
      </c>
      <c r="B8" s="1274" t="s">
        <v>640</v>
      </c>
      <c r="C8" s="1274" t="s">
        <v>43</v>
      </c>
      <c r="D8" s="1275">
        <v>100</v>
      </c>
      <c r="E8" s="1274" t="s">
        <v>676</v>
      </c>
      <c r="F8" s="1450">
        <v>415.00000000000006</v>
      </c>
      <c r="G8" s="1359" t="s">
        <v>706</v>
      </c>
      <c r="H8" s="1274" t="s">
        <v>640</v>
      </c>
      <c r="I8" s="1274" t="s">
        <v>43</v>
      </c>
      <c r="J8" s="1451">
        <v>150</v>
      </c>
      <c r="K8" s="1451" t="s">
        <v>724</v>
      </c>
      <c r="L8" s="1451">
        <v>360</v>
      </c>
      <c r="M8" s="1359" t="s">
        <v>706</v>
      </c>
      <c r="N8" s="1274" t="s">
        <v>640</v>
      </c>
      <c r="O8" s="1274" t="s">
        <v>661</v>
      </c>
      <c r="P8" s="1275">
        <v>110</v>
      </c>
      <c r="Q8" s="1274" t="s">
        <v>704</v>
      </c>
      <c r="R8" s="1277">
        <v>475</v>
      </c>
    </row>
    <row r="9" spans="1:18" ht="14.25" x14ac:dyDescent="0.15">
      <c r="A9" s="1431"/>
      <c r="B9" s="1265" t="s">
        <v>674</v>
      </c>
      <c r="C9" s="1265" t="s">
        <v>641</v>
      </c>
      <c r="D9" s="1266">
        <v>110</v>
      </c>
      <c r="E9" s="1265" t="s">
        <v>677</v>
      </c>
      <c r="F9" s="1451">
        <v>560</v>
      </c>
      <c r="G9" s="1451"/>
      <c r="H9" s="1451"/>
      <c r="I9" s="1265" t="s">
        <v>641</v>
      </c>
      <c r="J9" s="1451">
        <v>300</v>
      </c>
      <c r="K9" s="1451" t="s">
        <v>725</v>
      </c>
      <c r="L9" s="1451">
        <v>540</v>
      </c>
      <c r="M9" s="1360"/>
      <c r="N9" s="1265"/>
      <c r="O9" s="1265" t="s">
        <v>642</v>
      </c>
      <c r="P9" s="1266">
        <v>210</v>
      </c>
      <c r="Q9" s="1265" t="s">
        <v>705</v>
      </c>
      <c r="R9" s="1278">
        <v>700</v>
      </c>
    </row>
    <row r="10" spans="1:18" ht="14.25" x14ac:dyDescent="0.15">
      <c r="A10" s="1431"/>
      <c r="B10" s="1265" t="s">
        <v>675</v>
      </c>
      <c r="C10" s="1265" t="s">
        <v>642</v>
      </c>
      <c r="D10" s="1266">
        <v>175</v>
      </c>
      <c r="E10" s="1265" t="s">
        <v>643</v>
      </c>
      <c r="F10" s="1451">
        <v>715</v>
      </c>
      <c r="G10" s="1451"/>
      <c r="H10" s="1451"/>
      <c r="I10" s="1265" t="s">
        <v>642</v>
      </c>
      <c r="J10" s="1451">
        <v>460</v>
      </c>
      <c r="K10" s="1451" t="s">
        <v>726</v>
      </c>
      <c r="L10" s="1451">
        <v>700</v>
      </c>
      <c r="M10" s="1271"/>
      <c r="N10" s="1271"/>
      <c r="O10" s="1271"/>
      <c r="P10" s="1271"/>
      <c r="Q10" s="1271"/>
      <c r="R10" s="1293"/>
    </row>
    <row r="11" spans="1:18" ht="14.25" x14ac:dyDescent="0.15">
      <c r="A11" s="1431"/>
      <c r="B11" s="1265"/>
      <c r="C11" s="1265"/>
      <c r="D11" s="1266"/>
      <c r="E11" s="1265" t="s">
        <v>411</v>
      </c>
      <c r="F11" s="1451">
        <v>819.99999999999989</v>
      </c>
      <c r="G11" s="1466"/>
      <c r="H11" s="1466"/>
      <c r="I11" s="1466"/>
      <c r="J11" s="1466"/>
      <c r="K11" s="1466"/>
      <c r="L11" s="1466"/>
      <c r="M11" s="1271"/>
      <c r="N11" s="1271"/>
      <c r="O11" s="1271"/>
      <c r="P11" s="1271"/>
      <c r="Q11" s="1271"/>
      <c r="R11" s="1293"/>
    </row>
    <row r="12" spans="1:18" ht="18.75" customHeight="1" x14ac:dyDescent="0.15">
      <c r="A12" s="1432"/>
      <c r="B12" s="1262"/>
      <c r="C12" s="1262"/>
      <c r="D12" s="1272"/>
      <c r="E12" s="1262"/>
      <c r="F12" s="1273"/>
      <c r="G12" s="1273"/>
      <c r="H12" s="1273"/>
      <c r="I12" s="1273"/>
      <c r="J12" s="1273"/>
      <c r="K12" s="1273"/>
      <c r="L12" s="1273"/>
      <c r="M12" s="1271"/>
      <c r="N12" s="1271"/>
      <c r="O12" s="1271"/>
      <c r="P12" s="1271"/>
      <c r="Q12" s="1271"/>
      <c r="R12" s="1293"/>
    </row>
    <row r="13" spans="1:18" ht="14.25" x14ac:dyDescent="0.15">
      <c r="A13" s="1431" t="s">
        <v>50</v>
      </c>
      <c r="B13" s="1265" t="s">
        <v>51</v>
      </c>
      <c r="C13" s="1265" t="s">
        <v>43</v>
      </c>
      <c r="D13" s="1266">
        <v>85</v>
      </c>
      <c r="E13" s="1265" t="s">
        <v>676</v>
      </c>
      <c r="F13" s="1266">
        <v>405</v>
      </c>
      <c r="G13" s="1272"/>
      <c r="H13" s="1272"/>
      <c r="I13" s="1272"/>
      <c r="J13" s="1272"/>
      <c r="K13" s="1272"/>
      <c r="L13" s="1272"/>
      <c r="M13" s="1271"/>
      <c r="N13" s="1271"/>
      <c r="O13" s="1271"/>
      <c r="P13" s="1271"/>
      <c r="Q13" s="1271"/>
      <c r="R13" s="1293"/>
    </row>
    <row r="14" spans="1:18" ht="14.25" x14ac:dyDescent="0.15">
      <c r="A14" s="1431"/>
      <c r="B14" s="1265" t="s">
        <v>644</v>
      </c>
      <c r="C14" s="1265" t="s">
        <v>641</v>
      </c>
      <c r="D14" s="1266">
        <v>100</v>
      </c>
      <c r="E14" s="1265" t="s">
        <v>677</v>
      </c>
      <c r="F14" s="1266">
        <v>530</v>
      </c>
      <c r="G14" s="1272"/>
      <c r="H14" s="1272"/>
      <c r="I14" s="1272"/>
      <c r="J14" s="1272"/>
      <c r="K14" s="1272"/>
      <c r="L14" s="1272"/>
      <c r="M14" s="1271"/>
      <c r="N14" s="1271"/>
      <c r="O14" s="1271"/>
      <c r="P14" s="1271"/>
      <c r="Q14" s="1271"/>
      <c r="R14" s="1293"/>
    </row>
    <row r="15" spans="1:18" ht="14.25" x14ac:dyDescent="0.15">
      <c r="A15" s="1453"/>
      <c r="B15" s="1265" t="s">
        <v>54</v>
      </c>
      <c r="C15" s="1265" t="s">
        <v>642</v>
      </c>
      <c r="D15" s="1266">
        <v>160</v>
      </c>
      <c r="E15" s="1265" t="s">
        <v>643</v>
      </c>
      <c r="F15" s="1266">
        <v>685</v>
      </c>
      <c r="G15" s="1272"/>
      <c r="H15" s="1272"/>
      <c r="I15" s="1272"/>
      <c r="J15" s="1272"/>
      <c r="K15" s="1272"/>
      <c r="L15" s="1272"/>
      <c r="M15" s="1271"/>
      <c r="N15" s="1271"/>
      <c r="O15" s="1271"/>
      <c r="P15" s="1271"/>
      <c r="Q15" s="1271"/>
      <c r="R15" s="1293"/>
    </row>
    <row r="16" spans="1:18" ht="15" thickBot="1" x14ac:dyDescent="0.2">
      <c r="A16" s="1454"/>
      <c r="B16" s="1281" t="s">
        <v>55</v>
      </c>
      <c r="C16" s="1281"/>
      <c r="D16" s="1282"/>
      <c r="E16" s="1281" t="s">
        <v>411</v>
      </c>
      <c r="F16" s="1282">
        <v>770</v>
      </c>
      <c r="G16" s="1297"/>
      <c r="H16" s="1297"/>
      <c r="I16" s="1297"/>
      <c r="J16" s="1297"/>
      <c r="K16" s="1297"/>
      <c r="L16" s="1297"/>
      <c r="M16" s="1294"/>
      <c r="N16" s="1294"/>
      <c r="O16" s="1294"/>
      <c r="P16" s="1294"/>
      <c r="Q16" s="1294"/>
      <c r="R16" s="1295"/>
    </row>
    <row r="17" spans="1:18" ht="18.75" customHeight="1" thickBot="1" x14ac:dyDescent="0.2">
      <c r="A17" s="1271"/>
      <c r="B17" s="1262"/>
      <c r="C17" s="1262"/>
      <c r="D17" s="1272"/>
      <c r="E17" s="1262"/>
      <c r="F17" s="1273"/>
      <c r="G17" s="1273"/>
      <c r="H17" s="1273"/>
      <c r="I17" s="1273"/>
      <c r="J17" s="1273"/>
      <c r="K17" s="1273"/>
      <c r="L17" s="1273"/>
      <c r="M17" s="1271"/>
      <c r="N17" s="1262"/>
      <c r="O17" s="1262"/>
      <c r="P17" s="1272"/>
      <c r="Q17" s="1262"/>
      <c r="R17" s="1273"/>
    </row>
    <row r="18" spans="1:18" ht="14.25" x14ac:dyDescent="0.15">
      <c r="A18" s="1430" t="s">
        <v>57</v>
      </c>
      <c r="B18" s="1274" t="s">
        <v>645</v>
      </c>
      <c r="C18" s="1274" t="s">
        <v>661</v>
      </c>
      <c r="D18" s="1275">
        <v>120</v>
      </c>
      <c r="E18" s="1274" t="s">
        <v>647</v>
      </c>
      <c r="F18" s="1275">
        <v>735</v>
      </c>
      <c r="G18" s="1359" t="s">
        <v>707</v>
      </c>
      <c r="H18" s="1274" t="s">
        <v>708</v>
      </c>
      <c r="I18" s="1265" t="s">
        <v>661</v>
      </c>
      <c r="J18" s="1266">
        <v>230</v>
      </c>
      <c r="K18" s="1266" t="s">
        <v>727</v>
      </c>
      <c r="L18" s="1266">
        <v>750</v>
      </c>
      <c r="M18" s="1359" t="s">
        <v>707</v>
      </c>
      <c r="N18" s="1274" t="s">
        <v>708</v>
      </c>
      <c r="O18" s="1274" t="s">
        <v>661</v>
      </c>
      <c r="P18" s="1275">
        <v>180</v>
      </c>
      <c r="Q18" s="1274" t="s">
        <v>634</v>
      </c>
      <c r="R18" s="1277">
        <v>775</v>
      </c>
    </row>
    <row r="19" spans="1:18" ht="14.25" x14ac:dyDescent="0.15">
      <c r="A19" s="1431"/>
      <c r="B19" s="1265" t="s">
        <v>674</v>
      </c>
      <c r="C19" s="1265" t="s">
        <v>642</v>
      </c>
      <c r="D19" s="1266">
        <v>175</v>
      </c>
      <c r="E19" s="1265" t="s">
        <v>411</v>
      </c>
      <c r="F19" s="1266">
        <v>860</v>
      </c>
      <c r="G19" s="1360"/>
      <c r="H19" s="1265"/>
      <c r="I19" s="1265" t="s">
        <v>642</v>
      </c>
      <c r="J19" s="1266">
        <v>260</v>
      </c>
      <c r="K19" s="1266"/>
      <c r="L19" s="1266"/>
      <c r="M19" s="1360"/>
      <c r="N19" s="1265"/>
      <c r="O19" s="1265" t="s">
        <v>642</v>
      </c>
      <c r="P19" s="1266">
        <v>250</v>
      </c>
      <c r="Q19" s="1265"/>
      <c r="R19" s="1279"/>
    </row>
    <row r="20" spans="1:18" ht="14.25" x14ac:dyDescent="0.15">
      <c r="A20" s="1431"/>
      <c r="B20" s="1265" t="s">
        <v>675</v>
      </c>
      <c r="C20" s="1265" t="s">
        <v>62</v>
      </c>
      <c r="D20" s="1266">
        <v>150</v>
      </c>
      <c r="E20" s="1265"/>
      <c r="F20" s="1267"/>
      <c r="G20" s="1271"/>
      <c r="H20" s="1262"/>
      <c r="I20" s="1265" t="s">
        <v>62</v>
      </c>
      <c r="J20" s="1266">
        <v>310</v>
      </c>
      <c r="K20" s="1267"/>
      <c r="L20" s="1267"/>
      <c r="M20" s="1271"/>
      <c r="N20" s="1262"/>
      <c r="O20" s="1262"/>
      <c r="P20" s="1272"/>
      <c r="Q20" s="1262"/>
      <c r="R20" s="1280"/>
    </row>
    <row r="21" spans="1:18" ht="18.75" customHeight="1" x14ac:dyDescent="0.15">
      <c r="A21" s="1432"/>
      <c r="B21" s="1262"/>
      <c r="E21" s="1262"/>
      <c r="F21" s="1273"/>
      <c r="G21" s="1271"/>
      <c r="H21" s="1262"/>
      <c r="I21" s="1273"/>
      <c r="J21" s="1273"/>
      <c r="K21" s="1273"/>
      <c r="L21" s="1273"/>
      <c r="M21" s="1271"/>
      <c r="N21" s="1262"/>
      <c r="O21" s="1262"/>
      <c r="P21" s="1272"/>
      <c r="Q21" s="1262"/>
      <c r="R21" s="1280"/>
    </row>
    <row r="22" spans="1:18" ht="14.25" x14ac:dyDescent="0.15">
      <c r="A22" s="1431" t="s">
        <v>64</v>
      </c>
      <c r="B22" s="1265" t="s">
        <v>645</v>
      </c>
      <c r="C22" s="1265" t="s">
        <v>661</v>
      </c>
      <c r="D22" s="1266">
        <v>110</v>
      </c>
      <c r="E22" s="1265" t="s">
        <v>647</v>
      </c>
      <c r="F22" s="1266">
        <v>680</v>
      </c>
      <c r="G22" s="1271"/>
      <c r="H22" s="1262"/>
      <c r="I22" s="1272"/>
      <c r="J22" s="1272"/>
      <c r="K22" s="1272"/>
      <c r="L22" s="1272"/>
      <c r="M22" s="1271"/>
      <c r="N22" s="1262"/>
      <c r="O22" s="1262"/>
      <c r="P22" s="1272"/>
      <c r="Q22" s="1262"/>
      <c r="R22" s="1280"/>
    </row>
    <row r="23" spans="1:18" ht="14.25" x14ac:dyDescent="0.15">
      <c r="A23" s="1431"/>
      <c r="B23" s="1265" t="s">
        <v>678</v>
      </c>
      <c r="C23" s="1265" t="s">
        <v>642</v>
      </c>
      <c r="D23" s="1266">
        <v>135</v>
      </c>
      <c r="E23" s="1265" t="s">
        <v>411</v>
      </c>
      <c r="F23" s="1266">
        <v>805.00000000000011</v>
      </c>
      <c r="G23" s="1271"/>
      <c r="H23" s="1262"/>
      <c r="I23" s="1272"/>
      <c r="J23" s="1272"/>
      <c r="K23" s="1272"/>
      <c r="L23" s="1272"/>
      <c r="M23" s="1271"/>
      <c r="N23" s="1262"/>
      <c r="O23" s="1262"/>
      <c r="P23" s="1272"/>
      <c r="Q23" s="1262"/>
      <c r="R23" s="1280"/>
    </row>
    <row r="24" spans="1:18" ht="15" thickBot="1" x14ac:dyDescent="0.2">
      <c r="A24" s="1454"/>
      <c r="B24" s="1281" t="s">
        <v>55</v>
      </c>
      <c r="C24" s="1281" t="s">
        <v>62</v>
      </c>
      <c r="D24" s="1282">
        <v>165</v>
      </c>
      <c r="E24" s="1281"/>
      <c r="F24" s="1455"/>
      <c r="G24" s="1294"/>
      <c r="H24" s="1296"/>
      <c r="I24" s="1437"/>
      <c r="J24" s="1437"/>
      <c r="K24" s="1437"/>
      <c r="L24" s="1437"/>
      <c r="M24" s="1294"/>
      <c r="N24" s="1296"/>
      <c r="O24" s="1296"/>
      <c r="P24" s="1297"/>
      <c r="Q24" s="1296"/>
      <c r="R24" s="1298"/>
    </row>
    <row r="25" spans="1:18" ht="18.75" customHeight="1" thickBot="1" x14ac:dyDescent="0.2">
      <c r="A25" s="1271"/>
      <c r="B25" s="1262"/>
      <c r="C25" s="1262"/>
      <c r="D25" s="1272"/>
      <c r="E25" s="1262"/>
      <c r="F25" s="1273"/>
      <c r="G25" s="1271"/>
      <c r="H25" s="1262"/>
      <c r="I25" s="1273"/>
      <c r="J25" s="1273"/>
      <c r="K25" s="1273"/>
      <c r="L25" s="1273"/>
      <c r="M25" s="1271"/>
      <c r="N25" s="1262"/>
      <c r="O25" s="1262"/>
      <c r="P25" s="1272"/>
      <c r="Q25" s="1262"/>
      <c r="R25" s="1273"/>
    </row>
    <row r="26" spans="1:18" ht="14.25" x14ac:dyDescent="0.15">
      <c r="A26" s="1430" t="s">
        <v>69</v>
      </c>
      <c r="B26" s="1274" t="s">
        <v>679</v>
      </c>
      <c r="C26" s="1274" t="s">
        <v>661</v>
      </c>
      <c r="D26" s="1275">
        <v>125</v>
      </c>
      <c r="E26" s="1274" t="s">
        <v>676</v>
      </c>
      <c r="F26" s="1275">
        <v>840</v>
      </c>
      <c r="G26" s="1276" t="s">
        <v>508</v>
      </c>
      <c r="H26" s="1274" t="s">
        <v>709</v>
      </c>
      <c r="I26" s="1274" t="s">
        <v>661</v>
      </c>
      <c r="J26" s="1275">
        <v>260</v>
      </c>
      <c r="K26" s="1275" t="s">
        <v>727</v>
      </c>
      <c r="L26" s="1275">
        <v>770</v>
      </c>
      <c r="M26" s="1276" t="s">
        <v>508</v>
      </c>
      <c r="N26" s="1274" t="s">
        <v>709</v>
      </c>
      <c r="O26" s="1274" t="s">
        <v>661</v>
      </c>
      <c r="P26" s="1275">
        <v>200</v>
      </c>
      <c r="Q26" s="1274" t="s">
        <v>634</v>
      </c>
      <c r="R26" s="1277">
        <v>850</v>
      </c>
    </row>
    <row r="27" spans="1:18" ht="14.25" x14ac:dyDescent="0.15">
      <c r="A27" s="1431"/>
      <c r="B27" s="1265" t="s">
        <v>680</v>
      </c>
      <c r="C27" s="1265" t="s">
        <v>642</v>
      </c>
      <c r="D27" s="1266">
        <v>230</v>
      </c>
      <c r="E27" s="1265" t="s">
        <v>558</v>
      </c>
      <c r="F27" s="1266">
        <v>940</v>
      </c>
      <c r="G27" s="1264"/>
      <c r="H27" s="1265"/>
      <c r="I27" s="1265" t="s">
        <v>642</v>
      </c>
      <c r="J27" s="1266">
        <v>360</v>
      </c>
      <c r="K27" s="1266"/>
      <c r="L27" s="1266"/>
      <c r="M27" s="1264"/>
      <c r="N27" s="1265"/>
      <c r="O27" s="1265" t="s">
        <v>642</v>
      </c>
      <c r="P27" s="1266">
        <v>300</v>
      </c>
      <c r="Q27" s="1265"/>
      <c r="R27" s="1279"/>
    </row>
    <row r="28" spans="1:18" ht="18.75" customHeight="1" x14ac:dyDescent="0.15">
      <c r="A28" s="1432"/>
      <c r="B28" s="1262"/>
      <c r="C28" s="1262"/>
      <c r="D28" s="1272"/>
      <c r="E28" s="1262"/>
      <c r="F28" s="1273"/>
      <c r="G28" s="1271"/>
      <c r="H28" s="1262"/>
      <c r="I28" s="1273"/>
      <c r="J28" s="1273"/>
      <c r="K28" s="1273"/>
      <c r="L28" s="1273"/>
      <c r="M28" s="1271"/>
      <c r="N28" s="1262"/>
      <c r="O28" s="1262"/>
      <c r="P28" s="1272"/>
      <c r="Q28" s="1262"/>
      <c r="R28" s="1280"/>
    </row>
    <row r="29" spans="1:18" ht="14.25" x14ac:dyDescent="0.15">
      <c r="A29" s="1431" t="s">
        <v>76</v>
      </c>
      <c r="B29" s="1265" t="s">
        <v>648</v>
      </c>
      <c r="C29" s="1265" t="s">
        <v>661</v>
      </c>
      <c r="D29" s="1266">
        <v>115</v>
      </c>
      <c r="E29" s="1265" t="s">
        <v>676</v>
      </c>
      <c r="F29" s="1266">
        <v>790</v>
      </c>
      <c r="G29" s="1271"/>
      <c r="H29" s="1262"/>
      <c r="I29" s="1272"/>
      <c r="J29" s="1272"/>
      <c r="K29" s="1272"/>
      <c r="L29" s="1272"/>
      <c r="M29" s="1271"/>
      <c r="N29" s="1262"/>
      <c r="O29" s="1262"/>
      <c r="P29" s="1272"/>
      <c r="Q29" s="1262"/>
      <c r="R29" s="1280"/>
    </row>
    <row r="30" spans="1:18" ht="15" thickBot="1" x14ac:dyDescent="0.2">
      <c r="A30" s="1454"/>
      <c r="B30" s="1281" t="s">
        <v>649</v>
      </c>
      <c r="C30" s="1281" t="s">
        <v>642</v>
      </c>
      <c r="D30" s="1282">
        <v>220</v>
      </c>
      <c r="E30" s="1281" t="s">
        <v>558</v>
      </c>
      <c r="F30" s="1282">
        <v>890</v>
      </c>
      <c r="G30" s="1294"/>
      <c r="H30" s="1296"/>
      <c r="I30" s="1297"/>
      <c r="J30" s="1297"/>
      <c r="K30" s="1297"/>
      <c r="L30" s="1297"/>
      <c r="M30" s="1294"/>
      <c r="N30" s="1296"/>
      <c r="O30" s="1296"/>
      <c r="P30" s="1297"/>
      <c r="Q30" s="1296"/>
      <c r="R30" s="1298"/>
    </row>
    <row r="31" spans="1:18" ht="18.75" customHeight="1" x14ac:dyDescent="0.15">
      <c r="A31" s="1271"/>
      <c r="B31" s="1262"/>
      <c r="C31" s="1262"/>
      <c r="D31" s="1272"/>
      <c r="E31" s="1262"/>
      <c r="F31" s="1273"/>
      <c r="G31" s="1271"/>
      <c r="H31" s="1262"/>
      <c r="I31" s="1273"/>
      <c r="J31" s="1273"/>
      <c r="K31" s="1273"/>
      <c r="L31" s="1273"/>
      <c r="M31" s="1271"/>
      <c r="N31" s="1262"/>
      <c r="O31" s="1262"/>
      <c r="P31" s="1272"/>
      <c r="Q31" s="1262"/>
      <c r="R31" s="1273"/>
    </row>
    <row r="32" spans="1:18" ht="14.25" x14ac:dyDescent="0.15">
      <c r="A32" s="1264" t="s">
        <v>430</v>
      </c>
      <c r="B32" s="1265" t="s">
        <v>650</v>
      </c>
      <c r="C32" s="1265"/>
      <c r="D32" s="1266"/>
      <c r="E32" s="1265" t="s">
        <v>634</v>
      </c>
      <c r="F32" s="1449">
        <v>455</v>
      </c>
      <c r="G32" s="1264" t="s">
        <v>430</v>
      </c>
      <c r="H32" s="1265" t="s">
        <v>650</v>
      </c>
      <c r="I32" s="1449"/>
      <c r="J32" s="1449"/>
      <c r="K32" s="1449" t="s">
        <v>561</v>
      </c>
      <c r="L32" s="1449">
        <v>755</v>
      </c>
      <c r="M32" s="1264" t="s">
        <v>430</v>
      </c>
      <c r="N32" s="1265" t="s">
        <v>650</v>
      </c>
      <c r="O32" s="1265"/>
      <c r="P32" s="1266"/>
      <c r="Q32" s="1265" t="s">
        <v>634</v>
      </c>
      <c r="R32" s="1449">
        <v>475.87299999999999</v>
      </c>
    </row>
    <row r="33" spans="1:18" ht="18.75" customHeight="1" x14ac:dyDescent="0.15">
      <c r="A33" s="1271"/>
      <c r="B33" s="1262"/>
      <c r="C33" s="1262"/>
      <c r="D33" s="1272"/>
      <c r="E33" s="1262"/>
      <c r="F33" s="1273"/>
      <c r="G33" s="1271"/>
      <c r="H33" s="1262"/>
      <c r="I33" s="1273"/>
      <c r="J33" s="1273"/>
      <c r="K33" s="1273"/>
      <c r="L33" s="1273"/>
      <c r="M33" s="1271"/>
      <c r="N33" s="1262"/>
      <c r="O33" s="1262"/>
      <c r="P33" s="1272"/>
      <c r="Q33" s="1262"/>
      <c r="R33" s="1273"/>
    </row>
    <row r="34" spans="1:18" ht="14.25" x14ac:dyDescent="0.15">
      <c r="A34" s="1264" t="s">
        <v>8</v>
      </c>
      <c r="B34" s="1265" t="s">
        <v>651</v>
      </c>
      <c r="C34" s="1265" t="s">
        <v>82</v>
      </c>
      <c r="D34" s="1266">
        <v>110</v>
      </c>
      <c r="E34" s="1265" t="s">
        <v>634</v>
      </c>
      <c r="F34" s="1266">
        <v>390</v>
      </c>
      <c r="G34" s="1264" t="s">
        <v>8</v>
      </c>
      <c r="H34" s="1265" t="s">
        <v>651</v>
      </c>
      <c r="I34" s="1265" t="s">
        <v>82</v>
      </c>
      <c r="J34" s="1266">
        <v>135</v>
      </c>
      <c r="K34" s="1265" t="s">
        <v>634</v>
      </c>
      <c r="L34" s="1266">
        <v>600</v>
      </c>
      <c r="M34" s="1264" t="s">
        <v>8</v>
      </c>
      <c r="N34" s="1265" t="s">
        <v>651</v>
      </c>
      <c r="O34" s="1265" t="s">
        <v>82</v>
      </c>
      <c r="P34" s="1266">
        <v>135</v>
      </c>
      <c r="Q34" s="1265" t="s">
        <v>634</v>
      </c>
      <c r="R34" s="1266">
        <v>409.99999999999994</v>
      </c>
    </row>
    <row r="35" spans="1:18" ht="18.75" customHeight="1" x14ac:dyDescent="0.15">
      <c r="A35" s="1271"/>
      <c r="B35" s="1262"/>
      <c r="C35" s="1262"/>
      <c r="D35" s="1272"/>
      <c r="E35" s="1262"/>
      <c r="F35" s="1273"/>
      <c r="G35" s="1271"/>
      <c r="H35" s="1262"/>
      <c r="I35" s="1273"/>
      <c r="J35" s="1273"/>
      <c r="K35" s="1273"/>
      <c r="L35" s="1273"/>
      <c r="M35" s="1271"/>
      <c r="N35" s="1262"/>
      <c r="O35" s="1262"/>
      <c r="P35" s="1272"/>
      <c r="Q35" s="1262"/>
      <c r="R35" s="1273"/>
    </row>
    <row r="36" spans="1:18" ht="14.25" x14ac:dyDescent="0.15">
      <c r="A36" s="1264" t="s">
        <v>564</v>
      </c>
      <c r="B36" s="1265" t="s">
        <v>681</v>
      </c>
      <c r="C36" s="1265" t="s">
        <v>82</v>
      </c>
      <c r="D36" s="1266">
        <v>100</v>
      </c>
      <c r="E36" s="1265" t="s">
        <v>634</v>
      </c>
      <c r="F36" s="1266">
        <v>390</v>
      </c>
      <c r="G36" s="1264" t="s">
        <v>564</v>
      </c>
      <c r="H36" s="1265" t="s">
        <v>681</v>
      </c>
      <c r="I36" s="1265" t="s">
        <v>82</v>
      </c>
      <c r="J36" s="1266">
        <v>140</v>
      </c>
      <c r="K36" s="1265" t="s">
        <v>634</v>
      </c>
      <c r="L36" s="1266">
        <v>600</v>
      </c>
      <c r="M36" s="1264" t="s">
        <v>564</v>
      </c>
      <c r="N36" s="1265" t="s">
        <v>681</v>
      </c>
      <c r="O36" s="1265" t="s">
        <v>82</v>
      </c>
      <c r="P36" s="1266">
        <v>135</v>
      </c>
      <c r="Q36" s="1265" t="s">
        <v>634</v>
      </c>
      <c r="R36" s="1266">
        <v>425</v>
      </c>
    </row>
    <row r="37" spans="1:18" ht="18.75" customHeight="1" thickBot="1" x14ac:dyDescent="0.2">
      <c r="A37" s="1271"/>
      <c r="B37" s="1262"/>
      <c r="C37" s="1262"/>
      <c r="D37" s="1272"/>
      <c r="E37" s="1262"/>
      <c r="F37" s="1273"/>
      <c r="G37" s="1271"/>
      <c r="H37" s="1262"/>
      <c r="I37" s="1273"/>
      <c r="J37" s="1273"/>
      <c r="K37" s="1273"/>
      <c r="L37" s="1273"/>
      <c r="M37" s="1271"/>
      <c r="N37" s="1262"/>
      <c r="O37" s="1262"/>
      <c r="P37" s="1272"/>
      <c r="Q37" s="1262"/>
      <c r="R37" s="1273"/>
    </row>
    <row r="38" spans="1:18" ht="14.25" x14ac:dyDescent="0.15">
      <c r="A38" s="1430" t="s">
        <v>9</v>
      </c>
      <c r="B38" s="1274" t="s">
        <v>682</v>
      </c>
      <c r="C38" s="1274" t="s">
        <v>568</v>
      </c>
      <c r="D38" s="1275">
        <v>90</v>
      </c>
      <c r="E38" s="1274" t="s">
        <v>653</v>
      </c>
      <c r="F38" s="1275">
        <v>605</v>
      </c>
      <c r="G38" s="1276" t="s">
        <v>9</v>
      </c>
      <c r="H38" s="1274" t="s">
        <v>682</v>
      </c>
      <c r="I38" s="1274" t="s">
        <v>568</v>
      </c>
      <c r="J38" s="1275">
        <v>90</v>
      </c>
      <c r="K38" s="1274" t="s">
        <v>653</v>
      </c>
      <c r="L38" s="1275">
        <v>605</v>
      </c>
      <c r="M38" s="1276" t="s">
        <v>9</v>
      </c>
      <c r="N38" s="1274" t="s">
        <v>682</v>
      </c>
      <c r="O38" s="1274" t="s">
        <v>710</v>
      </c>
      <c r="P38" s="1275">
        <v>140</v>
      </c>
      <c r="Q38" s="1274" t="s">
        <v>653</v>
      </c>
      <c r="R38" s="1277">
        <v>610</v>
      </c>
    </row>
    <row r="39" spans="1:18" ht="14.25" x14ac:dyDescent="0.15">
      <c r="A39" s="1431"/>
      <c r="B39" s="1265" t="s">
        <v>674</v>
      </c>
      <c r="C39" s="1265" t="s">
        <v>683</v>
      </c>
      <c r="D39" s="1266">
        <v>100</v>
      </c>
      <c r="E39" s="1265" t="s">
        <v>576</v>
      </c>
      <c r="F39" s="1266">
        <v>735</v>
      </c>
      <c r="G39" s="1266"/>
      <c r="H39" s="1266"/>
      <c r="I39" s="1265" t="s">
        <v>683</v>
      </c>
      <c r="J39" s="1266">
        <v>100</v>
      </c>
      <c r="K39" s="1265" t="s">
        <v>576</v>
      </c>
      <c r="L39" s="1266">
        <v>735</v>
      </c>
      <c r="M39" s="1264"/>
      <c r="N39" s="1265"/>
      <c r="O39" s="1265" t="s">
        <v>572</v>
      </c>
      <c r="P39" s="1266">
        <v>250</v>
      </c>
      <c r="Q39" s="1265" t="s">
        <v>576</v>
      </c>
      <c r="R39" s="1278">
        <v>710</v>
      </c>
    </row>
    <row r="40" spans="1:18" ht="14.25" x14ac:dyDescent="0.15">
      <c r="A40" s="1431"/>
      <c r="B40" s="1265"/>
      <c r="C40" s="1265" t="s">
        <v>684</v>
      </c>
      <c r="D40" s="1266">
        <v>125</v>
      </c>
      <c r="E40" s="1265"/>
      <c r="F40" s="1267"/>
      <c r="G40" s="1267"/>
      <c r="H40" s="1267"/>
      <c r="I40" s="1265" t="s">
        <v>684</v>
      </c>
      <c r="J40" s="1266">
        <v>125</v>
      </c>
      <c r="K40" s="1265"/>
      <c r="L40" s="1273"/>
      <c r="M40" s="1271"/>
      <c r="N40" s="1271"/>
      <c r="O40" s="1271"/>
      <c r="P40" s="1271"/>
      <c r="Q40" s="1271"/>
      <c r="R40" s="1293"/>
    </row>
    <row r="41" spans="1:18" ht="14.25" x14ac:dyDescent="0.15">
      <c r="A41" s="1431"/>
      <c r="B41" s="1265"/>
      <c r="C41" s="1265" t="s">
        <v>685</v>
      </c>
      <c r="D41" s="1266">
        <v>190</v>
      </c>
      <c r="E41" s="1265"/>
      <c r="F41" s="1267"/>
      <c r="G41" s="1267"/>
      <c r="H41" s="1267"/>
      <c r="I41" s="1265" t="s">
        <v>685</v>
      </c>
      <c r="J41" s="1266">
        <v>190</v>
      </c>
      <c r="K41" s="1265"/>
      <c r="L41" s="1273"/>
      <c r="M41" s="1271"/>
      <c r="N41" s="1271"/>
      <c r="O41" s="1271"/>
      <c r="P41" s="1271"/>
      <c r="Q41" s="1271"/>
      <c r="R41" s="1293"/>
    </row>
    <row r="42" spans="1:18" ht="14.25" x14ac:dyDescent="0.15">
      <c r="A42" s="1431"/>
      <c r="B42" s="1265"/>
      <c r="C42" s="1265" t="s">
        <v>572</v>
      </c>
      <c r="D42" s="1266">
        <v>225</v>
      </c>
      <c r="E42" s="1265"/>
      <c r="F42" s="1267"/>
      <c r="G42" s="1267"/>
      <c r="H42" s="1267"/>
      <c r="I42" s="1265" t="s">
        <v>572</v>
      </c>
      <c r="J42" s="1266">
        <v>225</v>
      </c>
      <c r="K42" s="1265"/>
      <c r="L42" s="1273"/>
      <c r="M42" s="1271"/>
      <c r="N42" s="1271"/>
      <c r="O42" s="1271"/>
      <c r="P42" s="1271"/>
      <c r="Q42" s="1271"/>
      <c r="R42" s="1293"/>
    </row>
    <row r="43" spans="1:18" ht="14.25" x14ac:dyDescent="0.15">
      <c r="A43" s="1432"/>
      <c r="B43" s="1262"/>
      <c r="C43" s="1456"/>
      <c r="D43" s="1272"/>
      <c r="E43" s="1262"/>
      <c r="F43" s="1273"/>
      <c r="G43" s="1273"/>
      <c r="H43" s="1273"/>
      <c r="I43" s="1456"/>
      <c r="J43" s="1273"/>
      <c r="K43" s="1262"/>
      <c r="L43" s="1267"/>
      <c r="M43" s="1271"/>
      <c r="N43" s="1271"/>
      <c r="O43" s="1271"/>
      <c r="P43" s="1271"/>
      <c r="Q43" s="1271"/>
      <c r="R43" s="1293"/>
    </row>
    <row r="44" spans="1:18" ht="14.25" x14ac:dyDescent="0.15">
      <c r="A44" s="1431" t="s">
        <v>11</v>
      </c>
      <c r="B44" s="1265" t="s">
        <v>652</v>
      </c>
      <c r="C44" s="1265" t="s">
        <v>568</v>
      </c>
      <c r="D44" s="1266">
        <v>80</v>
      </c>
      <c r="E44" s="1265" t="s">
        <v>653</v>
      </c>
      <c r="F44" s="1266">
        <v>575</v>
      </c>
      <c r="G44" s="1266"/>
      <c r="H44" s="1266"/>
      <c r="I44" s="1265" t="s">
        <v>568</v>
      </c>
      <c r="J44" s="1266">
        <v>80</v>
      </c>
      <c r="K44" s="1467" t="s">
        <v>653</v>
      </c>
      <c r="L44" s="1266">
        <v>575</v>
      </c>
      <c r="M44" s="1271"/>
      <c r="N44" s="1262"/>
      <c r="O44" s="1262"/>
      <c r="P44" s="1272"/>
      <c r="Q44" s="1262"/>
      <c r="R44" s="1280"/>
    </row>
    <row r="45" spans="1:18" ht="14.25" x14ac:dyDescent="0.15">
      <c r="A45" s="1431"/>
      <c r="B45" s="1265" t="s">
        <v>686</v>
      </c>
      <c r="C45" s="1265" t="s">
        <v>683</v>
      </c>
      <c r="D45" s="1266">
        <v>95</v>
      </c>
      <c r="E45" s="1265" t="s">
        <v>654</v>
      </c>
      <c r="F45" s="1266">
        <v>670</v>
      </c>
      <c r="G45" s="1266"/>
      <c r="H45" s="1266"/>
      <c r="I45" s="1265" t="s">
        <v>683</v>
      </c>
      <c r="J45" s="1266">
        <v>95</v>
      </c>
      <c r="K45" s="1467" t="s">
        <v>654</v>
      </c>
      <c r="L45" s="1266">
        <v>670</v>
      </c>
      <c r="M45" s="1271"/>
      <c r="N45" s="1262"/>
      <c r="O45" s="1262"/>
      <c r="P45" s="1272"/>
      <c r="Q45" s="1262"/>
      <c r="R45" s="1280"/>
    </row>
    <row r="46" spans="1:18" ht="14.25" x14ac:dyDescent="0.15">
      <c r="A46" s="1431"/>
      <c r="B46" s="1265" t="s">
        <v>687</v>
      </c>
      <c r="C46" s="1265" t="s">
        <v>684</v>
      </c>
      <c r="D46" s="1266">
        <v>120</v>
      </c>
      <c r="E46" s="1265" t="s">
        <v>575</v>
      </c>
      <c r="F46" s="1266">
        <v>700</v>
      </c>
      <c r="G46" s="1266"/>
      <c r="H46" s="1266"/>
      <c r="I46" s="1265" t="s">
        <v>684</v>
      </c>
      <c r="J46" s="1266">
        <v>120</v>
      </c>
      <c r="K46" s="1467" t="s">
        <v>728</v>
      </c>
      <c r="L46" s="1266">
        <v>700</v>
      </c>
      <c r="M46" s="1271"/>
      <c r="N46" s="1262"/>
      <c r="O46" s="1262"/>
      <c r="P46" s="1272"/>
      <c r="Q46" s="1262"/>
      <c r="R46" s="1280"/>
    </row>
    <row r="47" spans="1:18" ht="14.25" x14ac:dyDescent="0.15">
      <c r="A47" s="1431"/>
      <c r="B47" s="1265"/>
      <c r="C47" s="1265" t="s">
        <v>685</v>
      </c>
      <c r="D47" s="1266">
        <v>175</v>
      </c>
      <c r="E47" s="1265"/>
      <c r="F47" s="1267"/>
      <c r="G47" s="1267"/>
      <c r="H47" s="1267"/>
      <c r="I47" s="1265" t="s">
        <v>685</v>
      </c>
      <c r="J47" s="1266">
        <v>175</v>
      </c>
      <c r="K47" s="1273"/>
      <c r="L47" s="1273"/>
      <c r="M47" s="1271"/>
      <c r="N47" s="1262"/>
      <c r="O47" s="1262"/>
      <c r="P47" s="1272"/>
      <c r="Q47" s="1262"/>
      <c r="R47" s="1280"/>
    </row>
    <row r="48" spans="1:18" ht="15" thickBot="1" x14ac:dyDescent="0.2">
      <c r="A48" s="1454"/>
      <c r="B48" s="1281"/>
      <c r="C48" s="1281" t="s">
        <v>572</v>
      </c>
      <c r="D48" s="1282">
        <v>210</v>
      </c>
      <c r="E48" s="1281"/>
      <c r="F48" s="1455"/>
      <c r="G48" s="1455"/>
      <c r="H48" s="1455"/>
      <c r="I48" s="1281" t="s">
        <v>572</v>
      </c>
      <c r="J48" s="1282">
        <v>210</v>
      </c>
      <c r="K48" s="1437"/>
      <c r="L48" s="1437"/>
      <c r="M48" s="1294"/>
      <c r="N48" s="1296"/>
      <c r="O48" s="1296"/>
      <c r="P48" s="1297"/>
      <c r="Q48" s="1296"/>
      <c r="R48" s="1298"/>
    </row>
    <row r="49" spans="1:18" ht="18.75" customHeight="1" x14ac:dyDescent="0.15">
      <c r="A49" s="1271"/>
      <c r="B49" s="1262"/>
      <c r="C49" s="1262"/>
      <c r="D49" s="1272"/>
      <c r="E49" s="1262"/>
      <c r="F49" s="1273"/>
      <c r="G49" s="1273"/>
      <c r="H49" s="1273"/>
      <c r="I49" s="1273"/>
      <c r="J49" s="1273"/>
      <c r="K49" s="1273"/>
      <c r="L49" s="1273"/>
      <c r="M49" s="1271"/>
      <c r="N49" s="1262"/>
      <c r="O49" s="1262"/>
      <c r="P49" s="1272"/>
      <c r="Q49" s="1262"/>
      <c r="R49" s="1273"/>
    </row>
    <row r="50" spans="1:18" ht="18.75" customHeight="1" x14ac:dyDescent="0.15">
      <c r="A50" s="1271"/>
      <c r="B50" s="1262"/>
      <c r="C50" s="1262"/>
      <c r="D50" s="1272"/>
      <c r="E50" s="1262"/>
      <c r="F50" s="1273"/>
      <c r="G50" s="1273"/>
      <c r="H50" s="1273"/>
      <c r="I50" s="1273"/>
      <c r="J50" s="1273"/>
      <c r="K50" s="1273"/>
      <c r="L50" s="1273"/>
      <c r="M50" s="1271"/>
      <c r="N50" s="1262"/>
      <c r="O50" s="1262"/>
      <c r="P50" s="1272"/>
      <c r="Q50" s="1262"/>
      <c r="R50" s="1273"/>
    </row>
    <row r="51" spans="1:18" ht="14.25" x14ac:dyDescent="0.15">
      <c r="A51" s="1264" t="s">
        <v>655</v>
      </c>
      <c r="B51" s="1265" t="s">
        <v>13</v>
      </c>
      <c r="C51" s="1265" t="s">
        <v>656</v>
      </c>
      <c r="D51" s="1266">
        <v>110</v>
      </c>
      <c r="E51" s="1265" t="s">
        <v>634</v>
      </c>
      <c r="F51" s="1266">
        <v>500</v>
      </c>
      <c r="G51" s="1264" t="s">
        <v>655</v>
      </c>
      <c r="H51" s="1265" t="s">
        <v>13</v>
      </c>
      <c r="I51" s="1265" t="s">
        <v>656</v>
      </c>
      <c r="J51" s="1266">
        <v>160</v>
      </c>
      <c r="K51" s="1266" t="s">
        <v>561</v>
      </c>
      <c r="L51" s="1266">
        <v>600</v>
      </c>
      <c r="M51" s="1264" t="s">
        <v>655</v>
      </c>
      <c r="N51" s="1265" t="s">
        <v>13</v>
      </c>
      <c r="O51" s="1265" t="s">
        <v>656</v>
      </c>
      <c r="P51" s="1266">
        <v>175</v>
      </c>
      <c r="Q51" s="1265" t="s">
        <v>634</v>
      </c>
      <c r="R51" s="1266">
        <v>550</v>
      </c>
    </row>
    <row r="52" spans="1:18" ht="14.25" x14ac:dyDescent="0.15">
      <c r="A52" s="1264"/>
      <c r="B52" s="1265"/>
      <c r="C52" s="1269" t="s">
        <v>657</v>
      </c>
      <c r="D52" s="1266">
        <v>215</v>
      </c>
      <c r="E52" s="1265"/>
      <c r="F52" s="1267"/>
      <c r="G52" s="1264"/>
      <c r="H52" s="1265"/>
      <c r="I52" s="1269" t="s">
        <v>657</v>
      </c>
      <c r="J52" s="1267">
        <v>240</v>
      </c>
      <c r="K52" s="1267"/>
      <c r="L52" s="1267"/>
      <c r="M52" s="1264"/>
      <c r="N52" s="1265"/>
      <c r="O52" s="1269" t="s">
        <v>657</v>
      </c>
      <c r="P52" s="1266">
        <v>275</v>
      </c>
      <c r="Q52" s="1265"/>
      <c r="R52" s="1267"/>
    </row>
    <row r="53" spans="1:18" ht="18.75" customHeight="1" x14ac:dyDescent="0.15">
      <c r="A53" s="1271"/>
      <c r="B53" s="1262"/>
      <c r="C53" s="1262"/>
      <c r="D53" s="1272"/>
      <c r="E53" s="1262"/>
      <c r="F53" s="1273"/>
      <c r="G53" s="1271"/>
      <c r="H53" s="1262"/>
      <c r="I53" s="1273"/>
      <c r="J53" s="1273"/>
      <c r="K53" s="1273"/>
      <c r="L53" s="1273"/>
      <c r="M53" s="1271"/>
      <c r="N53" s="1262"/>
      <c r="O53" s="1262"/>
      <c r="P53" s="1272"/>
      <c r="Q53" s="1262"/>
      <c r="R53" s="1273"/>
    </row>
    <row r="54" spans="1:18" ht="14.25" x14ac:dyDescent="0.15">
      <c r="A54" s="1264" t="s">
        <v>658</v>
      </c>
      <c r="B54" s="1265" t="s">
        <v>106</v>
      </c>
      <c r="C54" s="1265" t="s">
        <v>646</v>
      </c>
      <c r="D54" s="1266">
        <v>125</v>
      </c>
      <c r="E54" s="1265" t="s">
        <v>634</v>
      </c>
      <c r="F54" s="1266">
        <v>670</v>
      </c>
      <c r="G54" s="1264" t="s">
        <v>658</v>
      </c>
      <c r="H54" s="1265" t="s">
        <v>106</v>
      </c>
      <c r="I54" s="1265" t="s">
        <v>646</v>
      </c>
      <c r="J54" s="1266">
        <v>180</v>
      </c>
      <c r="K54" s="1451" t="s">
        <v>634</v>
      </c>
      <c r="L54" s="1266">
        <v>700</v>
      </c>
      <c r="M54" s="1264" t="s">
        <v>658</v>
      </c>
      <c r="N54" s="1265" t="s">
        <v>106</v>
      </c>
      <c r="O54" s="1265" t="s">
        <v>646</v>
      </c>
      <c r="P54" s="1266">
        <v>175</v>
      </c>
      <c r="Q54" s="1265" t="s">
        <v>634</v>
      </c>
      <c r="R54" s="1266">
        <v>700</v>
      </c>
    </row>
    <row r="55" spans="1:18" ht="14.25" x14ac:dyDescent="0.15">
      <c r="A55" s="1271"/>
      <c r="B55" s="1262"/>
      <c r="C55" s="1262"/>
      <c r="D55" s="1272"/>
      <c r="E55" s="1262"/>
      <c r="F55" s="1273"/>
      <c r="G55" s="1271"/>
      <c r="H55" s="1262"/>
      <c r="I55" s="1273"/>
      <c r="J55" s="1273"/>
      <c r="K55" s="1273"/>
      <c r="L55" s="1273"/>
      <c r="M55" s="1271"/>
      <c r="N55" s="1262"/>
      <c r="O55" s="1262"/>
      <c r="P55" s="1272"/>
      <c r="Q55" s="1262"/>
      <c r="R55" s="1273"/>
    </row>
    <row r="56" spans="1:18" ht="14.25" x14ac:dyDescent="0.15">
      <c r="A56" s="1264" t="s">
        <v>659</v>
      </c>
      <c r="B56" s="1265" t="s">
        <v>660</v>
      </c>
      <c r="C56" s="1265" t="s">
        <v>661</v>
      </c>
      <c r="D56" s="1266">
        <v>70</v>
      </c>
      <c r="E56" s="1265" t="s">
        <v>634</v>
      </c>
      <c r="F56" s="1266">
        <v>500</v>
      </c>
      <c r="G56" s="1264" t="s">
        <v>659</v>
      </c>
      <c r="H56" s="1265" t="s">
        <v>660</v>
      </c>
      <c r="I56" s="1265" t="s">
        <v>661</v>
      </c>
      <c r="J56" s="1266">
        <v>70</v>
      </c>
      <c r="K56" s="1451" t="s">
        <v>634</v>
      </c>
      <c r="L56" s="1266">
        <v>500</v>
      </c>
      <c r="M56" s="1264" t="s">
        <v>659</v>
      </c>
      <c r="N56" s="1265" t="s">
        <v>660</v>
      </c>
      <c r="O56" s="1265" t="s">
        <v>661</v>
      </c>
      <c r="P56" s="1266">
        <v>70</v>
      </c>
      <c r="Q56" s="1265" t="s">
        <v>634</v>
      </c>
      <c r="R56" s="1266">
        <v>450</v>
      </c>
    </row>
    <row r="57" spans="1:18" ht="14.25" x14ac:dyDescent="0.15">
      <c r="A57" s="1264"/>
      <c r="B57" s="1265"/>
      <c r="C57" s="1269" t="s">
        <v>662</v>
      </c>
      <c r="D57" s="1266">
        <v>170</v>
      </c>
      <c r="E57" s="1265"/>
      <c r="F57" s="1267"/>
      <c r="G57" s="1264"/>
      <c r="H57" s="1265"/>
      <c r="I57" s="1269" t="s">
        <v>662</v>
      </c>
      <c r="J57" s="1266">
        <v>170</v>
      </c>
      <c r="K57" s="1265"/>
      <c r="L57" s="1267"/>
      <c r="M57" s="1264"/>
      <c r="N57" s="1265"/>
      <c r="O57" s="1269" t="s">
        <v>662</v>
      </c>
      <c r="P57" s="1266">
        <v>170</v>
      </c>
      <c r="Q57" s="1265"/>
      <c r="R57" s="1267"/>
    </row>
    <row r="58" spans="1:18" ht="14.25" x14ac:dyDescent="0.15">
      <c r="A58" s="1264"/>
      <c r="B58" s="1265"/>
      <c r="C58" s="1269" t="s">
        <v>663</v>
      </c>
      <c r="D58" s="1266">
        <v>200</v>
      </c>
      <c r="E58" s="1265"/>
      <c r="F58" s="1267"/>
      <c r="G58" s="1264"/>
      <c r="H58" s="1265"/>
      <c r="I58" s="1269" t="s">
        <v>663</v>
      </c>
      <c r="J58" s="1266">
        <v>200</v>
      </c>
      <c r="K58" s="1265"/>
      <c r="L58" s="1267"/>
      <c r="M58" s="1264"/>
      <c r="N58" s="1265"/>
      <c r="O58" s="1269" t="s">
        <v>663</v>
      </c>
      <c r="P58" s="1266">
        <v>200</v>
      </c>
      <c r="Q58" s="1265"/>
      <c r="R58" s="1267"/>
    </row>
    <row r="59" spans="1:18" ht="18.75" customHeight="1" thickBot="1" x14ac:dyDescent="0.2">
      <c r="A59" s="1271"/>
      <c r="B59" s="1262"/>
      <c r="C59" s="1262"/>
      <c r="D59" s="1272"/>
      <c r="E59" s="1262"/>
      <c r="F59" s="1273"/>
      <c r="G59" s="1271"/>
      <c r="H59" s="1262"/>
      <c r="I59" s="1273"/>
      <c r="J59" s="1273"/>
      <c r="K59" s="1273"/>
      <c r="L59" s="1273"/>
      <c r="M59" s="1271"/>
      <c r="N59" s="1262"/>
      <c r="O59" s="1262"/>
      <c r="P59" s="1272"/>
      <c r="Q59" s="1262"/>
      <c r="R59" s="1273"/>
    </row>
    <row r="60" spans="1:18" ht="14.25" x14ac:dyDescent="0.15">
      <c r="A60" s="1430" t="s">
        <v>371</v>
      </c>
      <c r="B60" s="1274" t="s">
        <v>689</v>
      </c>
      <c r="C60" s="1274" t="s">
        <v>688</v>
      </c>
      <c r="D60" s="1275">
        <v>275</v>
      </c>
      <c r="E60" s="1274" t="s">
        <v>634</v>
      </c>
      <c r="F60" s="1275">
        <v>1120</v>
      </c>
      <c r="G60" s="1276" t="s">
        <v>15</v>
      </c>
      <c r="H60" s="1274" t="s">
        <v>689</v>
      </c>
      <c r="I60" s="1274" t="s">
        <v>688</v>
      </c>
      <c r="J60" s="1275">
        <v>360</v>
      </c>
      <c r="K60" s="1275" t="s">
        <v>561</v>
      </c>
      <c r="L60" s="1275">
        <v>1300</v>
      </c>
      <c r="M60" s="1276" t="s">
        <v>15</v>
      </c>
      <c r="N60" s="1274" t="s">
        <v>689</v>
      </c>
      <c r="O60" s="1274" t="s">
        <v>711</v>
      </c>
      <c r="P60" s="1275">
        <v>200</v>
      </c>
      <c r="Q60" s="1274" t="s">
        <v>634</v>
      </c>
      <c r="R60" s="1277">
        <v>1150</v>
      </c>
    </row>
    <row r="61" spans="1:18" ht="14.25" x14ac:dyDescent="0.15">
      <c r="A61" s="1432"/>
      <c r="B61" s="1262"/>
      <c r="C61" s="1262"/>
      <c r="D61" s="1272"/>
      <c r="E61" s="1262"/>
      <c r="F61" s="1273"/>
      <c r="G61" s="1273"/>
      <c r="H61" s="1273"/>
      <c r="I61" s="1273"/>
      <c r="J61" s="1273"/>
      <c r="K61" s="1273"/>
      <c r="L61" s="1273"/>
      <c r="M61" s="1271"/>
      <c r="N61" s="1262"/>
      <c r="O61" s="1262"/>
      <c r="P61" s="1272"/>
      <c r="Q61" s="1262"/>
      <c r="R61" s="1280"/>
    </row>
    <row r="62" spans="1:18" ht="15" thickBot="1" x14ac:dyDescent="0.2">
      <c r="A62" s="1454" t="s">
        <v>370</v>
      </c>
      <c r="B62" s="1468" t="s">
        <v>690</v>
      </c>
      <c r="C62" s="1281" t="s">
        <v>646</v>
      </c>
      <c r="D62" s="1282">
        <v>150</v>
      </c>
      <c r="E62" s="1281" t="s">
        <v>634</v>
      </c>
      <c r="F62" s="1282">
        <v>1120</v>
      </c>
      <c r="G62" s="1469" t="s">
        <v>370</v>
      </c>
      <c r="H62" s="1469"/>
      <c r="I62" s="1612" t="s">
        <v>712</v>
      </c>
      <c r="J62" s="1613"/>
      <c r="K62" s="1613"/>
      <c r="L62" s="1614"/>
      <c r="M62" s="1283"/>
      <c r="N62" s="1299" t="s">
        <v>712</v>
      </c>
      <c r="O62" s="1281"/>
      <c r="P62" s="1282"/>
      <c r="Q62" s="1281"/>
      <c r="R62" s="1284"/>
    </row>
    <row r="63" spans="1:18" ht="18.75" customHeight="1" x14ac:dyDescent="0.15">
      <c r="A63" s="1271"/>
      <c r="B63" s="1262"/>
      <c r="C63" s="1262"/>
      <c r="D63" s="1272"/>
      <c r="E63" s="1262"/>
      <c r="F63" s="1273"/>
      <c r="G63" s="1273"/>
      <c r="H63" s="1273"/>
      <c r="I63" s="1273"/>
      <c r="J63" s="1273"/>
      <c r="K63" s="1273"/>
      <c r="L63" s="1273"/>
      <c r="M63" s="1271"/>
      <c r="N63" s="1262"/>
      <c r="O63" s="1262"/>
      <c r="P63" s="1272"/>
      <c r="Q63" s="1262"/>
      <c r="R63" s="1273"/>
    </row>
    <row r="64" spans="1:18" ht="14.25" x14ac:dyDescent="0.15">
      <c r="A64" s="1264" t="s">
        <v>16</v>
      </c>
      <c r="B64" s="1265" t="s">
        <v>664</v>
      </c>
      <c r="C64" s="1265" t="s">
        <v>116</v>
      </c>
      <c r="D64" s="1266">
        <v>250</v>
      </c>
      <c r="E64" s="1265" t="s">
        <v>634</v>
      </c>
      <c r="F64" s="1266">
        <v>560</v>
      </c>
      <c r="G64" s="1264" t="s">
        <v>16</v>
      </c>
      <c r="H64" s="1265" t="s">
        <v>664</v>
      </c>
      <c r="I64" s="1266" t="s">
        <v>116</v>
      </c>
      <c r="J64" s="1266">
        <v>500</v>
      </c>
      <c r="K64" s="1266" t="s">
        <v>561</v>
      </c>
      <c r="L64" s="1266">
        <v>600</v>
      </c>
      <c r="M64" s="1264" t="s">
        <v>16</v>
      </c>
      <c r="N64" s="1265" t="s">
        <v>664</v>
      </c>
      <c r="O64" s="1265" t="s">
        <v>116</v>
      </c>
      <c r="P64" s="1266">
        <v>350</v>
      </c>
      <c r="Q64" s="1265" t="s">
        <v>634</v>
      </c>
      <c r="R64" s="1266">
        <v>600</v>
      </c>
    </row>
    <row r="65" spans="1:18" ht="18.75" customHeight="1" thickBot="1" x14ac:dyDescent="0.2">
      <c r="A65" s="1271"/>
      <c r="B65" s="1262"/>
      <c r="C65" s="1262"/>
      <c r="D65" s="1272"/>
      <c r="E65" s="1262"/>
      <c r="F65" s="1273"/>
      <c r="G65" s="1271"/>
      <c r="H65" s="1262"/>
      <c r="I65" s="1273"/>
      <c r="J65" s="1273"/>
      <c r="K65" s="1273"/>
      <c r="L65" s="1273"/>
      <c r="M65" s="1271"/>
      <c r="N65" s="1262"/>
      <c r="O65" s="1262"/>
      <c r="P65" s="1272"/>
      <c r="Q65" s="1262"/>
      <c r="R65" s="1273"/>
    </row>
    <row r="66" spans="1:18" ht="14.25" x14ac:dyDescent="0.15">
      <c r="A66" s="1430" t="s">
        <v>120</v>
      </c>
      <c r="B66" s="1274" t="s">
        <v>682</v>
      </c>
      <c r="C66" s="1274" t="s">
        <v>116</v>
      </c>
      <c r="D66" s="1275">
        <v>275</v>
      </c>
      <c r="E66" s="1274" t="s">
        <v>691</v>
      </c>
      <c r="F66" s="1275">
        <v>750</v>
      </c>
      <c r="G66" s="1276" t="s">
        <v>665</v>
      </c>
      <c r="H66" s="1274" t="s">
        <v>682</v>
      </c>
      <c r="I66" s="1275" t="s">
        <v>116</v>
      </c>
      <c r="J66" s="1275">
        <v>510</v>
      </c>
      <c r="K66" s="1450" t="s">
        <v>634</v>
      </c>
      <c r="L66" s="1275">
        <v>660</v>
      </c>
      <c r="M66" s="1276" t="s">
        <v>665</v>
      </c>
      <c r="N66" s="1274" t="s">
        <v>682</v>
      </c>
      <c r="O66" s="1274" t="s">
        <v>116</v>
      </c>
      <c r="P66" s="1275">
        <v>350</v>
      </c>
      <c r="Q66" s="1274" t="s">
        <v>634</v>
      </c>
      <c r="R66" s="1277">
        <v>740</v>
      </c>
    </row>
    <row r="67" spans="1:18" ht="14.25" x14ac:dyDescent="0.15">
      <c r="A67" s="1431"/>
      <c r="B67" s="1265" t="s">
        <v>674</v>
      </c>
      <c r="C67" s="1265"/>
      <c r="D67" s="1266"/>
      <c r="E67" s="1265" t="s">
        <v>692</v>
      </c>
      <c r="F67" s="1266">
        <v>780</v>
      </c>
      <c r="G67" s="1272"/>
      <c r="H67" s="1272"/>
      <c r="I67" s="1272"/>
      <c r="J67" s="1272"/>
      <c r="K67" s="1470"/>
      <c r="L67" s="1272"/>
      <c r="M67" s="1271"/>
      <c r="N67" s="1262"/>
      <c r="O67" s="1262"/>
      <c r="P67" s="1272"/>
      <c r="Q67" s="1262"/>
      <c r="R67" s="1280"/>
    </row>
    <row r="68" spans="1:18" ht="14.25" x14ac:dyDescent="0.15">
      <c r="A68" s="1432"/>
      <c r="B68" s="1262"/>
      <c r="C68" s="1262"/>
      <c r="D68" s="1272"/>
      <c r="E68" s="1262"/>
      <c r="F68" s="1273"/>
      <c r="G68" s="1273"/>
      <c r="H68" s="1273"/>
      <c r="I68" s="1273"/>
      <c r="J68" s="1273"/>
      <c r="K68" s="1273"/>
      <c r="L68" s="1273"/>
      <c r="M68" s="1271"/>
      <c r="N68" s="1262"/>
      <c r="O68" s="1262"/>
      <c r="P68" s="1272"/>
      <c r="Q68" s="1262"/>
      <c r="R68" s="1280"/>
    </row>
    <row r="69" spans="1:18" ht="18.75" customHeight="1" x14ac:dyDescent="0.15">
      <c r="A69" s="1431" t="s">
        <v>124</v>
      </c>
      <c r="B69" s="1265" t="s">
        <v>693</v>
      </c>
      <c r="C69" s="1265" t="s">
        <v>116</v>
      </c>
      <c r="D69" s="1266">
        <v>265</v>
      </c>
      <c r="E69" s="1265" t="s">
        <v>691</v>
      </c>
      <c r="F69" s="1266">
        <v>740</v>
      </c>
      <c r="G69" s="1272"/>
      <c r="H69" s="1272"/>
      <c r="I69" s="1272"/>
      <c r="J69" s="1272"/>
      <c r="K69" s="1272"/>
      <c r="L69" s="1272"/>
      <c r="M69" s="1271"/>
      <c r="N69" s="1262"/>
      <c r="O69" s="1262"/>
      <c r="P69" s="1272"/>
      <c r="Q69" s="1262"/>
      <c r="R69" s="1280"/>
    </row>
    <row r="70" spans="1:18" ht="18.75" customHeight="1" x14ac:dyDescent="0.15">
      <c r="A70" s="1431"/>
      <c r="B70" s="1265" t="s">
        <v>694</v>
      </c>
      <c r="C70" s="1265"/>
      <c r="D70" s="1266"/>
      <c r="E70" s="1265" t="s">
        <v>692</v>
      </c>
      <c r="F70" s="1266">
        <v>760</v>
      </c>
      <c r="G70" s="1272"/>
      <c r="H70" s="1272"/>
      <c r="I70" s="1272"/>
      <c r="J70" s="1272"/>
      <c r="K70" s="1272"/>
      <c r="L70" s="1272"/>
      <c r="M70" s="1271"/>
      <c r="N70" s="1262"/>
      <c r="O70" s="1262"/>
      <c r="P70" s="1272"/>
      <c r="Q70" s="1262"/>
      <c r="R70" s="1280"/>
    </row>
    <row r="71" spans="1:18" ht="18.75" customHeight="1" x14ac:dyDescent="0.15">
      <c r="A71" s="1432"/>
      <c r="B71" s="1262"/>
      <c r="C71" s="1262"/>
      <c r="D71" s="1272"/>
      <c r="E71" s="1262"/>
      <c r="F71" s="1272"/>
      <c r="G71" s="1272"/>
      <c r="H71" s="1272"/>
      <c r="I71" s="1272"/>
      <c r="J71" s="1272"/>
      <c r="K71" s="1272"/>
      <c r="L71" s="1272"/>
      <c r="M71" s="1271"/>
      <c r="N71" s="1262"/>
      <c r="O71" s="1262"/>
      <c r="P71" s="1272"/>
      <c r="Q71" s="1262"/>
      <c r="R71" s="1280"/>
    </row>
    <row r="72" spans="1:18" ht="18.75" customHeight="1" x14ac:dyDescent="0.15">
      <c r="A72" s="1431"/>
      <c r="B72" s="1160" t="s">
        <v>620</v>
      </c>
      <c r="C72" s="1265" t="s">
        <v>116</v>
      </c>
      <c r="D72" s="1266">
        <v>245</v>
      </c>
      <c r="E72" s="1265" t="s">
        <v>634</v>
      </c>
      <c r="F72" s="1266">
        <v>525</v>
      </c>
      <c r="G72" s="1266"/>
      <c r="H72" s="1160" t="s">
        <v>620</v>
      </c>
      <c r="I72" s="1265" t="s">
        <v>116</v>
      </c>
      <c r="J72" s="1266">
        <v>245</v>
      </c>
      <c r="K72" s="1451" t="s">
        <v>634</v>
      </c>
      <c r="L72" s="1266">
        <v>525</v>
      </c>
      <c r="M72" s="1264"/>
      <c r="N72" s="1160" t="s">
        <v>620</v>
      </c>
      <c r="O72" s="1265" t="s">
        <v>116</v>
      </c>
      <c r="P72" s="1266">
        <v>300</v>
      </c>
      <c r="Q72" s="1265" t="s">
        <v>634</v>
      </c>
      <c r="R72" s="1278">
        <v>525</v>
      </c>
    </row>
    <row r="73" spans="1:18" ht="18.75" customHeight="1" x14ac:dyDescent="0.15">
      <c r="A73" s="1431"/>
      <c r="B73" s="1160" t="s">
        <v>621</v>
      </c>
      <c r="C73" s="1265" t="s">
        <v>116</v>
      </c>
      <c r="D73" s="1266">
        <v>275</v>
      </c>
      <c r="E73" s="1265" t="s">
        <v>634</v>
      </c>
      <c r="F73" s="1266">
        <v>660</v>
      </c>
      <c r="G73" s="1266"/>
      <c r="H73" s="1160" t="s">
        <v>621</v>
      </c>
      <c r="I73" s="1265" t="s">
        <v>116</v>
      </c>
      <c r="J73" s="1266">
        <v>275</v>
      </c>
      <c r="K73" s="1451" t="s">
        <v>634</v>
      </c>
      <c r="L73" s="1266">
        <v>660</v>
      </c>
      <c r="M73" s="1264"/>
      <c r="N73" s="1160" t="s">
        <v>621</v>
      </c>
      <c r="O73" s="1265" t="s">
        <v>116</v>
      </c>
      <c r="P73" s="1266">
        <v>350</v>
      </c>
      <c r="Q73" s="1265" t="s">
        <v>634</v>
      </c>
      <c r="R73" s="1278">
        <v>700</v>
      </c>
    </row>
    <row r="74" spans="1:18" ht="18.75" customHeight="1" thickBot="1" x14ac:dyDescent="0.2">
      <c r="A74" s="1454"/>
      <c r="B74" s="1292" t="s">
        <v>622</v>
      </c>
      <c r="C74" s="1281" t="s">
        <v>116</v>
      </c>
      <c r="D74" s="1282">
        <v>275</v>
      </c>
      <c r="E74" s="1281" t="s">
        <v>634</v>
      </c>
      <c r="F74" s="1282">
        <v>700</v>
      </c>
      <c r="G74" s="1282"/>
      <c r="H74" s="1292" t="s">
        <v>622</v>
      </c>
      <c r="I74" s="1281" t="s">
        <v>116</v>
      </c>
      <c r="J74" s="1282">
        <v>275</v>
      </c>
      <c r="K74" s="1471" t="s">
        <v>634</v>
      </c>
      <c r="L74" s="1282">
        <v>700</v>
      </c>
      <c r="M74" s="1283"/>
      <c r="N74" s="1292" t="s">
        <v>622</v>
      </c>
      <c r="O74" s="1281" t="s">
        <v>116</v>
      </c>
      <c r="P74" s="1282">
        <v>350</v>
      </c>
      <c r="Q74" s="1281" t="s">
        <v>634</v>
      </c>
      <c r="R74" s="1285">
        <v>700</v>
      </c>
    </row>
    <row r="75" spans="1:18" ht="18.75" customHeight="1" thickBot="1" x14ac:dyDescent="0.2">
      <c r="A75" s="1271"/>
      <c r="B75" s="1262"/>
      <c r="C75" s="1262"/>
      <c r="D75" s="1272"/>
      <c r="E75" s="1262"/>
      <c r="F75" s="1273"/>
      <c r="G75" s="1273"/>
      <c r="H75" s="1273"/>
      <c r="I75" s="1273"/>
      <c r="J75" s="1273"/>
      <c r="K75" s="1273"/>
      <c r="L75" s="1273"/>
      <c r="M75" s="1271"/>
      <c r="N75" s="1262"/>
      <c r="O75" s="1262"/>
      <c r="P75" s="1272"/>
      <c r="Q75" s="1262"/>
      <c r="R75" s="1273"/>
    </row>
    <row r="76" spans="1:18" ht="14.25" x14ac:dyDescent="0.15">
      <c r="A76" s="1430" t="s">
        <v>130</v>
      </c>
      <c r="B76" s="1274" t="s">
        <v>648</v>
      </c>
      <c r="C76" s="1274" t="s">
        <v>116</v>
      </c>
      <c r="D76" s="1275">
        <v>300</v>
      </c>
      <c r="E76" s="1274" t="s">
        <v>696</v>
      </c>
      <c r="F76" s="1275">
        <v>930.00000000000011</v>
      </c>
      <c r="G76" s="1276" t="s">
        <v>666</v>
      </c>
      <c r="H76" s="1274" t="s">
        <v>648</v>
      </c>
      <c r="I76" s="1274" t="s">
        <v>116</v>
      </c>
      <c r="J76" s="1275">
        <v>510</v>
      </c>
      <c r="K76" s="1275" t="s">
        <v>561</v>
      </c>
      <c r="L76" s="1275">
        <v>710</v>
      </c>
      <c r="M76" s="1276" t="s">
        <v>666</v>
      </c>
      <c r="N76" s="1274" t="s">
        <v>648</v>
      </c>
      <c r="O76" s="1274" t="s">
        <v>116</v>
      </c>
      <c r="P76" s="1275">
        <v>375</v>
      </c>
      <c r="Q76" s="1274" t="s">
        <v>634</v>
      </c>
      <c r="R76" s="1277">
        <v>925</v>
      </c>
    </row>
    <row r="77" spans="1:18" ht="14.25" x14ac:dyDescent="0.15">
      <c r="A77" s="1431"/>
      <c r="B77" s="1265" t="s">
        <v>674</v>
      </c>
      <c r="C77" s="1265"/>
      <c r="D77" s="1266"/>
      <c r="E77" s="1265" t="s">
        <v>697</v>
      </c>
      <c r="F77" s="1266">
        <v>940</v>
      </c>
      <c r="G77" s="1272"/>
      <c r="H77" s="1272"/>
      <c r="I77" s="1272"/>
      <c r="J77" s="1272"/>
      <c r="K77" s="1272"/>
      <c r="L77" s="1272"/>
      <c r="M77" s="1271"/>
      <c r="N77" s="1262"/>
      <c r="O77" s="1262"/>
      <c r="P77" s="1272"/>
      <c r="Q77" s="1262"/>
      <c r="R77" s="1280"/>
    </row>
    <row r="78" spans="1:18" ht="14.25" x14ac:dyDescent="0.15">
      <c r="A78" s="1432"/>
      <c r="B78" s="1262"/>
      <c r="C78" s="1262"/>
      <c r="D78" s="1272"/>
      <c r="E78" s="1262"/>
      <c r="F78" s="1273"/>
      <c r="G78" s="1273"/>
      <c r="H78" s="1273"/>
      <c r="I78" s="1273"/>
      <c r="J78" s="1273"/>
      <c r="K78" s="1273"/>
      <c r="L78" s="1273"/>
      <c r="M78" s="1271"/>
      <c r="N78" s="1262"/>
      <c r="O78" s="1262"/>
      <c r="P78" s="1272"/>
      <c r="Q78" s="1262"/>
      <c r="R78" s="1280"/>
    </row>
    <row r="79" spans="1:18" ht="14.25" x14ac:dyDescent="0.15">
      <c r="A79" s="1431" t="s">
        <v>133</v>
      </c>
      <c r="B79" s="1265" t="s">
        <v>695</v>
      </c>
      <c r="C79" s="1265" t="s">
        <v>116</v>
      </c>
      <c r="D79" s="1266">
        <v>290</v>
      </c>
      <c r="E79" s="1265" t="s">
        <v>696</v>
      </c>
      <c r="F79" s="1266">
        <v>910</v>
      </c>
      <c r="G79" s="1272"/>
      <c r="H79" s="1272"/>
      <c r="I79" s="1272"/>
      <c r="J79" s="1272"/>
      <c r="K79" s="1272"/>
      <c r="L79" s="1272"/>
      <c r="M79" s="1271"/>
      <c r="N79" s="1262"/>
      <c r="O79" s="1262"/>
      <c r="P79" s="1272"/>
      <c r="Q79" s="1262"/>
      <c r="R79" s="1280"/>
    </row>
    <row r="80" spans="1:18" ht="15" thickBot="1" x14ac:dyDescent="0.2">
      <c r="A80" s="1454"/>
      <c r="B80" s="1281" t="s">
        <v>694</v>
      </c>
      <c r="C80" s="1281"/>
      <c r="D80" s="1282"/>
      <c r="E80" s="1281" t="s">
        <v>697</v>
      </c>
      <c r="F80" s="1282">
        <v>919.99999999999989</v>
      </c>
      <c r="G80" s="1297"/>
      <c r="H80" s="1297"/>
      <c r="I80" s="1297"/>
      <c r="J80" s="1297"/>
      <c r="K80" s="1297"/>
      <c r="L80" s="1297"/>
      <c r="M80" s="1294"/>
      <c r="N80" s="1296"/>
      <c r="O80" s="1296"/>
      <c r="P80" s="1297"/>
      <c r="Q80" s="1296"/>
      <c r="R80" s="1298"/>
    </row>
    <row r="81" spans="1:18" ht="18.75" customHeight="1" thickBot="1" x14ac:dyDescent="0.2">
      <c r="A81" s="1271"/>
      <c r="B81" s="1262"/>
      <c r="C81" s="1262"/>
      <c r="D81" s="1272"/>
      <c r="E81" s="1262"/>
      <c r="F81" s="1273"/>
      <c r="G81" s="1273"/>
      <c r="H81" s="1273"/>
      <c r="I81" s="1273"/>
      <c r="J81" s="1273"/>
      <c r="K81" s="1273"/>
      <c r="L81" s="1273"/>
      <c r="M81" s="1271"/>
      <c r="N81" s="1262"/>
      <c r="O81" s="1262"/>
      <c r="P81" s="1272"/>
      <c r="Q81" s="1262"/>
      <c r="R81" s="1273"/>
    </row>
    <row r="82" spans="1:18" ht="14.25" x14ac:dyDescent="0.15">
      <c r="A82" s="1430" t="s">
        <v>331</v>
      </c>
      <c r="B82" s="1274" t="s">
        <v>667</v>
      </c>
      <c r="C82" s="1274" t="s">
        <v>116</v>
      </c>
      <c r="D82" s="1275">
        <v>260</v>
      </c>
      <c r="E82" s="1274" t="s">
        <v>691</v>
      </c>
      <c r="F82" s="1275">
        <v>725</v>
      </c>
      <c r="G82" s="1276" t="s">
        <v>732</v>
      </c>
      <c r="H82" s="1274" t="s">
        <v>667</v>
      </c>
      <c r="I82" s="1472" t="s">
        <v>116</v>
      </c>
      <c r="J82" s="1275">
        <v>510</v>
      </c>
      <c r="K82" s="1275" t="s">
        <v>729</v>
      </c>
      <c r="L82" s="1275">
        <v>690</v>
      </c>
      <c r="M82" s="1276" t="s">
        <v>331</v>
      </c>
      <c r="N82" s="1274" t="s">
        <v>667</v>
      </c>
      <c r="O82" s="1274" t="s">
        <v>116</v>
      </c>
      <c r="P82" s="1275">
        <v>300</v>
      </c>
      <c r="Q82" s="1274" t="s">
        <v>634</v>
      </c>
      <c r="R82" s="1277">
        <v>750</v>
      </c>
    </row>
    <row r="83" spans="1:18" ht="14.25" x14ac:dyDescent="0.15">
      <c r="A83" s="1431"/>
      <c r="B83" s="1265" t="s">
        <v>668</v>
      </c>
      <c r="C83" s="1265"/>
      <c r="D83" s="1266"/>
      <c r="E83" s="1265" t="s">
        <v>692</v>
      </c>
      <c r="F83" s="1266">
        <v>765</v>
      </c>
      <c r="G83" s="1264"/>
      <c r="H83" s="1265" t="s">
        <v>668</v>
      </c>
      <c r="I83" s="1266"/>
      <c r="J83" s="1266"/>
      <c r="K83" s="1266"/>
      <c r="L83" s="1266"/>
      <c r="M83" s="1264"/>
      <c r="N83" s="1265" t="s">
        <v>668</v>
      </c>
      <c r="O83" s="1265"/>
      <c r="P83" s="1266"/>
      <c r="Q83" s="1265"/>
      <c r="R83" s="1279"/>
    </row>
    <row r="84" spans="1:18" ht="18.75" customHeight="1" x14ac:dyDescent="0.15">
      <c r="A84" s="1432"/>
      <c r="B84" s="1262"/>
      <c r="C84" s="1262"/>
      <c r="D84" s="1272"/>
      <c r="E84" s="1262"/>
      <c r="F84" s="1273"/>
      <c r="G84" s="1273"/>
      <c r="H84" s="1273"/>
      <c r="I84" s="1273"/>
      <c r="J84" s="1273"/>
      <c r="K84" s="1273"/>
      <c r="L84" s="1273"/>
      <c r="M84" s="1271"/>
      <c r="N84" s="1262"/>
      <c r="O84" s="1262"/>
      <c r="P84" s="1272"/>
      <c r="Q84" s="1262"/>
      <c r="R84" s="1280"/>
    </row>
    <row r="85" spans="1:18" ht="14.25" x14ac:dyDescent="0.15">
      <c r="A85" s="1431" t="s">
        <v>332</v>
      </c>
      <c r="B85" s="1265" t="s">
        <v>669</v>
      </c>
      <c r="C85" s="1265" t="s">
        <v>116</v>
      </c>
      <c r="D85" s="1266">
        <v>265</v>
      </c>
      <c r="E85" s="1265" t="s">
        <v>691</v>
      </c>
      <c r="F85" s="1266">
        <v>825</v>
      </c>
      <c r="G85" s="1266"/>
      <c r="H85" s="1266"/>
      <c r="I85" s="1266"/>
      <c r="J85" s="1266"/>
      <c r="K85" s="1266"/>
      <c r="L85" s="1266"/>
      <c r="M85" s="1264" t="s">
        <v>332</v>
      </c>
      <c r="N85" s="1265" t="s">
        <v>669</v>
      </c>
      <c r="O85" s="1265" t="s">
        <v>116</v>
      </c>
      <c r="P85" s="1266">
        <v>350</v>
      </c>
      <c r="Q85" s="1265" t="s">
        <v>634</v>
      </c>
      <c r="R85" s="1278">
        <v>850</v>
      </c>
    </row>
    <row r="86" spans="1:18" ht="15" thickBot="1" x14ac:dyDescent="0.2">
      <c r="A86" s="1454"/>
      <c r="B86" s="1281" t="s">
        <v>670</v>
      </c>
      <c r="C86" s="1281"/>
      <c r="D86" s="1282"/>
      <c r="E86" s="1281" t="s">
        <v>692</v>
      </c>
      <c r="F86" s="1282">
        <v>865</v>
      </c>
      <c r="G86" s="1282"/>
      <c r="H86" s="1282"/>
      <c r="I86" s="1282"/>
      <c r="J86" s="1282"/>
      <c r="K86" s="1282"/>
      <c r="L86" s="1282"/>
      <c r="M86" s="1283"/>
      <c r="N86" s="1281" t="s">
        <v>670</v>
      </c>
      <c r="O86" s="1281"/>
      <c r="P86" s="1282"/>
      <c r="Q86" s="1281"/>
      <c r="R86" s="1284"/>
    </row>
    <row r="87" spans="1:18" ht="18.75" customHeight="1" thickBot="1" x14ac:dyDescent="0.2">
      <c r="A87" s="1271"/>
      <c r="B87" s="1262"/>
      <c r="C87" s="1262"/>
      <c r="D87" s="1272"/>
      <c r="E87" s="1262"/>
      <c r="F87" s="1273"/>
      <c r="G87" s="1273"/>
      <c r="H87" s="1273"/>
      <c r="I87" s="1273"/>
      <c r="J87" s="1273"/>
      <c r="K87" s="1273"/>
      <c r="L87" s="1273"/>
      <c r="M87" s="1271"/>
      <c r="N87" s="1262"/>
      <c r="O87" s="1262"/>
      <c r="P87" s="1272"/>
      <c r="Q87" s="1262"/>
      <c r="R87" s="1273"/>
    </row>
    <row r="88" spans="1:18" ht="14.25" x14ac:dyDescent="0.15">
      <c r="A88" s="1430" t="s">
        <v>137</v>
      </c>
      <c r="B88" s="1274" t="s">
        <v>671</v>
      </c>
      <c r="C88" s="1274" t="s">
        <v>700</v>
      </c>
      <c r="D88" s="1275">
        <v>1900</v>
      </c>
      <c r="E88" s="1274" t="s">
        <v>634</v>
      </c>
      <c r="F88" s="1275">
        <v>315</v>
      </c>
      <c r="G88" s="1276" t="s">
        <v>633</v>
      </c>
      <c r="H88" s="1274" t="s">
        <v>713</v>
      </c>
      <c r="I88" s="1274" t="s">
        <v>700</v>
      </c>
      <c r="J88" s="1275">
        <v>3000</v>
      </c>
      <c r="K88" s="1275" t="s">
        <v>561</v>
      </c>
      <c r="L88" s="1275">
        <v>600</v>
      </c>
      <c r="M88" s="1276" t="s">
        <v>633</v>
      </c>
      <c r="N88" s="1274" t="s">
        <v>713</v>
      </c>
      <c r="O88" s="1274" t="s">
        <v>714</v>
      </c>
      <c r="P88" s="1275">
        <v>150</v>
      </c>
      <c r="Q88" s="1274" t="s">
        <v>634</v>
      </c>
      <c r="R88" s="1277">
        <v>350</v>
      </c>
    </row>
    <row r="89" spans="1:18" ht="14.25" x14ac:dyDescent="0.15">
      <c r="A89" s="1431" t="s">
        <v>140</v>
      </c>
      <c r="B89" s="1265" t="s">
        <v>698</v>
      </c>
      <c r="C89" s="1265" t="s">
        <v>82</v>
      </c>
      <c r="D89" s="1266">
        <v>110</v>
      </c>
      <c r="E89" s="1265" t="s">
        <v>634</v>
      </c>
      <c r="F89" s="1266">
        <v>315</v>
      </c>
      <c r="G89" s="1272"/>
      <c r="H89" s="1272"/>
      <c r="I89" s="1272"/>
      <c r="J89" s="1272"/>
      <c r="K89" s="1272"/>
      <c r="L89" s="1272"/>
      <c r="M89" s="1271"/>
      <c r="N89" s="1262"/>
      <c r="O89" s="1262"/>
      <c r="P89" s="1272"/>
      <c r="Q89" s="1262"/>
      <c r="R89" s="1280"/>
    </row>
    <row r="90" spans="1:18" ht="15" thickBot="1" x14ac:dyDescent="0.2">
      <c r="A90" s="1454" t="s">
        <v>179</v>
      </c>
      <c r="B90" s="1281" t="s">
        <v>699</v>
      </c>
      <c r="C90" s="1281" t="s">
        <v>82</v>
      </c>
      <c r="D90" s="1282">
        <v>90</v>
      </c>
      <c r="E90" s="1281" t="s">
        <v>634</v>
      </c>
      <c r="F90" s="1282">
        <v>315</v>
      </c>
      <c r="G90" s="1297"/>
      <c r="H90" s="1297"/>
      <c r="I90" s="1297"/>
      <c r="J90" s="1297"/>
      <c r="K90" s="1297"/>
      <c r="L90" s="1297"/>
      <c r="M90" s="1294"/>
      <c r="N90" s="1296"/>
      <c r="O90" s="1296"/>
      <c r="P90" s="1297"/>
      <c r="Q90" s="1296"/>
      <c r="R90" s="1298"/>
    </row>
    <row r="91" spans="1:18" ht="15" thickBot="1" x14ac:dyDescent="0.2">
      <c r="A91" s="1271"/>
      <c r="B91" s="1262"/>
      <c r="C91" s="1262"/>
      <c r="D91" s="1272"/>
      <c r="E91" s="1262"/>
      <c r="F91" s="1272"/>
      <c r="G91" s="1272"/>
      <c r="H91" s="1272"/>
      <c r="I91" s="1272"/>
      <c r="J91" s="1272"/>
      <c r="K91" s="1272"/>
      <c r="L91" s="1272"/>
      <c r="M91" s="1271"/>
      <c r="N91" s="1262"/>
      <c r="O91" s="1262"/>
      <c r="P91" s="1272"/>
      <c r="Q91" s="1262"/>
      <c r="R91" s="1273"/>
    </row>
    <row r="92" spans="1:18" ht="18.75" customHeight="1" x14ac:dyDescent="0.15">
      <c r="A92" s="1430"/>
      <c r="B92" s="1274"/>
      <c r="C92" s="1274"/>
      <c r="D92" s="1275"/>
      <c r="E92" s="1274"/>
      <c r="F92" s="1458"/>
      <c r="G92" s="1458"/>
      <c r="H92" s="1458"/>
      <c r="I92" s="1458"/>
      <c r="J92" s="1458"/>
      <c r="K92" s="1458"/>
      <c r="L92" s="1458"/>
      <c r="M92" s="1300" t="s">
        <v>716</v>
      </c>
      <c r="N92" s="1274"/>
      <c r="O92" s="1274"/>
      <c r="P92" s="1275"/>
      <c r="Q92" s="1274"/>
      <c r="R92" s="1287"/>
    </row>
    <row r="93" spans="1:18" ht="15" thickBot="1" x14ac:dyDescent="0.2">
      <c r="A93" s="1459" t="s">
        <v>143</v>
      </c>
      <c r="B93" s="1281" t="s">
        <v>672</v>
      </c>
      <c r="C93" s="1281" t="s">
        <v>700</v>
      </c>
      <c r="D93" s="1282">
        <v>1960</v>
      </c>
      <c r="E93" s="1281" t="s">
        <v>634</v>
      </c>
      <c r="F93" s="1282">
        <v>515</v>
      </c>
      <c r="G93" s="1473" t="s">
        <v>635</v>
      </c>
      <c r="H93" s="1281" t="s">
        <v>672</v>
      </c>
      <c r="I93" s="1281" t="s">
        <v>700</v>
      </c>
      <c r="J93" s="1282">
        <v>3000</v>
      </c>
      <c r="K93" s="1281" t="s">
        <v>634</v>
      </c>
      <c r="L93" s="1282">
        <v>525</v>
      </c>
      <c r="M93" s="1473" t="s">
        <v>635</v>
      </c>
      <c r="N93" s="1281" t="s">
        <v>672</v>
      </c>
      <c r="O93" s="1281" t="s">
        <v>714</v>
      </c>
      <c r="P93" s="1282">
        <v>150</v>
      </c>
      <c r="Q93" s="1281" t="s">
        <v>634</v>
      </c>
      <c r="R93" s="1285">
        <v>550</v>
      </c>
    </row>
    <row r="94" spans="1:18" ht="18.75" customHeight="1" x14ac:dyDescent="0.15">
      <c r="A94" s="1286"/>
      <c r="B94" s="1262"/>
      <c r="C94" s="1262"/>
      <c r="D94" s="1272"/>
      <c r="E94" s="1262"/>
      <c r="F94" s="1273"/>
      <c r="G94" s="1271"/>
      <c r="H94" s="1262"/>
      <c r="I94" s="1273"/>
      <c r="J94" s="1273"/>
      <c r="K94" s="1273"/>
      <c r="L94" s="1273"/>
      <c r="M94" s="1271"/>
      <c r="N94" s="1262"/>
      <c r="O94" s="1262"/>
      <c r="P94" s="1272"/>
      <c r="Q94" s="1262"/>
      <c r="R94" s="1273"/>
    </row>
    <row r="95" spans="1:18" ht="14.25" x14ac:dyDescent="0.15">
      <c r="A95" s="1452" t="s">
        <v>312</v>
      </c>
      <c r="B95" s="1265" t="s">
        <v>673</v>
      </c>
      <c r="C95" s="1265" t="s">
        <v>116</v>
      </c>
      <c r="D95" s="1266">
        <v>175</v>
      </c>
      <c r="E95" s="1265" t="s">
        <v>634</v>
      </c>
      <c r="F95" s="1266">
        <v>710</v>
      </c>
      <c r="G95" s="1264" t="s">
        <v>312</v>
      </c>
      <c r="H95" s="1265" t="s">
        <v>673</v>
      </c>
      <c r="I95" s="1265" t="s">
        <v>116</v>
      </c>
      <c r="J95" s="1266">
        <v>510</v>
      </c>
      <c r="K95" s="1265" t="s">
        <v>634</v>
      </c>
      <c r="L95" s="1266">
        <v>530</v>
      </c>
      <c r="M95" s="1264" t="s">
        <v>312</v>
      </c>
      <c r="N95" s="1265" t="s">
        <v>673</v>
      </c>
      <c r="O95" s="1265" t="s">
        <v>116</v>
      </c>
      <c r="P95" s="1266">
        <v>300</v>
      </c>
      <c r="Q95" s="1265" t="s">
        <v>634</v>
      </c>
      <c r="R95" s="1266">
        <v>725</v>
      </c>
    </row>
    <row r="96" spans="1:18" ht="18.75" customHeight="1" x14ac:dyDescent="0.15">
      <c r="A96" s="1286"/>
      <c r="B96" s="1262"/>
      <c r="C96" s="1262"/>
      <c r="D96" s="1272"/>
      <c r="E96" s="1262"/>
      <c r="F96" s="1273"/>
      <c r="G96" s="1271"/>
      <c r="H96" s="1262"/>
      <c r="I96" s="1262"/>
      <c r="J96" s="1272"/>
      <c r="K96" s="1262"/>
      <c r="L96" s="1273"/>
      <c r="M96" s="1271"/>
      <c r="N96" s="1262"/>
      <c r="O96" s="1262"/>
      <c r="P96" s="1272"/>
      <c r="Q96" s="1262"/>
      <c r="R96" s="1273"/>
    </row>
    <row r="97" spans="1:18" ht="14.25" x14ac:dyDescent="0.15">
      <c r="A97" s="1452" t="s">
        <v>313</v>
      </c>
      <c r="B97" s="1265" t="s">
        <v>108</v>
      </c>
      <c r="C97" s="1265" t="s">
        <v>82</v>
      </c>
      <c r="D97" s="1266">
        <v>325</v>
      </c>
      <c r="E97" s="1265" t="s">
        <v>634</v>
      </c>
      <c r="F97" s="1266">
        <v>1120</v>
      </c>
      <c r="G97" s="1264" t="s">
        <v>313</v>
      </c>
      <c r="H97" s="1265" t="s">
        <v>108</v>
      </c>
      <c r="I97" s="1265" t="s">
        <v>82</v>
      </c>
      <c r="J97" s="1266">
        <v>610</v>
      </c>
      <c r="K97" s="1265" t="s">
        <v>634</v>
      </c>
      <c r="L97" s="1266">
        <v>1100</v>
      </c>
      <c r="M97" s="1264" t="s">
        <v>313</v>
      </c>
      <c r="N97" s="1265" t="s">
        <v>108</v>
      </c>
      <c r="O97" s="1265" t="s">
        <v>82</v>
      </c>
      <c r="P97" s="1266">
        <v>400</v>
      </c>
      <c r="Q97" s="1265" t="s">
        <v>634</v>
      </c>
      <c r="R97" s="1266">
        <v>1150</v>
      </c>
    </row>
    <row r="98" spans="1:18" ht="15" thickBot="1" x14ac:dyDescent="0.2">
      <c r="A98" s="1286"/>
      <c r="B98" s="1262"/>
      <c r="C98" s="1262"/>
      <c r="D98" s="1272"/>
      <c r="E98" s="1262"/>
      <c r="F98" s="1272"/>
      <c r="G98" s="1272"/>
      <c r="H98" s="1272"/>
      <c r="I98" s="1272"/>
      <c r="J98" s="1272"/>
      <c r="K98" s="1272"/>
      <c r="L98" s="1272"/>
      <c r="M98" s="1271"/>
      <c r="N98" s="1262"/>
      <c r="O98" s="1262"/>
      <c r="P98" s="1272"/>
      <c r="Q98" s="1262"/>
      <c r="R98" s="1272"/>
    </row>
    <row r="99" spans="1:18" ht="18.75" customHeight="1" x14ac:dyDescent="0.15">
      <c r="A99" s="1474"/>
      <c r="B99" s="1274"/>
      <c r="C99" s="1274"/>
      <c r="D99" s="1275"/>
      <c r="E99" s="1274"/>
      <c r="F99" s="1458"/>
      <c r="G99" s="1458"/>
      <c r="H99" s="1458"/>
      <c r="I99" s="1458"/>
      <c r="J99" s="1458"/>
      <c r="K99" s="1458"/>
      <c r="L99" s="1458"/>
      <c r="M99" s="1300" t="s">
        <v>715</v>
      </c>
      <c r="N99" s="1274"/>
      <c r="O99" s="1274"/>
      <c r="P99" s="1275"/>
      <c r="Q99" s="1274"/>
      <c r="R99" s="1287"/>
    </row>
    <row r="100" spans="1:18" ht="15" thickBot="1" x14ac:dyDescent="0.2">
      <c r="A100" s="1459" t="s">
        <v>623</v>
      </c>
      <c r="B100" s="1281" t="s">
        <v>701</v>
      </c>
      <c r="C100" s="1281"/>
      <c r="D100" s="1282"/>
      <c r="E100" s="1281" t="s">
        <v>634</v>
      </c>
      <c r="F100" s="1282">
        <v>1255</v>
      </c>
      <c r="G100" s="1283" t="s">
        <v>623</v>
      </c>
      <c r="H100" s="1281" t="s">
        <v>701</v>
      </c>
      <c r="I100" s="1282"/>
      <c r="J100" s="1282"/>
      <c r="K100" s="1281" t="s">
        <v>634</v>
      </c>
      <c r="L100" s="1282">
        <v>1300</v>
      </c>
      <c r="M100" s="1283" t="s">
        <v>623</v>
      </c>
      <c r="N100" s="1281" t="s">
        <v>701</v>
      </c>
      <c r="O100" s="1281"/>
      <c r="P100" s="1282"/>
      <c r="Q100" s="1281" t="s">
        <v>634</v>
      </c>
      <c r="R100" s="1285">
        <v>1300</v>
      </c>
    </row>
    <row r="101" spans="1:18" x14ac:dyDescent="0.1">
      <c r="A101" s="1270"/>
      <c r="D101" s="1268"/>
      <c r="M101" s="1270"/>
      <c r="P101" s="1268"/>
    </row>
    <row r="102" spans="1:18" ht="15" thickBot="1" x14ac:dyDescent="0.2">
      <c r="A102" s="1344" t="s">
        <v>718</v>
      </c>
      <c r="D102" s="1268"/>
      <c r="M102" s="1270"/>
      <c r="P102" s="1268"/>
    </row>
    <row r="103" spans="1:18" ht="14.25" x14ac:dyDescent="0.15">
      <c r="A103" s="1430" t="s">
        <v>69</v>
      </c>
      <c r="B103" s="1274" t="s">
        <v>679</v>
      </c>
      <c r="C103" s="1274" t="s">
        <v>661</v>
      </c>
      <c r="D103" s="1275">
        <v>140</v>
      </c>
      <c r="E103" s="1274" t="s">
        <v>676</v>
      </c>
      <c r="F103" s="1275">
        <v>840</v>
      </c>
      <c r="G103" s="1276" t="s">
        <v>508</v>
      </c>
      <c r="H103" s="1274" t="s">
        <v>709</v>
      </c>
      <c r="I103" s="1274" t="s">
        <v>661</v>
      </c>
      <c r="J103" s="1275">
        <v>280</v>
      </c>
      <c r="K103" s="1275" t="s">
        <v>561</v>
      </c>
      <c r="L103" s="1275">
        <v>770</v>
      </c>
      <c r="M103" s="1276" t="s">
        <v>508</v>
      </c>
      <c r="N103" s="1274" t="s">
        <v>709</v>
      </c>
      <c r="O103" s="1274" t="s">
        <v>661</v>
      </c>
      <c r="P103" s="1275">
        <v>220</v>
      </c>
      <c r="Q103" s="1274" t="s">
        <v>634</v>
      </c>
      <c r="R103" s="1277">
        <v>850</v>
      </c>
    </row>
    <row r="104" spans="1:18" ht="14.25" x14ac:dyDescent="0.15">
      <c r="A104" s="1431"/>
      <c r="B104" s="1265" t="s">
        <v>680</v>
      </c>
      <c r="C104" s="1265" t="s">
        <v>642</v>
      </c>
      <c r="D104" s="1266">
        <v>245</v>
      </c>
      <c r="E104" s="1265" t="s">
        <v>558</v>
      </c>
      <c r="F104" s="1266">
        <v>940</v>
      </c>
      <c r="G104" s="1266"/>
      <c r="H104" s="1266"/>
      <c r="I104" s="1265" t="s">
        <v>642</v>
      </c>
      <c r="J104" s="1266">
        <v>490</v>
      </c>
      <c r="K104" s="1266"/>
      <c r="L104" s="1266"/>
      <c r="M104" s="1264"/>
      <c r="N104" s="1265"/>
      <c r="O104" s="1265" t="s">
        <v>642</v>
      </c>
      <c r="P104" s="1266">
        <v>320</v>
      </c>
      <c r="Q104" s="1265"/>
      <c r="R104" s="1279"/>
    </row>
    <row r="105" spans="1:18" ht="14.25" x14ac:dyDescent="0.15">
      <c r="A105" s="1432"/>
      <c r="B105" s="1262"/>
      <c r="C105" s="1262"/>
      <c r="D105" s="1272"/>
      <c r="E105" s="1262"/>
      <c r="F105" s="1273"/>
      <c r="G105" s="1273"/>
      <c r="H105" s="1273"/>
      <c r="I105" s="1273"/>
      <c r="J105" s="1273"/>
      <c r="K105" s="1273"/>
      <c r="L105" s="1273"/>
      <c r="M105" s="1271"/>
      <c r="N105" s="1262"/>
      <c r="O105" s="1262"/>
      <c r="P105" s="1272"/>
      <c r="Q105" s="1262"/>
      <c r="R105" s="1280"/>
    </row>
    <row r="106" spans="1:18" ht="14.25" x14ac:dyDescent="0.15">
      <c r="A106" s="1431" t="s">
        <v>76</v>
      </c>
      <c r="B106" s="1265" t="s">
        <v>648</v>
      </c>
      <c r="C106" s="1265" t="s">
        <v>661</v>
      </c>
      <c r="D106" s="1266">
        <v>130</v>
      </c>
      <c r="E106" s="1265" t="s">
        <v>676</v>
      </c>
      <c r="F106" s="1266">
        <v>790</v>
      </c>
      <c r="G106" s="1272"/>
      <c r="H106" s="1272"/>
      <c r="I106" s="1272"/>
      <c r="J106" s="1272"/>
      <c r="K106" s="1272"/>
      <c r="L106" s="1272"/>
      <c r="M106" s="1271"/>
      <c r="N106" s="1262"/>
      <c r="O106" s="1262"/>
      <c r="P106" s="1272"/>
      <c r="Q106" s="1262"/>
      <c r="R106" s="1280"/>
    </row>
    <row r="107" spans="1:18" ht="15" thickBot="1" x14ac:dyDescent="0.2">
      <c r="A107" s="1454"/>
      <c r="B107" s="1281" t="s">
        <v>649</v>
      </c>
      <c r="C107" s="1281" t="s">
        <v>642</v>
      </c>
      <c r="D107" s="1282">
        <v>235</v>
      </c>
      <c r="E107" s="1281" t="s">
        <v>558</v>
      </c>
      <c r="F107" s="1282">
        <v>890</v>
      </c>
      <c r="G107" s="1297"/>
      <c r="H107" s="1297"/>
      <c r="I107" s="1297"/>
      <c r="J107" s="1297"/>
      <c r="K107" s="1297"/>
      <c r="L107" s="1297"/>
      <c r="M107" s="1294"/>
      <c r="N107" s="1296"/>
      <c r="O107" s="1296"/>
      <c r="P107" s="1297"/>
      <c r="Q107" s="1296"/>
      <c r="R107" s="1298"/>
    </row>
    <row r="108" spans="1:18" ht="15" thickBot="1" x14ac:dyDescent="0.2">
      <c r="A108" s="1344" t="s">
        <v>718</v>
      </c>
      <c r="M108" s="1270"/>
    </row>
    <row r="109" spans="1:18" ht="14.25" x14ac:dyDescent="0.15">
      <c r="A109" s="1430" t="s">
        <v>9</v>
      </c>
      <c r="B109" s="1460" t="s">
        <v>682</v>
      </c>
      <c r="C109" s="1274" t="s">
        <v>720</v>
      </c>
      <c r="D109" s="1461">
        <v>120</v>
      </c>
      <c r="E109" s="1274" t="s">
        <v>653</v>
      </c>
      <c r="F109" s="1275">
        <v>605</v>
      </c>
      <c r="G109" s="1276" t="s">
        <v>511</v>
      </c>
      <c r="H109" s="1274" t="s">
        <v>682</v>
      </c>
      <c r="I109" s="1472" t="s">
        <v>730</v>
      </c>
      <c r="J109" s="1275">
        <v>360</v>
      </c>
      <c r="K109" s="1275" t="s">
        <v>561</v>
      </c>
      <c r="L109" s="1275">
        <v>620</v>
      </c>
      <c r="M109" s="1276" t="s">
        <v>511</v>
      </c>
      <c r="N109" s="1274" t="s">
        <v>682</v>
      </c>
      <c r="O109" s="1274" t="s">
        <v>710</v>
      </c>
      <c r="P109" s="1275">
        <v>190</v>
      </c>
      <c r="Q109" s="1353" t="s">
        <v>653</v>
      </c>
      <c r="R109" s="1351">
        <v>610</v>
      </c>
    </row>
    <row r="110" spans="1:18" ht="14.25" x14ac:dyDescent="0.15">
      <c r="A110" s="1431"/>
      <c r="B110" s="1457" t="s">
        <v>674</v>
      </c>
      <c r="C110" s="1265" t="s">
        <v>719</v>
      </c>
      <c r="D110" s="1462">
        <v>155</v>
      </c>
      <c r="E110" s="1265" t="s">
        <v>576</v>
      </c>
      <c r="F110" s="1266">
        <v>735</v>
      </c>
      <c r="G110" s="1266"/>
      <c r="H110" s="1266"/>
      <c r="I110" s="1475" t="s">
        <v>731</v>
      </c>
      <c r="J110" s="1266">
        <v>480</v>
      </c>
      <c r="K110" s="1266"/>
      <c r="L110" s="1266"/>
      <c r="M110" s="1264"/>
      <c r="N110" s="1265"/>
      <c r="O110" s="1265" t="s">
        <v>572</v>
      </c>
      <c r="P110" s="1266">
        <v>300</v>
      </c>
      <c r="Q110" s="1354" t="s">
        <v>576</v>
      </c>
      <c r="R110" s="1352">
        <v>710</v>
      </c>
    </row>
    <row r="111" spans="1:18" ht="14.25" x14ac:dyDescent="0.15">
      <c r="A111" s="1431"/>
      <c r="B111" s="1457"/>
      <c r="C111" s="1265" t="s">
        <v>721</v>
      </c>
      <c r="D111" s="1462">
        <v>240</v>
      </c>
      <c r="E111" s="1265"/>
      <c r="F111" s="1267"/>
      <c r="G111" s="1273"/>
      <c r="H111" s="1273"/>
      <c r="I111" s="1476" t="s">
        <v>446</v>
      </c>
      <c r="J111" s="1266">
        <v>510</v>
      </c>
      <c r="K111" s="1273"/>
      <c r="L111" s="1273"/>
      <c r="M111" s="1271"/>
      <c r="N111" s="1271"/>
      <c r="O111" s="1271"/>
      <c r="P111" s="1271"/>
      <c r="Q111" s="1293"/>
      <c r="R111" s="1293"/>
    </row>
    <row r="112" spans="1:18" ht="14.25" x14ac:dyDescent="0.15">
      <c r="A112" s="1431"/>
      <c r="B112" s="1457"/>
      <c r="C112" s="1265" t="s">
        <v>722</v>
      </c>
      <c r="D112" s="1462">
        <v>255</v>
      </c>
      <c r="E112" s="1265"/>
      <c r="F112" s="1267"/>
      <c r="G112" s="1273"/>
      <c r="H112" s="1273"/>
      <c r="I112" s="1273"/>
      <c r="J112" s="1273"/>
      <c r="K112" s="1273"/>
      <c r="L112" s="1273"/>
      <c r="M112" s="1271"/>
      <c r="N112" s="1271"/>
      <c r="O112" s="1271"/>
      <c r="P112" s="1271"/>
      <c r="Q112" s="1293"/>
      <c r="R112" s="1293"/>
    </row>
    <row r="113" spans="1:18" ht="14.25" x14ac:dyDescent="0.15">
      <c r="A113" s="1432"/>
      <c r="B113" s="1262"/>
      <c r="C113" s="1463"/>
      <c r="D113" s="1272"/>
      <c r="E113" s="1262"/>
      <c r="F113" s="1273"/>
      <c r="G113" s="1273"/>
      <c r="H113" s="1273"/>
      <c r="I113" s="1273"/>
      <c r="J113" s="1273"/>
      <c r="K113" s="1273"/>
      <c r="L113" s="1273"/>
      <c r="M113" s="1271"/>
      <c r="N113" s="1271"/>
      <c r="O113" s="1271"/>
      <c r="P113" s="1271"/>
      <c r="Q113" s="1293"/>
      <c r="R113" s="1293"/>
    </row>
    <row r="114" spans="1:18" ht="14.25" x14ac:dyDescent="0.15">
      <c r="A114" s="1431" t="s">
        <v>11</v>
      </c>
      <c r="B114" s="1457" t="s">
        <v>652</v>
      </c>
      <c r="C114" s="1265" t="s">
        <v>720</v>
      </c>
      <c r="D114" s="1462">
        <v>110</v>
      </c>
      <c r="E114" s="1265" t="s">
        <v>653</v>
      </c>
      <c r="F114" s="1266">
        <v>575</v>
      </c>
      <c r="G114" s="1272"/>
      <c r="H114" s="1272"/>
      <c r="I114" s="1272"/>
      <c r="J114" s="1272"/>
      <c r="K114" s="1272"/>
      <c r="L114" s="1272"/>
      <c r="M114" s="1271"/>
      <c r="N114" s="1262"/>
      <c r="O114" s="1262"/>
      <c r="P114" s="1272"/>
      <c r="Q114" s="1303"/>
      <c r="R114" s="1280"/>
    </row>
    <row r="115" spans="1:18" ht="14.25" x14ac:dyDescent="0.15">
      <c r="A115" s="1431"/>
      <c r="B115" s="1457" t="s">
        <v>686</v>
      </c>
      <c r="C115" s="1265" t="s">
        <v>719</v>
      </c>
      <c r="D115" s="1462">
        <v>145</v>
      </c>
      <c r="E115" s="1265" t="s">
        <v>654</v>
      </c>
      <c r="F115" s="1266">
        <v>670</v>
      </c>
      <c r="G115" s="1272"/>
      <c r="H115" s="1272"/>
      <c r="I115" s="1272"/>
      <c r="J115" s="1272"/>
      <c r="K115" s="1272"/>
      <c r="L115" s="1272"/>
      <c r="M115" s="1271"/>
      <c r="N115" s="1262"/>
      <c r="O115" s="1262"/>
      <c r="P115" s="1272"/>
      <c r="Q115" s="1303"/>
      <c r="R115" s="1280"/>
    </row>
    <row r="116" spans="1:18" ht="14.25" x14ac:dyDescent="0.15">
      <c r="A116" s="1431"/>
      <c r="B116" s="1457" t="s">
        <v>687</v>
      </c>
      <c r="C116" s="1265" t="s">
        <v>721</v>
      </c>
      <c r="D116" s="1462">
        <v>230</v>
      </c>
      <c r="E116" s="1265" t="s">
        <v>575</v>
      </c>
      <c r="F116" s="1266">
        <v>700</v>
      </c>
      <c r="G116" s="1272"/>
      <c r="H116" s="1272"/>
      <c r="I116" s="1272"/>
      <c r="J116" s="1272"/>
      <c r="K116" s="1272"/>
      <c r="L116" s="1272"/>
      <c r="M116" s="1271"/>
      <c r="N116" s="1262"/>
      <c r="O116" s="1262"/>
      <c r="P116" s="1272"/>
      <c r="Q116" s="1303"/>
      <c r="R116" s="1280"/>
    </row>
    <row r="117" spans="1:18" ht="15" thickBot="1" x14ac:dyDescent="0.2">
      <c r="A117" s="1454"/>
      <c r="B117" s="1464"/>
      <c r="C117" s="1281" t="s">
        <v>722</v>
      </c>
      <c r="D117" s="1465">
        <v>245</v>
      </c>
      <c r="E117" s="1281"/>
      <c r="F117" s="1455"/>
      <c r="G117" s="1437"/>
      <c r="H117" s="1437"/>
      <c r="I117" s="1437"/>
      <c r="J117" s="1437"/>
      <c r="K117" s="1437"/>
      <c r="L117" s="1437"/>
      <c r="M117" s="1294"/>
      <c r="N117" s="1296"/>
      <c r="O117" s="1296"/>
      <c r="P117" s="1297"/>
      <c r="Q117" s="1355"/>
      <c r="R117" s="1298"/>
    </row>
    <row r="118" spans="1:18" x14ac:dyDescent="0.1">
      <c r="A118" s="1270"/>
      <c r="M118" s="1270"/>
    </row>
    <row r="119" spans="1:18" x14ac:dyDescent="0.1">
      <c r="A119" s="1270"/>
      <c r="M119" s="1270"/>
    </row>
    <row r="120" spans="1:18" x14ac:dyDescent="0.1">
      <c r="A120" s="1270"/>
      <c r="M120" s="1270"/>
    </row>
    <row r="121" spans="1:18" x14ac:dyDescent="0.1">
      <c r="A121" s="1270"/>
      <c r="M121" s="1270"/>
    </row>
  </sheetData>
  <mergeCells count="5">
    <mergeCell ref="I62:L62"/>
    <mergeCell ref="A4:F4"/>
    <mergeCell ref="M4:R4"/>
    <mergeCell ref="A3:R3"/>
    <mergeCell ref="G4:L4"/>
  </mergeCells>
  <printOptions horizontalCentered="1" verticalCentered="1"/>
  <pageMargins left="0.12" right="7.0000000000000007E-2" top="0.08" bottom="0.18" header="0.1" footer="0.21"/>
  <pageSetup paperSize="9" scale="65" orientation="landscape" r:id="rId1"/>
  <rowBreaks count="1" manualBreakCount="1">
    <brk id="101" max="16383" man="1"/>
  </rowBreaks>
  <colBreaks count="1" manualBreakCount="1">
    <brk id="1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28"/>
  <sheetViews>
    <sheetView tabSelected="1" view="pageBreakPreview" topLeftCell="A50" zoomScale="87" zoomScaleNormal="110" zoomScaleSheetLayoutView="87" workbookViewId="0">
      <selection activeCell="Q74" sqref="Q74"/>
    </sheetView>
  </sheetViews>
  <sheetFormatPr defaultRowHeight="12.75" x14ac:dyDescent="0.15"/>
  <cols>
    <col min="2" max="2" width="15.5078125" customWidth="1"/>
    <col min="3" max="3" width="33.84765625" bestFit="1" customWidth="1"/>
    <col min="4" max="4" width="30.0703125" bestFit="1" customWidth="1"/>
    <col min="6" max="6" width="19.95703125" customWidth="1"/>
    <col min="8" max="8" width="11.19140625" customWidth="1"/>
    <col min="9" max="9" width="16.98828125" customWidth="1"/>
    <col min="10" max="10" width="30.0703125" bestFit="1" customWidth="1"/>
    <col min="12" max="12" width="16.44921875" customWidth="1"/>
  </cols>
  <sheetData>
    <row r="2" spans="2:13" ht="13.5" thickBot="1" x14ac:dyDescent="0.2"/>
    <row r="3" spans="2:13" ht="22.5" thickBot="1" x14ac:dyDescent="0.3">
      <c r="B3" s="1660" t="s">
        <v>755</v>
      </c>
      <c r="C3" s="1661"/>
      <c r="D3" s="1661"/>
      <c r="E3" s="1661"/>
      <c r="F3" s="1661"/>
      <c r="G3" s="1661"/>
      <c r="H3" s="1661"/>
      <c r="I3" s="1661"/>
      <c r="J3" s="1661"/>
      <c r="K3" s="1661"/>
      <c r="L3" s="1661"/>
      <c r="M3" s="1662"/>
    </row>
    <row r="4" spans="2:13" ht="15" thickBot="1" x14ac:dyDescent="0.2">
      <c r="B4" s="1663" t="s">
        <v>637</v>
      </c>
      <c r="C4" s="1664"/>
      <c r="D4" s="1664"/>
      <c r="E4" s="1664"/>
      <c r="F4" s="1664"/>
      <c r="G4" s="1665"/>
      <c r="H4" s="1663" t="s">
        <v>740</v>
      </c>
      <c r="I4" s="1664"/>
      <c r="J4" s="1664"/>
      <c r="K4" s="1664"/>
      <c r="L4" s="1664"/>
      <c r="M4" s="1665"/>
    </row>
    <row r="5" spans="2:13" ht="27.75" thickBot="1" x14ac:dyDescent="0.2">
      <c r="B5" s="1487" t="s">
        <v>21</v>
      </c>
      <c r="C5" s="1488" t="s">
        <v>22</v>
      </c>
      <c r="D5" s="1489" t="s">
        <v>468</v>
      </c>
      <c r="E5" s="1488" t="s">
        <v>702</v>
      </c>
      <c r="F5" s="1489" t="s">
        <v>639</v>
      </c>
      <c r="G5" s="1490" t="s">
        <v>703</v>
      </c>
      <c r="H5" s="1487" t="s">
        <v>21</v>
      </c>
      <c r="I5" s="1488" t="s">
        <v>22</v>
      </c>
      <c r="J5" s="1489" t="s">
        <v>468</v>
      </c>
      <c r="K5" s="1488" t="s">
        <v>702</v>
      </c>
      <c r="L5" s="1489" t="s">
        <v>639</v>
      </c>
      <c r="M5" s="1490" t="s">
        <v>703</v>
      </c>
    </row>
    <row r="6" spans="2:13" ht="15" thickBot="1" x14ac:dyDescent="0.2">
      <c r="B6" s="1477" t="s">
        <v>38</v>
      </c>
      <c r="C6" s="1478" t="s">
        <v>619</v>
      </c>
      <c r="D6" s="1478" t="s">
        <v>62</v>
      </c>
      <c r="E6" s="1479">
        <v>70</v>
      </c>
      <c r="F6" s="1478"/>
      <c r="G6" s="1480">
        <v>869.99999999999989</v>
      </c>
      <c r="H6" s="1477" t="s">
        <v>38</v>
      </c>
      <c r="I6" s="1478" t="s">
        <v>619</v>
      </c>
      <c r="J6" s="1478" t="s">
        <v>62</v>
      </c>
      <c r="K6" s="1479">
        <v>100</v>
      </c>
      <c r="L6" s="1478"/>
      <c r="M6" s="1480">
        <v>961.99999999999989</v>
      </c>
    </row>
    <row r="7" spans="2:13" ht="15" thickBot="1" x14ac:dyDescent="0.2">
      <c r="B7" s="1432"/>
      <c r="C7" s="1262"/>
      <c r="D7" s="1262"/>
      <c r="E7" s="1272"/>
      <c r="F7" s="1262"/>
      <c r="G7" s="1280"/>
      <c r="H7" s="1432"/>
      <c r="I7" s="1262"/>
      <c r="J7" s="1262"/>
      <c r="K7" s="1272"/>
      <c r="L7" s="1262"/>
      <c r="M7" s="1280"/>
    </row>
    <row r="8" spans="2:13" ht="14.25" x14ac:dyDescent="0.15">
      <c r="B8" s="1647" t="s">
        <v>41</v>
      </c>
      <c r="C8" s="1274" t="s">
        <v>640</v>
      </c>
      <c r="D8" s="1274" t="s">
        <v>43</v>
      </c>
      <c r="E8" s="1275">
        <v>100</v>
      </c>
      <c r="F8" s="1274" t="s">
        <v>676</v>
      </c>
      <c r="G8" s="1491">
        <v>415.00000000000006</v>
      </c>
      <c r="H8" s="1430" t="s">
        <v>706</v>
      </c>
      <c r="I8" s="1274" t="s">
        <v>640</v>
      </c>
      <c r="J8" s="1274" t="s">
        <v>661</v>
      </c>
      <c r="K8" s="1275">
        <v>110</v>
      </c>
      <c r="L8" s="1274" t="s">
        <v>704</v>
      </c>
      <c r="M8" s="1277">
        <v>475</v>
      </c>
    </row>
    <row r="9" spans="2:13" ht="14.25" x14ac:dyDescent="0.15">
      <c r="B9" s="1651"/>
      <c r="C9" s="1265" t="s">
        <v>674</v>
      </c>
      <c r="D9" s="1265" t="s">
        <v>641</v>
      </c>
      <c r="E9" s="1266">
        <v>110</v>
      </c>
      <c r="F9" s="1265" t="s">
        <v>677</v>
      </c>
      <c r="G9" s="1492">
        <v>560</v>
      </c>
      <c r="H9" s="1431"/>
      <c r="I9" s="1265"/>
      <c r="J9" s="1265" t="s">
        <v>642</v>
      </c>
      <c r="K9" s="1266">
        <v>210</v>
      </c>
      <c r="L9" s="1265" t="s">
        <v>705</v>
      </c>
      <c r="M9" s="1278">
        <v>700</v>
      </c>
    </row>
    <row r="10" spans="2:13" ht="14.25" x14ac:dyDescent="0.15">
      <c r="B10" s="1657"/>
      <c r="C10" s="1265" t="s">
        <v>675</v>
      </c>
      <c r="D10" s="1265" t="s">
        <v>642</v>
      </c>
      <c r="E10" s="1266">
        <v>175</v>
      </c>
      <c r="F10" s="1265" t="s">
        <v>643</v>
      </c>
      <c r="G10" s="1492">
        <v>715</v>
      </c>
      <c r="H10" s="1432"/>
      <c r="I10" s="1271"/>
      <c r="J10" s="1271"/>
      <c r="K10" s="1271"/>
      <c r="L10" s="1271"/>
      <c r="M10" s="1293"/>
    </row>
    <row r="11" spans="2:13" ht="15" thickBot="1" x14ac:dyDescent="0.2">
      <c r="B11" s="1454"/>
      <c r="C11" s="1281"/>
      <c r="D11" s="1281"/>
      <c r="E11" s="1282"/>
      <c r="F11" s="1281" t="s">
        <v>411</v>
      </c>
      <c r="G11" s="1495">
        <v>819.99999999999989</v>
      </c>
      <c r="H11" s="1433"/>
      <c r="I11" s="1294"/>
      <c r="J11" s="1294"/>
      <c r="K11" s="1294"/>
      <c r="L11" s="1294"/>
      <c r="M11" s="1295"/>
    </row>
    <row r="12" spans="2:13" ht="15" thickBot="1" x14ac:dyDescent="0.2">
      <c r="B12" s="1432"/>
      <c r="C12" s="1262"/>
      <c r="D12" s="1262"/>
      <c r="E12" s="1272"/>
      <c r="F12" s="1262"/>
      <c r="G12" s="1280"/>
      <c r="H12" s="1432"/>
      <c r="I12" s="1271"/>
      <c r="J12" s="1271"/>
      <c r="K12" s="1271"/>
      <c r="L12" s="1271"/>
      <c r="M12" s="1293"/>
    </row>
    <row r="13" spans="2:13" ht="14.25" x14ac:dyDescent="0.15">
      <c r="B13" s="1647" t="s">
        <v>50</v>
      </c>
      <c r="C13" s="1274" t="s">
        <v>51</v>
      </c>
      <c r="D13" s="1274" t="s">
        <v>43</v>
      </c>
      <c r="E13" s="1275">
        <v>85</v>
      </c>
      <c r="F13" s="1274" t="s">
        <v>676</v>
      </c>
      <c r="G13" s="1277">
        <v>405</v>
      </c>
      <c r="H13" s="1432"/>
      <c r="I13" s="1271"/>
      <c r="J13" s="1271"/>
      <c r="K13" s="1271"/>
      <c r="L13" s="1271"/>
      <c r="M13" s="1293"/>
    </row>
    <row r="14" spans="2:13" ht="14.25" x14ac:dyDescent="0.15">
      <c r="B14" s="1651"/>
      <c r="C14" s="1265" t="s">
        <v>644</v>
      </c>
      <c r="D14" s="1265" t="s">
        <v>641</v>
      </c>
      <c r="E14" s="1266">
        <v>100</v>
      </c>
      <c r="F14" s="1265" t="s">
        <v>677</v>
      </c>
      <c r="G14" s="1278">
        <v>530</v>
      </c>
      <c r="H14" s="1432"/>
      <c r="I14" s="1271"/>
      <c r="J14" s="1271"/>
      <c r="K14" s="1271"/>
      <c r="L14" s="1271"/>
      <c r="M14" s="1293"/>
    </row>
    <row r="15" spans="2:13" ht="14.25" x14ac:dyDescent="0.15">
      <c r="B15" s="1651"/>
      <c r="C15" s="1265" t="s">
        <v>54</v>
      </c>
      <c r="D15" s="1265" t="s">
        <v>642</v>
      </c>
      <c r="E15" s="1266">
        <v>160</v>
      </c>
      <c r="F15" s="1265" t="s">
        <v>643</v>
      </c>
      <c r="G15" s="1278">
        <v>685</v>
      </c>
      <c r="H15" s="1432"/>
      <c r="I15" s="1271"/>
      <c r="J15" s="1271"/>
      <c r="K15" s="1271"/>
      <c r="L15" s="1271"/>
      <c r="M15" s="1293"/>
    </row>
    <row r="16" spans="2:13" ht="15" thickBot="1" x14ac:dyDescent="0.2">
      <c r="B16" s="1648"/>
      <c r="C16" s="1281" t="s">
        <v>55</v>
      </c>
      <c r="D16" s="1281"/>
      <c r="E16" s="1282"/>
      <c r="F16" s="1281" t="s">
        <v>411</v>
      </c>
      <c r="G16" s="1285">
        <v>770</v>
      </c>
      <c r="H16" s="1433"/>
      <c r="I16" s="1294"/>
      <c r="J16" s="1294"/>
      <c r="K16" s="1294"/>
      <c r="L16" s="1294"/>
      <c r="M16" s="1295"/>
    </row>
    <row r="17" spans="2:13" ht="15" thickBot="1" x14ac:dyDescent="0.2">
      <c r="B17" s="1432"/>
      <c r="C17" s="1262"/>
      <c r="D17" s="1262"/>
      <c r="E17" s="1272"/>
      <c r="F17" s="1262"/>
      <c r="G17" s="1280"/>
      <c r="H17" s="1432"/>
      <c r="I17" s="1262"/>
      <c r="J17" s="1262"/>
      <c r="K17" s="1272"/>
      <c r="L17" s="1262"/>
      <c r="M17" s="1280"/>
    </row>
    <row r="18" spans="2:13" ht="31.5" customHeight="1" x14ac:dyDescent="0.15">
      <c r="B18" s="1647" t="s">
        <v>57</v>
      </c>
      <c r="C18" s="1274" t="s">
        <v>645</v>
      </c>
      <c r="D18" s="1274" t="s">
        <v>661</v>
      </c>
      <c r="E18" s="1275">
        <v>120</v>
      </c>
      <c r="F18" s="1274" t="s">
        <v>647</v>
      </c>
      <c r="G18" s="1277">
        <v>735</v>
      </c>
      <c r="H18" s="1654" t="s">
        <v>707</v>
      </c>
      <c r="I18" s="1652" t="s">
        <v>708</v>
      </c>
      <c r="J18" s="1274" t="s">
        <v>661</v>
      </c>
      <c r="K18" s="1275">
        <v>180</v>
      </c>
      <c r="L18" s="1274" t="s">
        <v>634</v>
      </c>
      <c r="M18" s="1277">
        <v>775</v>
      </c>
    </row>
    <row r="19" spans="2:13" ht="14.25" x14ac:dyDescent="0.15">
      <c r="B19" s="1651"/>
      <c r="C19" s="1265" t="s">
        <v>674</v>
      </c>
      <c r="D19" s="1265" t="s">
        <v>642</v>
      </c>
      <c r="E19" s="1266">
        <v>175</v>
      </c>
      <c r="F19" s="1265" t="s">
        <v>411</v>
      </c>
      <c r="G19" s="1278">
        <v>860</v>
      </c>
      <c r="H19" s="1655"/>
      <c r="I19" s="1653"/>
      <c r="J19" s="1265" t="s">
        <v>642</v>
      </c>
      <c r="K19" s="1266">
        <v>250</v>
      </c>
      <c r="L19" s="1265"/>
      <c r="M19" s="1279"/>
    </row>
    <row r="20" spans="2:13" ht="15" thickBot="1" x14ac:dyDescent="0.2">
      <c r="B20" s="1648"/>
      <c r="C20" s="1281" t="s">
        <v>675</v>
      </c>
      <c r="D20" s="1281" t="s">
        <v>62</v>
      </c>
      <c r="E20" s="1282">
        <v>150</v>
      </c>
      <c r="F20" s="1281"/>
      <c r="G20" s="1284"/>
      <c r="H20" s="1433"/>
      <c r="I20" s="1296"/>
      <c r="J20" s="1296"/>
      <c r="K20" s="1297"/>
      <c r="L20" s="1296"/>
      <c r="M20" s="1298"/>
    </row>
    <row r="21" spans="2:13" ht="15" thickBot="1" x14ac:dyDescent="0.2">
      <c r="B21" s="1432"/>
      <c r="C21" s="1262"/>
      <c r="D21" s="1256"/>
      <c r="E21" s="1256"/>
      <c r="F21" s="1262"/>
      <c r="G21" s="1280"/>
      <c r="H21" s="1432"/>
      <c r="I21" s="1262"/>
      <c r="J21" s="1262"/>
      <c r="K21" s="1272"/>
      <c r="L21" s="1262"/>
      <c r="M21" s="1280"/>
    </row>
    <row r="22" spans="2:13" ht="14.25" x14ac:dyDescent="0.15">
      <c r="B22" s="1647" t="s">
        <v>64</v>
      </c>
      <c r="C22" s="1274" t="s">
        <v>645</v>
      </c>
      <c r="D22" s="1274" t="s">
        <v>661</v>
      </c>
      <c r="E22" s="1275">
        <v>110</v>
      </c>
      <c r="F22" s="1274" t="s">
        <v>647</v>
      </c>
      <c r="G22" s="1277">
        <v>680</v>
      </c>
      <c r="H22" s="1432"/>
      <c r="I22" s="1262"/>
      <c r="J22" s="1262"/>
      <c r="K22" s="1272"/>
      <c r="L22" s="1262"/>
      <c r="M22" s="1280"/>
    </row>
    <row r="23" spans="2:13" ht="14.25" x14ac:dyDescent="0.15">
      <c r="B23" s="1651"/>
      <c r="C23" s="1265" t="s">
        <v>678</v>
      </c>
      <c r="D23" s="1265" t="s">
        <v>642</v>
      </c>
      <c r="E23" s="1266">
        <v>165</v>
      </c>
      <c r="F23" s="1265" t="s">
        <v>411</v>
      </c>
      <c r="G23" s="1278">
        <v>805.00000000000011</v>
      </c>
      <c r="H23" s="1432"/>
      <c r="I23" s="1262"/>
      <c r="J23" s="1262"/>
      <c r="K23" s="1272"/>
      <c r="L23" s="1262"/>
      <c r="M23" s="1280"/>
    </row>
    <row r="24" spans="2:13" ht="15" thickBot="1" x14ac:dyDescent="0.2">
      <c r="B24" s="1648"/>
      <c r="C24" s="1281" t="s">
        <v>55</v>
      </c>
      <c r="D24" s="1281" t="s">
        <v>62</v>
      </c>
      <c r="E24" s="1282">
        <v>135</v>
      </c>
      <c r="F24" s="1281"/>
      <c r="G24" s="1284"/>
      <c r="H24" s="1433"/>
      <c r="I24" s="1296"/>
      <c r="J24" s="1296"/>
      <c r="K24" s="1297"/>
      <c r="L24" s="1296"/>
      <c r="M24" s="1298"/>
    </row>
    <row r="25" spans="2:13" ht="15" thickBot="1" x14ac:dyDescent="0.2">
      <c r="B25" s="1432"/>
      <c r="C25" s="1262"/>
      <c r="D25" s="1262"/>
      <c r="E25" s="1272"/>
      <c r="F25" s="1262"/>
      <c r="G25" s="1280"/>
      <c r="H25" s="1432"/>
      <c r="I25" s="1262"/>
      <c r="J25" s="1262"/>
      <c r="K25" s="1272"/>
      <c r="L25" s="1262"/>
      <c r="M25" s="1280"/>
    </row>
    <row r="26" spans="2:13" ht="14.25" x14ac:dyDescent="0.15">
      <c r="B26" s="1647" t="s">
        <v>69</v>
      </c>
      <c r="C26" s="1274" t="s">
        <v>679</v>
      </c>
      <c r="D26" s="1274" t="s">
        <v>661</v>
      </c>
      <c r="E26" s="1275">
        <v>125</v>
      </c>
      <c r="F26" s="1274" t="s">
        <v>676</v>
      </c>
      <c r="G26" s="1277">
        <v>840</v>
      </c>
      <c r="H26" s="1647" t="s">
        <v>734</v>
      </c>
      <c r="I26" s="1649" t="s">
        <v>709</v>
      </c>
      <c r="J26" s="1274" t="s">
        <v>661</v>
      </c>
      <c r="K26" s="1275">
        <v>200</v>
      </c>
      <c r="L26" s="1274" t="s">
        <v>634</v>
      </c>
      <c r="M26" s="1277">
        <v>850</v>
      </c>
    </row>
    <row r="27" spans="2:13" ht="15" thickBot="1" x14ac:dyDescent="0.2">
      <c r="B27" s="1648"/>
      <c r="C27" s="1281" t="s">
        <v>680</v>
      </c>
      <c r="D27" s="1281" t="s">
        <v>642</v>
      </c>
      <c r="E27" s="1282">
        <v>230</v>
      </c>
      <c r="F27" s="1281" t="s">
        <v>558</v>
      </c>
      <c r="G27" s="1285">
        <v>940</v>
      </c>
      <c r="H27" s="1648"/>
      <c r="I27" s="1650"/>
      <c r="J27" s="1281" t="s">
        <v>642</v>
      </c>
      <c r="K27" s="1282">
        <v>300</v>
      </c>
      <c r="L27" s="1281"/>
      <c r="M27" s="1284"/>
    </row>
    <row r="28" spans="2:13" ht="15" thickBot="1" x14ac:dyDescent="0.2">
      <c r="B28" s="1432"/>
      <c r="C28" s="1262"/>
      <c r="D28" s="1262"/>
      <c r="E28" s="1272"/>
      <c r="F28" s="1262"/>
      <c r="G28" s="1280"/>
      <c r="H28" s="1432"/>
      <c r="I28" s="1262"/>
      <c r="J28" s="1262"/>
      <c r="K28" s="1272"/>
      <c r="L28" s="1262"/>
      <c r="M28" s="1280"/>
    </row>
    <row r="29" spans="2:13" ht="14.25" x14ac:dyDescent="0.15">
      <c r="B29" s="1647" t="s">
        <v>76</v>
      </c>
      <c r="C29" s="1274" t="s">
        <v>648</v>
      </c>
      <c r="D29" s="1274" t="s">
        <v>661</v>
      </c>
      <c r="E29" s="1275">
        <v>115</v>
      </c>
      <c r="F29" s="1274" t="s">
        <v>676</v>
      </c>
      <c r="G29" s="1277">
        <v>790</v>
      </c>
      <c r="H29" s="1430" t="s">
        <v>735</v>
      </c>
      <c r="I29" s="1519" t="s">
        <v>737</v>
      </c>
      <c r="J29" s="1274" t="s">
        <v>739</v>
      </c>
      <c r="K29" s="1275">
        <v>200</v>
      </c>
      <c r="L29" s="1274" t="s">
        <v>738</v>
      </c>
      <c r="M29" s="1277">
        <v>1050</v>
      </c>
    </row>
    <row r="30" spans="2:13" ht="15" thickBot="1" x14ac:dyDescent="0.2">
      <c r="B30" s="1648"/>
      <c r="C30" s="1281" t="s">
        <v>649</v>
      </c>
      <c r="D30" s="1281" t="s">
        <v>642</v>
      </c>
      <c r="E30" s="1282">
        <v>220</v>
      </c>
      <c r="F30" s="1281" t="s">
        <v>558</v>
      </c>
      <c r="G30" s="1285">
        <v>890</v>
      </c>
      <c r="H30" s="1433"/>
      <c r="I30" s="1520"/>
      <c r="J30" s="1296"/>
      <c r="K30" s="1297"/>
      <c r="L30" s="1296"/>
      <c r="M30" s="1298"/>
    </row>
    <row r="31" spans="2:13" ht="15" thickBot="1" x14ac:dyDescent="0.2">
      <c r="B31" s="1432"/>
      <c r="C31" s="1262"/>
      <c r="D31" s="1262"/>
      <c r="E31" s="1272"/>
      <c r="F31" s="1262"/>
      <c r="G31" s="1280"/>
      <c r="H31" s="1432"/>
      <c r="I31" s="1262"/>
      <c r="J31" s="1262"/>
      <c r="K31" s="1272"/>
      <c r="L31" s="1262"/>
      <c r="M31" s="1280"/>
    </row>
    <row r="32" spans="2:13" ht="15" thickBot="1" x14ac:dyDescent="0.2">
      <c r="B32" s="1477" t="s">
        <v>430</v>
      </c>
      <c r="C32" s="1478" t="s">
        <v>650</v>
      </c>
      <c r="D32" s="1478"/>
      <c r="E32" s="1479"/>
      <c r="F32" s="1478" t="s">
        <v>634</v>
      </c>
      <c r="G32" s="1480">
        <v>455</v>
      </c>
      <c r="H32" s="1477" t="s">
        <v>430</v>
      </c>
      <c r="I32" s="1478" t="s">
        <v>650</v>
      </c>
      <c r="J32" s="1478"/>
      <c r="K32" s="1479"/>
      <c r="L32" s="1478" t="s">
        <v>634</v>
      </c>
      <c r="M32" s="1480">
        <v>475.87299999999999</v>
      </c>
    </row>
    <row r="33" spans="2:13" ht="15" thickBot="1" x14ac:dyDescent="0.2">
      <c r="B33" s="1432"/>
      <c r="C33" s="1262"/>
      <c r="D33" s="1262"/>
      <c r="E33" s="1272"/>
      <c r="F33" s="1262"/>
      <c r="G33" s="1280"/>
      <c r="H33" s="1432"/>
      <c r="I33" s="1262"/>
      <c r="J33" s="1262"/>
      <c r="K33" s="1272"/>
      <c r="L33" s="1262"/>
      <c r="M33" s="1280"/>
    </row>
    <row r="34" spans="2:13" ht="27.75" thickBot="1" x14ac:dyDescent="0.2">
      <c r="B34" s="1477" t="s">
        <v>8</v>
      </c>
      <c r="C34" s="1478" t="s">
        <v>651</v>
      </c>
      <c r="D34" s="1478" t="s">
        <v>82</v>
      </c>
      <c r="E34" s="1479">
        <v>110</v>
      </c>
      <c r="F34" s="1478" t="s">
        <v>634</v>
      </c>
      <c r="G34" s="1482">
        <v>390</v>
      </c>
      <c r="H34" s="1477" t="s">
        <v>8</v>
      </c>
      <c r="I34" s="1481" t="s">
        <v>651</v>
      </c>
      <c r="J34" s="1478" t="s">
        <v>82</v>
      </c>
      <c r="K34" s="1479">
        <v>135</v>
      </c>
      <c r="L34" s="1478" t="s">
        <v>634</v>
      </c>
      <c r="M34" s="1482">
        <v>409.99999999999994</v>
      </c>
    </row>
    <row r="35" spans="2:13" ht="15" thickBot="1" x14ac:dyDescent="0.2">
      <c r="B35" s="1432"/>
      <c r="C35" s="1262"/>
      <c r="D35" s="1262"/>
      <c r="E35" s="1272"/>
      <c r="F35" s="1262"/>
      <c r="G35" s="1280"/>
      <c r="H35" s="1432"/>
      <c r="I35" s="1262"/>
      <c r="J35" s="1262"/>
      <c r="K35" s="1272"/>
      <c r="L35" s="1262"/>
      <c r="M35" s="1280"/>
    </row>
    <row r="36" spans="2:13" ht="27.75" thickBot="1" x14ac:dyDescent="0.2">
      <c r="B36" s="1477" t="s">
        <v>564</v>
      </c>
      <c r="C36" s="1478" t="s">
        <v>681</v>
      </c>
      <c r="D36" s="1478" t="s">
        <v>82</v>
      </c>
      <c r="E36" s="1479">
        <v>100</v>
      </c>
      <c r="F36" s="1478" t="s">
        <v>634</v>
      </c>
      <c r="G36" s="1482">
        <v>390</v>
      </c>
      <c r="H36" s="1477" t="s">
        <v>564</v>
      </c>
      <c r="I36" s="1481" t="s">
        <v>681</v>
      </c>
      <c r="J36" s="1478" t="s">
        <v>82</v>
      </c>
      <c r="K36" s="1479">
        <v>135</v>
      </c>
      <c r="L36" s="1478" t="s">
        <v>634</v>
      </c>
      <c r="M36" s="1482">
        <v>425</v>
      </c>
    </row>
    <row r="37" spans="2:13" ht="15" thickBot="1" x14ac:dyDescent="0.2">
      <c r="B37" s="1432"/>
      <c r="C37" s="1262"/>
      <c r="D37" s="1262"/>
      <c r="E37" s="1272"/>
      <c r="F37" s="1262"/>
      <c r="G37" s="1280"/>
      <c r="H37" s="1432"/>
      <c r="I37" s="1262"/>
      <c r="J37" s="1262"/>
      <c r="K37" s="1272"/>
      <c r="L37" s="1262"/>
      <c r="M37" s="1280"/>
    </row>
    <row r="38" spans="2:13" ht="14.25" x14ac:dyDescent="0.15">
      <c r="B38" s="1647" t="s">
        <v>9</v>
      </c>
      <c r="C38" s="1274" t="s">
        <v>682</v>
      </c>
      <c r="D38" s="1274" t="s">
        <v>568</v>
      </c>
      <c r="E38" s="1275">
        <v>90</v>
      </c>
      <c r="F38" s="1274" t="s">
        <v>653</v>
      </c>
      <c r="G38" s="1277">
        <v>605</v>
      </c>
      <c r="H38" s="1647" t="s">
        <v>511</v>
      </c>
      <c r="I38" s="1649" t="s">
        <v>682</v>
      </c>
      <c r="J38" s="1274" t="s">
        <v>710</v>
      </c>
      <c r="K38" s="1275">
        <v>140</v>
      </c>
      <c r="L38" s="1274" t="s">
        <v>653</v>
      </c>
      <c r="M38" s="1277">
        <v>610</v>
      </c>
    </row>
    <row r="39" spans="2:13" ht="14.25" x14ac:dyDescent="0.15">
      <c r="B39" s="1651"/>
      <c r="C39" s="1265" t="s">
        <v>674</v>
      </c>
      <c r="D39" s="1265" t="s">
        <v>683</v>
      </c>
      <c r="E39" s="1266">
        <v>100</v>
      </c>
      <c r="F39" s="1265" t="s">
        <v>576</v>
      </c>
      <c r="G39" s="1278">
        <v>735</v>
      </c>
      <c r="H39" s="1657"/>
      <c r="I39" s="1656"/>
      <c r="J39" s="1265" t="s">
        <v>572</v>
      </c>
      <c r="K39" s="1266">
        <v>250</v>
      </c>
      <c r="L39" s="1265" t="s">
        <v>576</v>
      </c>
      <c r="M39" s="1278">
        <v>710</v>
      </c>
    </row>
    <row r="40" spans="2:13" ht="14.25" x14ac:dyDescent="0.15">
      <c r="B40" s="1651"/>
      <c r="C40" s="1265"/>
      <c r="D40" s="1265" t="s">
        <v>684</v>
      </c>
      <c r="E40" s="1266">
        <v>125</v>
      </c>
      <c r="F40" s="1265"/>
      <c r="G40" s="1279"/>
      <c r="H40" s="1432"/>
      <c r="I40" s="1271"/>
      <c r="J40" s="1271"/>
      <c r="K40" s="1271"/>
      <c r="L40" s="1271"/>
      <c r="M40" s="1293"/>
    </row>
    <row r="41" spans="2:13" ht="14.25" x14ac:dyDescent="0.15">
      <c r="B41" s="1651"/>
      <c r="C41" s="1265"/>
      <c r="D41" s="1265" t="s">
        <v>685</v>
      </c>
      <c r="E41" s="1266">
        <v>190</v>
      </c>
      <c r="F41" s="1265"/>
      <c r="G41" s="1279"/>
      <c r="H41" s="1432"/>
      <c r="I41" s="1271"/>
      <c r="J41" s="1271"/>
      <c r="K41" s="1271"/>
      <c r="L41" s="1271"/>
      <c r="M41" s="1293"/>
    </row>
    <row r="42" spans="2:13" ht="15" thickBot="1" x14ac:dyDescent="0.2">
      <c r="B42" s="1648"/>
      <c r="C42" s="1281"/>
      <c r="D42" s="1281" t="s">
        <v>572</v>
      </c>
      <c r="E42" s="1282">
        <v>225</v>
      </c>
      <c r="F42" s="1281"/>
      <c r="G42" s="1284"/>
      <c r="H42" s="1433"/>
      <c r="I42" s="1294"/>
      <c r="J42" s="1294"/>
      <c r="K42" s="1294"/>
      <c r="L42" s="1294"/>
      <c r="M42" s="1295"/>
    </row>
    <row r="43" spans="2:13" ht="15" thickBot="1" x14ac:dyDescent="0.2">
      <c r="B43" s="1432"/>
      <c r="C43" s="1262"/>
      <c r="D43" s="1456"/>
      <c r="E43" s="1272"/>
      <c r="F43" s="1262"/>
      <c r="G43" s="1280"/>
      <c r="H43" s="1432"/>
      <c r="I43" s="1271"/>
      <c r="J43" s="1271"/>
      <c r="K43" s="1271"/>
      <c r="L43" s="1271"/>
      <c r="M43" s="1293"/>
    </row>
    <row r="44" spans="2:13" ht="14.25" x14ac:dyDescent="0.15">
      <c r="B44" s="1666" t="s">
        <v>11</v>
      </c>
      <c r="C44" s="1274" t="s">
        <v>652</v>
      </c>
      <c r="D44" s="1274" t="s">
        <v>568</v>
      </c>
      <c r="E44" s="1275">
        <v>80</v>
      </c>
      <c r="F44" s="1274" t="s">
        <v>653</v>
      </c>
      <c r="G44" s="1277">
        <v>575</v>
      </c>
      <c r="H44" s="1432"/>
      <c r="I44" s="1262"/>
      <c r="J44" s="1262"/>
      <c r="K44" s="1272"/>
      <c r="L44" s="1262"/>
      <c r="M44" s="1280"/>
    </row>
    <row r="45" spans="2:13" ht="14.25" x14ac:dyDescent="0.15">
      <c r="B45" s="1667"/>
      <c r="C45" s="1265" t="s">
        <v>686</v>
      </c>
      <c r="D45" s="1265" t="s">
        <v>683</v>
      </c>
      <c r="E45" s="1266">
        <v>95</v>
      </c>
      <c r="F45" s="1265" t="s">
        <v>654</v>
      </c>
      <c r="G45" s="1278">
        <v>670</v>
      </c>
      <c r="H45" s="1432"/>
      <c r="I45" s="1262"/>
      <c r="J45" s="1262"/>
      <c r="K45" s="1272"/>
      <c r="L45" s="1262"/>
      <c r="M45" s="1280"/>
    </row>
    <row r="46" spans="2:13" ht="14.25" x14ac:dyDescent="0.15">
      <c r="B46" s="1667"/>
      <c r="C46" s="1265" t="s">
        <v>687</v>
      </c>
      <c r="D46" s="1265" t="s">
        <v>684</v>
      </c>
      <c r="E46" s="1266">
        <v>120</v>
      </c>
      <c r="F46" s="1265" t="s">
        <v>575</v>
      </c>
      <c r="G46" s="1278">
        <v>700</v>
      </c>
      <c r="H46" s="1432"/>
      <c r="I46" s="1262"/>
      <c r="J46" s="1262"/>
      <c r="K46" s="1272"/>
      <c r="L46" s="1262"/>
      <c r="M46" s="1280"/>
    </row>
    <row r="47" spans="2:13" ht="14.25" x14ac:dyDescent="0.15">
      <c r="B47" s="1667"/>
      <c r="C47" s="1265"/>
      <c r="D47" s="1265" t="s">
        <v>685</v>
      </c>
      <c r="E47" s="1266">
        <v>175</v>
      </c>
      <c r="F47" s="1265"/>
      <c r="G47" s="1279"/>
      <c r="H47" s="1432"/>
      <c r="I47" s="1262"/>
      <c r="J47" s="1262"/>
      <c r="K47" s="1272"/>
      <c r="L47" s="1262"/>
      <c r="M47" s="1280"/>
    </row>
    <row r="48" spans="2:13" ht="15" thickBot="1" x14ac:dyDescent="0.2">
      <c r="B48" s="1668"/>
      <c r="C48" s="1281"/>
      <c r="D48" s="1281" t="s">
        <v>572</v>
      </c>
      <c r="E48" s="1282">
        <v>210</v>
      </c>
      <c r="F48" s="1281"/>
      <c r="G48" s="1284"/>
      <c r="H48" s="1433"/>
      <c r="I48" s="1296"/>
      <c r="J48" s="1296"/>
      <c r="K48" s="1297"/>
      <c r="L48" s="1296"/>
      <c r="M48" s="1298"/>
    </row>
    <row r="49" spans="2:13" ht="15" thickBot="1" x14ac:dyDescent="0.2">
      <c r="B49" s="1432"/>
      <c r="C49" s="1262"/>
      <c r="D49" s="1262"/>
      <c r="E49" s="1272"/>
      <c r="F49" s="1262"/>
      <c r="G49" s="1280"/>
      <c r="H49" s="1432"/>
      <c r="I49" s="1262"/>
      <c r="J49" s="1262"/>
      <c r="K49" s="1272"/>
      <c r="L49" s="1262"/>
      <c r="M49" s="1280"/>
    </row>
    <row r="50" spans="2:13" ht="14.25" x14ac:dyDescent="0.15">
      <c r="B50" s="1647" t="s">
        <v>655</v>
      </c>
      <c r="C50" s="1274" t="s">
        <v>13</v>
      </c>
      <c r="D50" s="1274" t="s">
        <v>656</v>
      </c>
      <c r="E50" s="1275">
        <v>110</v>
      </c>
      <c r="F50" s="1274" t="s">
        <v>634</v>
      </c>
      <c r="G50" s="1277">
        <v>500</v>
      </c>
      <c r="H50" s="1647" t="s">
        <v>655</v>
      </c>
      <c r="I50" s="1649" t="s">
        <v>13</v>
      </c>
      <c r="J50" s="1274" t="s">
        <v>656</v>
      </c>
      <c r="K50" s="1275">
        <v>175</v>
      </c>
      <c r="L50" s="1274" t="s">
        <v>634</v>
      </c>
      <c r="M50" s="1277">
        <v>550</v>
      </c>
    </row>
    <row r="51" spans="2:13" ht="15" thickBot="1" x14ac:dyDescent="0.2">
      <c r="B51" s="1648"/>
      <c r="C51" s="1281"/>
      <c r="D51" s="1468" t="s">
        <v>657</v>
      </c>
      <c r="E51" s="1282">
        <v>215</v>
      </c>
      <c r="F51" s="1281"/>
      <c r="G51" s="1284"/>
      <c r="H51" s="1648"/>
      <c r="I51" s="1650"/>
      <c r="J51" s="1468" t="s">
        <v>657</v>
      </c>
      <c r="K51" s="1282">
        <v>275</v>
      </c>
      <c r="L51" s="1281"/>
      <c r="M51" s="1284"/>
    </row>
    <row r="52" spans="2:13" ht="15" thickBot="1" x14ac:dyDescent="0.2">
      <c r="B52" s="1432"/>
      <c r="C52" s="1262"/>
      <c r="D52" s="1262"/>
      <c r="E52" s="1272"/>
      <c r="F52" s="1262"/>
      <c r="G52" s="1280"/>
      <c r="H52" s="1432"/>
      <c r="I52" s="1262"/>
      <c r="J52" s="1262"/>
      <c r="K52" s="1272"/>
      <c r="L52" s="1262"/>
      <c r="M52" s="1280"/>
    </row>
    <row r="53" spans="2:13" ht="15" thickBot="1" x14ac:dyDescent="0.2">
      <c r="B53" s="1477" t="s">
        <v>658</v>
      </c>
      <c r="C53" s="1478" t="s">
        <v>106</v>
      </c>
      <c r="D53" s="1478" t="s">
        <v>646</v>
      </c>
      <c r="E53" s="1479">
        <v>125</v>
      </c>
      <c r="F53" s="1478" t="s">
        <v>634</v>
      </c>
      <c r="G53" s="1482">
        <v>670</v>
      </c>
      <c r="H53" s="1477" t="s">
        <v>658</v>
      </c>
      <c r="I53" s="1478" t="s">
        <v>106</v>
      </c>
      <c r="J53" s="1478" t="s">
        <v>646</v>
      </c>
      <c r="K53" s="1479">
        <v>175</v>
      </c>
      <c r="L53" s="1478" t="s">
        <v>634</v>
      </c>
      <c r="M53" s="1482">
        <v>700</v>
      </c>
    </row>
    <row r="54" spans="2:13" ht="15" thickBot="1" x14ac:dyDescent="0.2">
      <c r="B54" s="1432"/>
      <c r="C54" s="1262"/>
      <c r="D54" s="1262"/>
      <c r="E54" s="1272"/>
      <c r="F54" s="1262"/>
      <c r="G54" s="1280"/>
      <c r="H54" s="1432"/>
      <c r="I54" s="1262"/>
      <c r="J54" s="1262"/>
      <c r="K54" s="1272"/>
      <c r="L54" s="1262"/>
      <c r="M54" s="1280"/>
    </row>
    <row r="55" spans="2:13" ht="14.25" x14ac:dyDescent="0.15">
      <c r="B55" s="1647" t="s">
        <v>659</v>
      </c>
      <c r="C55" s="1669" t="s">
        <v>660</v>
      </c>
      <c r="D55" s="1274" t="s">
        <v>661</v>
      </c>
      <c r="E55" s="1275">
        <v>70</v>
      </c>
      <c r="F55" s="1274" t="s">
        <v>634</v>
      </c>
      <c r="G55" s="1277">
        <v>500</v>
      </c>
      <c r="H55" s="1647" t="s">
        <v>659</v>
      </c>
      <c r="I55" s="1649" t="s">
        <v>660</v>
      </c>
      <c r="J55" s="1274" t="s">
        <v>661</v>
      </c>
      <c r="K55" s="1275">
        <v>70</v>
      </c>
      <c r="L55" s="1274" t="s">
        <v>634</v>
      </c>
      <c r="M55" s="1277">
        <v>450</v>
      </c>
    </row>
    <row r="56" spans="2:13" ht="14.25" x14ac:dyDescent="0.15">
      <c r="B56" s="1651"/>
      <c r="C56" s="1670"/>
      <c r="D56" s="1269" t="s">
        <v>662</v>
      </c>
      <c r="E56" s="1266">
        <v>170</v>
      </c>
      <c r="F56" s="1265"/>
      <c r="G56" s="1279"/>
      <c r="H56" s="1651"/>
      <c r="I56" s="1658"/>
      <c r="J56" s="1269" t="s">
        <v>736</v>
      </c>
      <c r="K56" s="1266">
        <v>170</v>
      </c>
      <c r="L56" s="1265"/>
      <c r="M56" s="1279"/>
    </row>
    <row r="57" spans="2:13" ht="15" thickBot="1" x14ac:dyDescent="0.2">
      <c r="B57" s="1648"/>
      <c r="C57" s="1671"/>
      <c r="D57" s="1468" t="s">
        <v>663</v>
      </c>
      <c r="E57" s="1282">
        <v>200</v>
      </c>
      <c r="F57" s="1281"/>
      <c r="G57" s="1284"/>
      <c r="H57" s="1648"/>
      <c r="I57" s="1650"/>
      <c r="J57" s="1468" t="s">
        <v>663</v>
      </c>
      <c r="K57" s="1282">
        <v>200</v>
      </c>
      <c r="L57" s="1281"/>
      <c r="M57" s="1284"/>
    </row>
    <row r="58" spans="2:13" ht="15" thickBot="1" x14ac:dyDescent="0.2">
      <c r="B58" s="1432"/>
      <c r="C58" s="1262"/>
      <c r="D58" s="1262"/>
      <c r="E58" s="1272"/>
      <c r="F58" s="1262"/>
      <c r="G58" s="1280"/>
      <c r="H58" s="1432"/>
      <c r="I58" s="1262"/>
      <c r="J58" s="1262"/>
      <c r="K58" s="1272"/>
      <c r="L58" s="1262"/>
      <c r="M58" s="1280"/>
    </row>
    <row r="59" spans="2:13" ht="15" thickBot="1" x14ac:dyDescent="0.2">
      <c r="B59" s="1477" t="s">
        <v>371</v>
      </c>
      <c r="C59" s="1478" t="s">
        <v>689</v>
      </c>
      <c r="D59" s="1478" t="s">
        <v>688</v>
      </c>
      <c r="E59" s="1479">
        <v>275</v>
      </c>
      <c r="F59" s="1478" t="s">
        <v>634</v>
      </c>
      <c r="G59" s="1482">
        <v>1120</v>
      </c>
      <c r="H59" s="1477" t="s">
        <v>15</v>
      </c>
      <c r="I59" s="1478" t="s">
        <v>689</v>
      </c>
      <c r="J59" s="1478" t="s">
        <v>714</v>
      </c>
      <c r="K59" s="1479">
        <v>200</v>
      </c>
      <c r="L59" s="1478" t="s">
        <v>634</v>
      </c>
      <c r="M59" s="1482">
        <v>1150</v>
      </c>
    </row>
    <row r="60" spans="2:13" ht="15" thickBot="1" x14ac:dyDescent="0.2">
      <c r="B60" s="1432"/>
      <c r="C60" s="1262"/>
      <c r="D60" s="1262"/>
      <c r="E60" s="1272"/>
      <c r="F60" s="1262"/>
      <c r="G60" s="1280"/>
      <c r="H60" s="1432"/>
      <c r="I60" s="1262"/>
      <c r="J60" s="1262"/>
      <c r="K60" s="1272"/>
      <c r="L60" s="1262"/>
      <c r="M60" s="1280"/>
    </row>
    <row r="61" spans="2:13" ht="15" thickBot="1" x14ac:dyDescent="0.2">
      <c r="B61" s="1477" t="s">
        <v>370</v>
      </c>
      <c r="C61" s="1499" t="s">
        <v>690</v>
      </c>
      <c r="D61" s="1478" t="s">
        <v>646</v>
      </c>
      <c r="E61" s="1479">
        <v>150</v>
      </c>
      <c r="F61" s="1478" t="s">
        <v>634</v>
      </c>
      <c r="G61" s="1482">
        <v>1120</v>
      </c>
      <c r="H61" s="1477"/>
      <c r="I61" s="1500" t="s">
        <v>712</v>
      </c>
      <c r="J61" s="1478"/>
      <c r="K61" s="1479"/>
      <c r="L61" s="1478"/>
      <c r="M61" s="1501"/>
    </row>
    <row r="62" spans="2:13" ht="15" thickBot="1" x14ac:dyDescent="0.2">
      <c r="B62" s="1432"/>
      <c r="C62" s="1262"/>
      <c r="D62" s="1262"/>
      <c r="E62" s="1272"/>
      <c r="F62" s="1262"/>
      <c r="G62" s="1280"/>
      <c r="H62" s="1432"/>
      <c r="I62" s="1262"/>
      <c r="J62" s="1262"/>
      <c r="K62" s="1272"/>
      <c r="L62" s="1262"/>
      <c r="M62" s="1280"/>
    </row>
    <row r="63" spans="2:13" ht="27.75" thickBot="1" x14ac:dyDescent="0.2">
      <c r="B63" s="1487" t="s">
        <v>21</v>
      </c>
      <c r="C63" s="1488" t="s">
        <v>22</v>
      </c>
      <c r="D63" s="1489" t="s">
        <v>468</v>
      </c>
      <c r="E63" s="1488" t="s">
        <v>702</v>
      </c>
      <c r="F63" s="1489" t="s">
        <v>639</v>
      </c>
      <c r="G63" s="1490" t="s">
        <v>703</v>
      </c>
      <c r="H63" s="1487" t="s">
        <v>21</v>
      </c>
      <c r="I63" s="1488" t="s">
        <v>22</v>
      </c>
      <c r="J63" s="1489" t="s">
        <v>468</v>
      </c>
      <c r="K63" s="1488" t="s">
        <v>702</v>
      </c>
      <c r="L63" s="1489" t="s">
        <v>639</v>
      </c>
      <c r="M63" s="1490" t="s">
        <v>703</v>
      </c>
    </row>
    <row r="64" spans="2:13" ht="27.75" thickBot="1" x14ac:dyDescent="0.2">
      <c r="B64" s="1477" t="s">
        <v>16</v>
      </c>
      <c r="C64" s="1478" t="s">
        <v>664</v>
      </c>
      <c r="D64" s="1478" t="s">
        <v>116</v>
      </c>
      <c r="E64" s="1479">
        <v>250</v>
      </c>
      <c r="F64" s="1478" t="s">
        <v>634</v>
      </c>
      <c r="G64" s="1482">
        <v>560</v>
      </c>
      <c r="H64" s="1477" t="s">
        <v>16</v>
      </c>
      <c r="I64" s="1481" t="s">
        <v>664</v>
      </c>
      <c r="J64" s="1478" t="s">
        <v>116</v>
      </c>
      <c r="K64" s="1479">
        <v>350</v>
      </c>
      <c r="L64" s="1478" t="s">
        <v>634</v>
      </c>
      <c r="M64" s="1482">
        <v>600</v>
      </c>
    </row>
    <row r="65" spans="2:13" ht="15" thickBot="1" x14ac:dyDescent="0.2">
      <c r="B65" s="1432"/>
      <c r="C65" s="1262"/>
      <c r="D65" s="1262"/>
      <c r="E65" s="1272"/>
      <c r="F65" s="1262"/>
      <c r="G65" s="1280"/>
      <c r="H65" s="1432"/>
      <c r="I65" s="1262"/>
      <c r="J65" s="1262"/>
      <c r="K65" s="1272"/>
      <c r="L65" s="1262"/>
      <c r="M65" s="1280"/>
    </row>
    <row r="66" spans="2:13" ht="14.25" x14ac:dyDescent="0.15">
      <c r="B66" s="1647" t="s">
        <v>120</v>
      </c>
      <c r="C66" s="1274" t="s">
        <v>682</v>
      </c>
      <c r="D66" s="1274" t="s">
        <v>116</v>
      </c>
      <c r="E66" s="1275">
        <v>275</v>
      </c>
      <c r="F66" s="1274" t="s">
        <v>691</v>
      </c>
      <c r="G66" s="1277">
        <v>750</v>
      </c>
      <c r="H66" s="1430" t="s">
        <v>665</v>
      </c>
      <c r="I66" s="1274" t="s">
        <v>682</v>
      </c>
      <c r="J66" s="1274" t="s">
        <v>116</v>
      </c>
      <c r="K66" s="1275">
        <v>350</v>
      </c>
      <c r="L66" s="1274" t="s">
        <v>634</v>
      </c>
      <c r="M66" s="1277">
        <v>740</v>
      </c>
    </row>
    <row r="67" spans="2:13" ht="15" thickBot="1" x14ac:dyDescent="0.2">
      <c r="B67" s="1648"/>
      <c r="C67" s="1281" t="s">
        <v>674</v>
      </c>
      <c r="D67" s="1281"/>
      <c r="E67" s="1282"/>
      <c r="F67" s="1281" t="s">
        <v>692</v>
      </c>
      <c r="G67" s="1285">
        <v>780</v>
      </c>
      <c r="H67" s="1433"/>
      <c r="I67" s="1296"/>
      <c r="J67" s="1296"/>
      <c r="K67" s="1297"/>
      <c r="L67" s="1296"/>
      <c r="M67" s="1298"/>
    </row>
    <row r="68" spans="2:13" ht="15" thickBot="1" x14ac:dyDescent="0.2">
      <c r="B68" s="1432"/>
      <c r="C68" s="1262"/>
      <c r="D68" s="1262"/>
      <c r="E68" s="1272"/>
      <c r="F68" s="1262"/>
      <c r="G68" s="1280"/>
      <c r="H68" s="1432"/>
      <c r="I68" s="1262"/>
      <c r="J68" s="1262"/>
      <c r="K68" s="1272"/>
      <c r="L68" s="1262"/>
      <c r="M68" s="1280"/>
    </row>
    <row r="69" spans="2:13" ht="14.25" x14ac:dyDescent="0.15">
      <c r="B69" s="1647" t="s">
        <v>124</v>
      </c>
      <c r="C69" s="1274" t="s">
        <v>693</v>
      </c>
      <c r="D69" s="1274" t="s">
        <v>116</v>
      </c>
      <c r="E69" s="1275">
        <v>265</v>
      </c>
      <c r="F69" s="1274" t="s">
        <v>691</v>
      </c>
      <c r="G69" s="1277">
        <v>740</v>
      </c>
      <c r="H69" s="1496"/>
      <c r="I69" s="1497"/>
      <c r="J69" s="1497"/>
      <c r="K69" s="1498"/>
      <c r="L69" s="1497"/>
      <c r="M69" s="1502"/>
    </row>
    <row r="70" spans="2:13" ht="14.25" x14ac:dyDescent="0.15">
      <c r="B70" s="1657"/>
      <c r="C70" s="1265" t="s">
        <v>694</v>
      </c>
      <c r="D70" s="1265"/>
      <c r="E70" s="1266"/>
      <c r="F70" s="1265" t="s">
        <v>692</v>
      </c>
      <c r="G70" s="1278">
        <v>760</v>
      </c>
      <c r="H70" s="1432"/>
      <c r="I70" s="1262"/>
      <c r="J70" s="1262"/>
      <c r="K70" s="1272"/>
      <c r="L70" s="1262"/>
      <c r="M70" s="1280"/>
    </row>
    <row r="71" spans="2:13" ht="14.25" x14ac:dyDescent="0.15">
      <c r="B71" s="1432"/>
      <c r="C71" s="1262"/>
      <c r="D71" s="1262"/>
      <c r="E71" s="1272"/>
      <c r="F71" s="1262"/>
      <c r="G71" s="1485"/>
      <c r="H71" s="1432"/>
      <c r="I71" s="1262"/>
      <c r="J71" s="1262"/>
      <c r="K71" s="1272"/>
      <c r="L71" s="1262"/>
      <c r="M71" s="1280"/>
    </row>
    <row r="72" spans="2:13" ht="14.25" x14ac:dyDescent="0.15">
      <c r="B72" s="1431"/>
      <c r="C72" s="1160" t="s">
        <v>620</v>
      </c>
      <c r="D72" s="1265" t="s">
        <v>116</v>
      </c>
      <c r="E72" s="1266">
        <v>245</v>
      </c>
      <c r="F72" s="1265" t="s">
        <v>634</v>
      </c>
      <c r="G72" s="1278">
        <v>525</v>
      </c>
      <c r="H72" s="1431"/>
      <c r="I72" s="1160" t="s">
        <v>620</v>
      </c>
      <c r="J72" s="1265" t="s">
        <v>116</v>
      </c>
      <c r="K72" s="1266">
        <v>300</v>
      </c>
      <c r="L72" s="1265" t="s">
        <v>634</v>
      </c>
      <c r="M72" s="1278">
        <v>525</v>
      </c>
    </row>
    <row r="73" spans="2:13" ht="14.25" x14ac:dyDescent="0.15">
      <c r="B73" s="1431"/>
      <c r="C73" s="1160" t="s">
        <v>621</v>
      </c>
      <c r="D73" s="1265" t="s">
        <v>116</v>
      </c>
      <c r="E73" s="1266">
        <v>275</v>
      </c>
      <c r="F73" s="1265" t="s">
        <v>634</v>
      </c>
      <c r="G73" s="1278">
        <v>660</v>
      </c>
      <c r="H73" s="1431"/>
      <c r="I73" s="1160" t="s">
        <v>621</v>
      </c>
      <c r="J73" s="1265" t="s">
        <v>116</v>
      </c>
      <c r="K73" s="1266">
        <v>350</v>
      </c>
      <c r="L73" s="1265" t="s">
        <v>634</v>
      </c>
      <c r="M73" s="1278">
        <v>700</v>
      </c>
    </row>
    <row r="74" spans="2:13" ht="27.75" thickBot="1" x14ac:dyDescent="0.2">
      <c r="B74" s="1454"/>
      <c r="C74" s="1292" t="s">
        <v>622</v>
      </c>
      <c r="D74" s="1281" t="s">
        <v>116</v>
      </c>
      <c r="E74" s="1282">
        <v>275</v>
      </c>
      <c r="F74" s="1281" t="s">
        <v>634</v>
      </c>
      <c r="G74" s="1285">
        <v>700</v>
      </c>
      <c r="H74" s="1454"/>
      <c r="I74" s="1372" t="s">
        <v>622</v>
      </c>
      <c r="J74" s="1281" t="s">
        <v>116</v>
      </c>
      <c r="K74" s="1282">
        <v>350</v>
      </c>
      <c r="L74" s="1281" t="s">
        <v>634</v>
      </c>
      <c r="M74" s="1285">
        <v>700</v>
      </c>
    </row>
    <row r="75" spans="2:13" ht="15" thickBot="1" x14ac:dyDescent="0.2">
      <c r="B75" s="1432"/>
      <c r="C75" s="1262"/>
      <c r="D75" s="1262"/>
      <c r="E75" s="1272"/>
      <c r="F75" s="1262"/>
      <c r="G75" s="1280"/>
      <c r="H75" s="1432"/>
      <c r="I75" s="1262"/>
      <c r="J75" s="1262"/>
      <c r="K75" s="1272"/>
      <c r="L75" s="1262"/>
      <c r="M75" s="1280"/>
    </row>
    <row r="76" spans="2:13" ht="14.25" x14ac:dyDescent="0.15">
      <c r="B76" s="1647" t="s">
        <v>130</v>
      </c>
      <c r="C76" s="1274" t="s">
        <v>648</v>
      </c>
      <c r="D76" s="1274" t="s">
        <v>116</v>
      </c>
      <c r="E76" s="1275">
        <v>300</v>
      </c>
      <c r="F76" s="1274" t="s">
        <v>696</v>
      </c>
      <c r="G76" s="1277">
        <v>930.00000000000011</v>
      </c>
      <c r="H76" s="1430" t="s">
        <v>666</v>
      </c>
      <c r="I76" s="1274" t="s">
        <v>648</v>
      </c>
      <c r="J76" s="1274" t="s">
        <v>116</v>
      </c>
      <c r="K76" s="1275">
        <v>375</v>
      </c>
      <c r="L76" s="1274" t="s">
        <v>634</v>
      </c>
      <c r="M76" s="1277">
        <v>925</v>
      </c>
    </row>
    <row r="77" spans="2:13" ht="15" thickBot="1" x14ac:dyDescent="0.2">
      <c r="B77" s="1648"/>
      <c r="C77" s="1281" t="s">
        <v>674</v>
      </c>
      <c r="D77" s="1281"/>
      <c r="E77" s="1282"/>
      <c r="F77" s="1281" t="s">
        <v>697</v>
      </c>
      <c r="G77" s="1285">
        <v>940</v>
      </c>
      <c r="H77" s="1433"/>
      <c r="I77" s="1296"/>
      <c r="J77" s="1296"/>
      <c r="K77" s="1297"/>
      <c r="L77" s="1296"/>
      <c r="M77" s="1298"/>
    </row>
    <row r="78" spans="2:13" ht="15" thickBot="1" x14ac:dyDescent="0.2">
      <c r="B78" s="1432"/>
      <c r="C78" s="1262"/>
      <c r="D78" s="1262"/>
      <c r="E78" s="1272"/>
      <c r="F78" s="1262"/>
      <c r="G78" s="1280"/>
      <c r="H78" s="1432"/>
      <c r="I78" s="1262"/>
      <c r="J78" s="1262"/>
      <c r="K78" s="1272"/>
      <c r="L78" s="1262"/>
      <c r="M78" s="1280"/>
    </row>
    <row r="79" spans="2:13" ht="14.25" x14ac:dyDescent="0.15">
      <c r="B79" s="1647" t="s">
        <v>133</v>
      </c>
      <c r="C79" s="1274" t="s">
        <v>756</v>
      </c>
      <c r="D79" s="1274" t="s">
        <v>116</v>
      </c>
      <c r="E79" s="1275">
        <v>290</v>
      </c>
      <c r="F79" s="1274" t="s">
        <v>696</v>
      </c>
      <c r="G79" s="1277">
        <v>910</v>
      </c>
      <c r="H79" s="1432"/>
      <c r="I79" s="1262"/>
      <c r="J79" s="1262"/>
      <c r="K79" s="1272"/>
      <c r="L79" s="1262"/>
      <c r="M79" s="1280"/>
    </row>
    <row r="80" spans="2:13" ht="15" thickBot="1" x14ac:dyDescent="0.2">
      <c r="B80" s="1648"/>
      <c r="C80" s="1281" t="s">
        <v>694</v>
      </c>
      <c r="D80" s="1281"/>
      <c r="E80" s="1282"/>
      <c r="F80" s="1281" t="s">
        <v>697</v>
      </c>
      <c r="G80" s="1285">
        <v>919.99999999999989</v>
      </c>
      <c r="H80" s="1433"/>
      <c r="I80" s="1296"/>
      <c r="J80" s="1296"/>
      <c r="K80" s="1297"/>
      <c r="L80" s="1296"/>
      <c r="M80" s="1298"/>
    </row>
    <row r="81" spans="2:13" ht="15" thickBot="1" x14ac:dyDescent="0.2">
      <c r="B81" s="1432"/>
      <c r="C81" s="1262"/>
      <c r="D81" s="1262"/>
      <c r="E81" s="1272"/>
      <c r="F81" s="1262"/>
      <c r="G81" s="1280"/>
      <c r="H81" s="1432"/>
      <c r="I81" s="1262"/>
      <c r="J81" s="1262"/>
      <c r="K81" s="1272"/>
      <c r="L81" s="1262"/>
      <c r="M81" s="1280"/>
    </row>
    <row r="82" spans="2:13" ht="14.25" x14ac:dyDescent="0.15">
      <c r="B82" s="1647" t="s">
        <v>331</v>
      </c>
      <c r="C82" s="1274" t="s">
        <v>667</v>
      </c>
      <c r="D82" s="1274" t="s">
        <v>116</v>
      </c>
      <c r="E82" s="1275">
        <v>260</v>
      </c>
      <c r="F82" s="1274" t="s">
        <v>691</v>
      </c>
      <c r="G82" s="1277">
        <v>725</v>
      </c>
      <c r="H82" s="1647" t="s">
        <v>331</v>
      </c>
      <c r="I82" s="1274" t="s">
        <v>667</v>
      </c>
      <c r="J82" s="1274" t="s">
        <v>116</v>
      </c>
      <c r="K82" s="1275">
        <v>300</v>
      </c>
      <c r="L82" s="1274" t="s">
        <v>634</v>
      </c>
      <c r="M82" s="1277">
        <v>750</v>
      </c>
    </row>
    <row r="83" spans="2:13" ht="27.75" thickBot="1" x14ac:dyDescent="0.2">
      <c r="B83" s="1648"/>
      <c r="C83" s="1281" t="s">
        <v>757</v>
      </c>
      <c r="D83" s="1281"/>
      <c r="E83" s="1282"/>
      <c r="F83" s="1281" t="s">
        <v>692</v>
      </c>
      <c r="G83" s="1285">
        <v>765</v>
      </c>
      <c r="H83" s="1648"/>
      <c r="I83" s="1373" t="s">
        <v>668</v>
      </c>
      <c r="J83" s="1281"/>
      <c r="K83" s="1282"/>
      <c r="L83" s="1281"/>
      <c r="M83" s="1284"/>
    </row>
    <row r="84" spans="2:13" ht="15" thickBot="1" x14ac:dyDescent="0.2">
      <c r="B84" s="1432"/>
      <c r="C84" s="1262"/>
      <c r="D84" s="1262"/>
      <c r="E84" s="1272"/>
      <c r="F84" s="1262"/>
      <c r="G84" s="1280"/>
      <c r="H84" s="1432"/>
      <c r="I84" s="1262"/>
      <c r="J84" s="1262"/>
      <c r="K84" s="1272"/>
      <c r="L84" s="1262"/>
      <c r="M84" s="1280"/>
    </row>
    <row r="85" spans="2:13" ht="14.25" x14ac:dyDescent="0.15">
      <c r="B85" s="1647" t="s">
        <v>332</v>
      </c>
      <c r="C85" s="1274" t="s">
        <v>669</v>
      </c>
      <c r="D85" s="1274" t="s">
        <v>116</v>
      </c>
      <c r="E85" s="1275">
        <v>265</v>
      </c>
      <c r="F85" s="1274" t="s">
        <v>691</v>
      </c>
      <c r="G85" s="1277">
        <v>825</v>
      </c>
      <c r="H85" s="1430" t="s">
        <v>332</v>
      </c>
      <c r="I85" s="1274" t="s">
        <v>669</v>
      </c>
      <c r="J85" s="1274" t="s">
        <v>116</v>
      </c>
      <c r="K85" s="1275">
        <v>350</v>
      </c>
      <c r="L85" s="1274" t="s">
        <v>634</v>
      </c>
      <c r="M85" s="1277">
        <v>850</v>
      </c>
    </row>
    <row r="86" spans="2:13" ht="27.75" thickBot="1" x14ac:dyDescent="0.2">
      <c r="B86" s="1648"/>
      <c r="C86" s="1281" t="s">
        <v>758</v>
      </c>
      <c r="D86" s="1281"/>
      <c r="E86" s="1282"/>
      <c r="F86" s="1281" t="s">
        <v>692</v>
      </c>
      <c r="G86" s="1285">
        <v>865</v>
      </c>
      <c r="H86" s="1454"/>
      <c r="I86" s="1373" t="s">
        <v>670</v>
      </c>
      <c r="J86" s="1281"/>
      <c r="K86" s="1282"/>
      <c r="L86" s="1281"/>
      <c r="M86" s="1284"/>
    </row>
    <row r="87" spans="2:13" ht="15" thickBot="1" x14ac:dyDescent="0.2">
      <c r="B87" s="1432"/>
      <c r="C87" s="1262"/>
      <c r="D87" s="1262"/>
      <c r="E87" s="1272"/>
      <c r="F87" s="1262"/>
      <c r="G87" s="1280"/>
      <c r="H87" s="1432"/>
      <c r="I87" s="1262"/>
      <c r="J87" s="1262"/>
      <c r="K87" s="1272"/>
      <c r="L87" s="1262"/>
      <c r="M87" s="1280"/>
    </row>
    <row r="88" spans="2:13" ht="14.25" x14ac:dyDescent="0.15">
      <c r="B88" s="1430" t="s">
        <v>137</v>
      </c>
      <c r="C88" s="1274" t="s">
        <v>671</v>
      </c>
      <c r="D88" s="1274" t="s">
        <v>700</v>
      </c>
      <c r="E88" s="1275">
        <v>1900</v>
      </c>
      <c r="F88" s="1274" t="s">
        <v>634</v>
      </c>
      <c r="G88" s="1277">
        <v>315</v>
      </c>
      <c r="H88" s="1430" t="s">
        <v>633</v>
      </c>
      <c r="I88" s="1274" t="s">
        <v>713</v>
      </c>
      <c r="J88" s="1274" t="s">
        <v>714</v>
      </c>
      <c r="K88" s="1275">
        <v>150</v>
      </c>
      <c r="L88" s="1274" t="s">
        <v>634</v>
      </c>
      <c r="M88" s="1277">
        <v>350</v>
      </c>
    </row>
    <row r="89" spans="2:13" ht="14.25" x14ac:dyDescent="0.15">
      <c r="B89" s="1431" t="s">
        <v>140</v>
      </c>
      <c r="C89" s="1265" t="s">
        <v>698</v>
      </c>
      <c r="D89" s="1265" t="s">
        <v>82</v>
      </c>
      <c r="E89" s="1266">
        <v>110</v>
      </c>
      <c r="F89" s="1265" t="s">
        <v>634</v>
      </c>
      <c r="G89" s="1278">
        <v>315</v>
      </c>
      <c r="H89" s="1432"/>
      <c r="I89" s="1262"/>
      <c r="J89" s="1262"/>
      <c r="K89" s="1272"/>
      <c r="L89" s="1262"/>
      <c r="M89" s="1280"/>
    </row>
    <row r="90" spans="2:13" ht="15" thickBot="1" x14ac:dyDescent="0.2">
      <c r="B90" s="1454" t="s">
        <v>179</v>
      </c>
      <c r="C90" s="1281" t="s">
        <v>699</v>
      </c>
      <c r="D90" s="1281" t="s">
        <v>82</v>
      </c>
      <c r="E90" s="1282">
        <v>90</v>
      </c>
      <c r="F90" s="1281" t="s">
        <v>634</v>
      </c>
      <c r="G90" s="1285">
        <v>315</v>
      </c>
      <c r="H90" s="1433"/>
      <c r="I90" s="1296"/>
      <c r="J90" s="1296"/>
      <c r="K90" s="1297"/>
      <c r="L90" s="1296"/>
      <c r="M90" s="1298"/>
    </row>
    <row r="91" spans="2:13" ht="15" thickBot="1" x14ac:dyDescent="0.2">
      <c r="B91" s="1432"/>
      <c r="C91" s="1262"/>
      <c r="D91" s="1262"/>
      <c r="E91" s="1272"/>
      <c r="F91" s="1262"/>
      <c r="G91" s="1485"/>
      <c r="H91" s="1432"/>
      <c r="I91" s="1262"/>
      <c r="J91" s="1262"/>
      <c r="K91" s="1272"/>
      <c r="L91" s="1262"/>
      <c r="M91" s="1280"/>
    </row>
    <row r="92" spans="2:13" ht="14.25" x14ac:dyDescent="0.15">
      <c r="B92" s="1430"/>
      <c r="C92" s="1274"/>
      <c r="D92" s="1274"/>
      <c r="E92" s="1275"/>
      <c r="F92" s="1274"/>
      <c r="G92" s="1287"/>
      <c r="H92" s="1493" t="s">
        <v>716</v>
      </c>
      <c r="I92" s="1274"/>
      <c r="J92" s="1274"/>
      <c r="K92" s="1275"/>
      <c r="L92" s="1274"/>
      <c r="M92" s="1287"/>
    </row>
    <row r="93" spans="2:13" ht="27.75" thickBot="1" x14ac:dyDescent="0.2">
      <c r="B93" s="1459" t="s">
        <v>143</v>
      </c>
      <c r="C93" s="1281" t="s">
        <v>672</v>
      </c>
      <c r="D93" s="1281" t="s">
        <v>700</v>
      </c>
      <c r="E93" s="1282">
        <v>1960</v>
      </c>
      <c r="F93" s="1281" t="s">
        <v>634</v>
      </c>
      <c r="G93" s="1285">
        <v>515</v>
      </c>
      <c r="H93" s="1494" t="s">
        <v>635</v>
      </c>
      <c r="I93" s="1373" t="s">
        <v>672</v>
      </c>
      <c r="J93" s="1281" t="s">
        <v>714</v>
      </c>
      <c r="K93" s="1282">
        <v>150</v>
      </c>
      <c r="L93" s="1281" t="s">
        <v>634</v>
      </c>
      <c r="M93" s="1285">
        <v>550</v>
      </c>
    </row>
    <row r="94" spans="2:13" ht="15" thickBot="1" x14ac:dyDescent="0.2">
      <c r="B94" s="1484"/>
      <c r="C94" s="1262"/>
      <c r="D94" s="1262"/>
      <c r="E94" s="1272"/>
      <c r="F94" s="1262"/>
      <c r="G94" s="1280"/>
      <c r="H94" s="1432"/>
      <c r="I94" s="1262"/>
      <c r="J94" s="1262"/>
      <c r="K94" s="1272"/>
      <c r="L94" s="1262"/>
      <c r="M94" s="1280"/>
    </row>
    <row r="95" spans="2:13" ht="15" thickBot="1" x14ac:dyDescent="0.2">
      <c r="B95" s="1483" t="s">
        <v>312</v>
      </c>
      <c r="C95" s="1478" t="s">
        <v>673</v>
      </c>
      <c r="D95" s="1478" t="s">
        <v>116</v>
      </c>
      <c r="E95" s="1479">
        <v>175</v>
      </c>
      <c r="F95" s="1478" t="s">
        <v>634</v>
      </c>
      <c r="G95" s="1482">
        <v>710</v>
      </c>
      <c r="H95" s="1477" t="s">
        <v>312</v>
      </c>
      <c r="I95" s="1478" t="s">
        <v>673</v>
      </c>
      <c r="J95" s="1478" t="s">
        <v>116</v>
      </c>
      <c r="K95" s="1479">
        <v>300</v>
      </c>
      <c r="L95" s="1478" t="s">
        <v>634</v>
      </c>
      <c r="M95" s="1482">
        <v>725</v>
      </c>
    </row>
    <row r="96" spans="2:13" ht="15" thickBot="1" x14ac:dyDescent="0.2">
      <c r="B96" s="1484"/>
      <c r="C96" s="1262"/>
      <c r="D96" s="1262"/>
      <c r="E96" s="1272"/>
      <c r="F96" s="1262"/>
      <c r="G96" s="1280"/>
      <c r="H96" s="1432"/>
      <c r="I96" s="1262"/>
      <c r="J96" s="1262"/>
      <c r="K96" s="1272"/>
      <c r="L96" s="1262"/>
      <c r="M96" s="1280"/>
    </row>
    <row r="97" spans="2:13" ht="15" thickBot="1" x14ac:dyDescent="0.2">
      <c r="B97" s="1483" t="s">
        <v>313</v>
      </c>
      <c r="C97" s="1478" t="s">
        <v>108</v>
      </c>
      <c r="D97" s="1478" t="s">
        <v>82</v>
      </c>
      <c r="E97" s="1479">
        <v>325</v>
      </c>
      <c r="F97" s="1478" t="s">
        <v>634</v>
      </c>
      <c r="G97" s="1482">
        <v>1120</v>
      </c>
      <c r="H97" s="1477" t="s">
        <v>313</v>
      </c>
      <c r="I97" s="1478" t="s">
        <v>108</v>
      </c>
      <c r="J97" s="1478" t="s">
        <v>82</v>
      </c>
      <c r="K97" s="1479">
        <v>400</v>
      </c>
      <c r="L97" s="1478" t="s">
        <v>634</v>
      </c>
      <c r="M97" s="1482">
        <v>1150</v>
      </c>
    </row>
    <row r="98" spans="2:13" ht="15" thickBot="1" x14ac:dyDescent="0.2">
      <c r="B98" s="1484"/>
      <c r="C98" s="1262"/>
      <c r="D98" s="1262"/>
      <c r="E98" s="1272"/>
      <c r="F98" s="1262"/>
      <c r="G98" s="1485"/>
      <c r="H98" s="1432"/>
      <c r="I98" s="1262"/>
      <c r="J98" s="1262"/>
      <c r="K98" s="1272"/>
      <c r="L98" s="1262"/>
      <c r="M98" s="1485"/>
    </row>
    <row r="99" spans="2:13" ht="14.25" x14ac:dyDescent="0.15">
      <c r="B99" s="1474"/>
      <c r="C99" s="1274"/>
      <c r="D99" s="1274"/>
      <c r="E99" s="1275"/>
      <c r="F99" s="1274"/>
      <c r="G99" s="1287"/>
      <c r="H99" s="1493" t="s">
        <v>715</v>
      </c>
      <c r="I99" s="1274"/>
      <c r="J99" s="1274"/>
      <c r="K99" s="1275"/>
      <c r="L99" s="1274"/>
      <c r="M99" s="1287"/>
    </row>
    <row r="100" spans="2:13" ht="15" thickBot="1" x14ac:dyDescent="0.2">
      <c r="B100" s="1459" t="s">
        <v>623</v>
      </c>
      <c r="C100" s="1281" t="s">
        <v>701</v>
      </c>
      <c r="D100" s="1281"/>
      <c r="E100" s="1282"/>
      <c r="F100" s="1281" t="s">
        <v>634</v>
      </c>
      <c r="G100" s="1285">
        <v>1255</v>
      </c>
      <c r="H100" s="1454" t="s">
        <v>623</v>
      </c>
      <c r="I100" s="1281" t="s">
        <v>701</v>
      </c>
      <c r="J100" s="1281"/>
      <c r="K100" s="1282"/>
      <c r="L100" s="1281" t="s">
        <v>634</v>
      </c>
      <c r="M100" s="1285">
        <v>1300</v>
      </c>
    </row>
    <row r="101" spans="2:13" x14ac:dyDescent="0.15">
      <c r="B101" s="1434"/>
      <c r="C101" s="1256"/>
      <c r="D101" s="1256"/>
      <c r="E101" s="1268"/>
      <c r="F101" s="1256"/>
      <c r="G101" s="1378"/>
      <c r="H101" s="1434"/>
      <c r="I101" s="1256"/>
      <c r="J101" s="1256"/>
      <c r="K101" s="1268"/>
      <c r="L101" s="1256"/>
      <c r="M101" s="1378"/>
    </row>
    <row r="102" spans="2:13" ht="15" thickBot="1" x14ac:dyDescent="0.2">
      <c r="B102" s="1486" t="s">
        <v>718</v>
      </c>
      <c r="C102" s="1256"/>
      <c r="D102" s="1256"/>
      <c r="E102" s="1268"/>
      <c r="F102" s="1256"/>
      <c r="G102" s="1378"/>
      <c r="H102" s="1434"/>
      <c r="I102" s="1256"/>
      <c r="J102" s="1256"/>
      <c r="K102" s="1268"/>
      <c r="L102" s="1256"/>
      <c r="M102" s="1378"/>
    </row>
    <row r="103" spans="2:13" ht="14.25" x14ac:dyDescent="0.15">
      <c r="B103" s="1647" t="s">
        <v>69</v>
      </c>
      <c r="C103" s="1274" t="s">
        <v>679</v>
      </c>
      <c r="D103" s="1274" t="s">
        <v>661</v>
      </c>
      <c r="E103" s="1275">
        <v>140</v>
      </c>
      <c r="F103" s="1274" t="s">
        <v>676</v>
      </c>
      <c r="G103" s="1277">
        <v>840</v>
      </c>
      <c r="H103" s="1647" t="s">
        <v>508</v>
      </c>
      <c r="I103" s="1649" t="s">
        <v>709</v>
      </c>
      <c r="J103" s="1274" t="s">
        <v>661</v>
      </c>
      <c r="K103" s="1275">
        <v>220</v>
      </c>
      <c r="L103" s="1274" t="s">
        <v>634</v>
      </c>
      <c r="M103" s="1277">
        <v>850</v>
      </c>
    </row>
    <row r="104" spans="2:13" ht="15" thickBot="1" x14ac:dyDescent="0.2">
      <c r="B104" s="1657"/>
      <c r="C104" s="1265" t="s">
        <v>680</v>
      </c>
      <c r="D104" s="1265" t="s">
        <v>642</v>
      </c>
      <c r="E104" s="1266">
        <v>245</v>
      </c>
      <c r="F104" s="1265" t="s">
        <v>558</v>
      </c>
      <c r="G104" s="1278">
        <v>940</v>
      </c>
      <c r="H104" s="1648"/>
      <c r="I104" s="1650"/>
      <c r="J104" s="1281" t="s">
        <v>642</v>
      </c>
      <c r="K104" s="1282">
        <v>320</v>
      </c>
      <c r="L104" s="1281"/>
      <c r="M104" s="1284"/>
    </row>
    <row r="105" spans="2:13" ht="14.25" x14ac:dyDescent="0.15">
      <c r="B105" s="1432"/>
      <c r="C105" s="1262"/>
      <c r="D105" s="1262"/>
      <c r="E105" s="1272"/>
      <c r="F105" s="1262"/>
      <c r="G105" s="1280"/>
      <c r="H105" s="1432"/>
      <c r="I105" s="1262"/>
      <c r="J105" s="1262"/>
      <c r="K105" s="1272"/>
      <c r="L105" s="1262"/>
      <c r="M105" s="1280"/>
    </row>
    <row r="106" spans="2:13" ht="14.25" x14ac:dyDescent="0.15">
      <c r="B106" s="1659" t="s">
        <v>76</v>
      </c>
      <c r="C106" s="1265" t="s">
        <v>648</v>
      </c>
      <c r="D106" s="1265" t="s">
        <v>661</v>
      </c>
      <c r="E106" s="1266">
        <v>130</v>
      </c>
      <c r="F106" s="1265" t="s">
        <v>676</v>
      </c>
      <c r="G106" s="1278">
        <v>790</v>
      </c>
      <c r="H106" s="1432"/>
      <c r="I106" s="1262"/>
      <c r="J106" s="1262"/>
      <c r="K106" s="1272"/>
      <c r="L106" s="1262"/>
      <c r="M106" s="1280"/>
    </row>
    <row r="107" spans="2:13" ht="15" thickBot="1" x14ac:dyDescent="0.2">
      <c r="B107" s="1648"/>
      <c r="C107" s="1281" t="s">
        <v>649</v>
      </c>
      <c r="D107" s="1281" t="s">
        <v>642</v>
      </c>
      <c r="E107" s="1282">
        <v>235</v>
      </c>
      <c r="F107" s="1281" t="s">
        <v>558</v>
      </c>
      <c r="G107" s="1285">
        <v>890</v>
      </c>
      <c r="H107" s="1433"/>
      <c r="I107" s="1296"/>
      <c r="J107" s="1296"/>
      <c r="K107" s="1297"/>
      <c r="L107" s="1296"/>
      <c r="M107" s="1298"/>
    </row>
    <row r="108" spans="2:13" ht="15" thickBot="1" x14ac:dyDescent="0.2">
      <c r="B108" s="1486" t="s">
        <v>718</v>
      </c>
      <c r="C108" s="1256"/>
      <c r="D108" s="1256"/>
      <c r="E108" s="1256"/>
      <c r="F108" s="1256"/>
      <c r="G108" s="1378"/>
      <c r="H108" s="1434"/>
      <c r="I108" s="1256"/>
      <c r="J108" s="1256"/>
      <c r="K108" s="1256"/>
      <c r="L108" s="1256"/>
      <c r="M108" s="1378"/>
    </row>
    <row r="109" spans="2:13" ht="14.25" x14ac:dyDescent="0.15">
      <c r="B109" s="1647" t="s">
        <v>9</v>
      </c>
      <c r="C109" s="1460" t="s">
        <v>682</v>
      </c>
      <c r="D109" s="1274" t="s">
        <v>720</v>
      </c>
      <c r="E109" s="1461">
        <v>120</v>
      </c>
      <c r="F109" s="1274" t="s">
        <v>653</v>
      </c>
      <c r="G109" s="1277">
        <v>605</v>
      </c>
      <c r="H109" s="1647" t="s">
        <v>511</v>
      </c>
      <c r="I109" s="1649" t="s">
        <v>682</v>
      </c>
      <c r="J109" s="1274" t="s">
        <v>710</v>
      </c>
      <c r="K109" s="1275">
        <v>190</v>
      </c>
      <c r="L109" s="1353" t="s">
        <v>653</v>
      </c>
      <c r="M109" s="1351">
        <v>610</v>
      </c>
    </row>
    <row r="110" spans="2:13" ht="15" thickBot="1" x14ac:dyDescent="0.2">
      <c r="B110" s="1651"/>
      <c r="C110" s="1457" t="s">
        <v>674</v>
      </c>
      <c r="D110" s="1265" t="s">
        <v>719</v>
      </c>
      <c r="E110" s="1462">
        <v>155</v>
      </c>
      <c r="F110" s="1265" t="s">
        <v>576</v>
      </c>
      <c r="G110" s="1278">
        <v>735</v>
      </c>
      <c r="H110" s="1648"/>
      <c r="I110" s="1650"/>
      <c r="J110" s="1281" t="s">
        <v>572</v>
      </c>
      <c r="K110" s="1282">
        <v>300</v>
      </c>
      <c r="L110" s="1503" t="s">
        <v>576</v>
      </c>
      <c r="M110" s="1504">
        <v>710</v>
      </c>
    </row>
    <row r="111" spans="2:13" ht="14.25" x14ac:dyDescent="0.15">
      <c r="B111" s="1651"/>
      <c r="C111" s="1457"/>
      <c r="D111" s="1265" t="s">
        <v>721</v>
      </c>
      <c r="E111" s="1462">
        <v>240</v>
      </c>
      <c r="F111" s="1265"/>
      <c r="G111" s="1279"/>
      <c r="H111" s="1432"/>
      <c r="I111" s="1271"/>
      <c r="J111" s="1271"/>
      <c r="K111" s="1271"/>
      <c r="L111" s="1271"/>
      <c r="M111" s="1293"/>
    </row>
    <row r="112" spans="2:13" ht="14.25" x14ac:dyDescent="0.15">
      <c r="B112" s="1657"/>
      <c r="C112" s="1457"/>
      <c r="D112" s="1265" t="s">
        <v>722</v>
      </c>
      <c r="E112" s="1462">
        <v>255</v>
      </c>
      <c r="F112" s="1265"/>
      <c r="G112" s="1279"/>
      <c r="H112" s="1432"/>
      <c r="I112" s="1271"/>
      <c r="J112" s="1271"/>
      <c r="K112" s="1271"/>
      <c r="L112" s="1271"/>
      <c r="M112" s="1293"/>
    </row>
    <row r="113" spans="2:13" ht="14.25" x14ac:dyDescent="0.15">
      <c r="B113" s="1432"/>
      <c r="C113" s="1262"/>
      <c r="D113" s="1463"/>
      <c r="E113" s="1272"/>
      <c r="F113" s="1262"/>
      <c r="G113" s="1280"/>
      <c r="H113" s="1432"/>
      <c r="I113" s="1271"/>
      <c r="J113" s="1271"/>
      <c r="K113" s="1271"/>
      <c r="L113" s="1271"/>
      <c r="M113" s="1293"/>
    </row>
    <row r="114" spans="2:13" ht="14.25" x14ac:dyDescent="0.15">
      <c r="B114" s="1659" t="s">
        <v>11</v>
      </c>
      <c r="C114" s="1457" t="s">
        <v>652</v>
      </c>
      <c r="D114" s="1265" t="s">
        <v>720</v>
      </c>
      <c r="E114" s="1462">
        <v>110</v>
      </c>
      <c r="F114" s="1265" t="s">
        <v>653</v>
      </c>
      <c r="G114" s="1278">
        <v>575</v>
      </c>
      <c r="H114" s="1432"/>
      <c r="I114" s="1262"/>
      <c r="J114" s="1262"/>
      <c r="K114" s="1272"/>
      <c r="L114" s="1262"/>
      <c r="M114" s="1280"/>
    </row>
    <row r="115" spans="2:13" ht="14.25" x14ac:dyDescent="0.15">
      <c r="B115" s="1651"/>
      <c r="C115" s="1457" t="s">
        <v>686</v>
      </c>
      <c r="D115" s="1265" t="s">
        <v>719</v>
      </c>
      <c r="E115" s="1462">
        <v>145</v>
      </c>
      <c r="F115" s="1265" t="s">
        <v>654</v>
      </c>
      <c r="G115" s="1278">
        <v>670</v>
      </c>
      <c r="H115" s="1432"/>
      <c r="I115" s="1262"/>
      <c r="J115" s="1262"/>
      <c r="K115" s="1272"/>
      <c r="L115" s="1262"/>
      <c r="M115" s="1280"/>
    </row>
    <row r="116" spans="2:13" ht="14.25" x14ac:dyDescent="0.15">
      <c r="B116" s="1657"/>
      <c r="C116" s="1457" t="s">
        <v>687</v>
      </c>
      <c r="D116" s="1265" t="s">
        <v>721</v>
      </c>
      <c r="E116" s="1462">
        <v>230</v>
      </c>
      <c r="F116" s="1265" t="s">
        <v>575</v>
      </c>
      <c r="G116" s="1278">
        <v>700</v>
      </c>
      <c r="H116" s="1432"/>
      <c r="I116" s="1262"/>
      <c r="J116" s="1262"/>
      <c r="K116" s="1272"/>
      <c r="L116" s="1262"/>
      <c r="M116" s="1280"/>
    </row>
    <row r="117" spans="2:13" ht="15" thickBot="1" x14ac:dyDescent="0.2">
      <c r="B117" s="1454"/>
      <c r="C117" s="1464"/>
      <c r="D117" s="1281" t="s">
        <v>722</v>
      </c>
      <c r="E117" s="1465">
        <v>245</v>
      </c>
      <c r="F117" s="1281"/>
      <c r="G117" s="1284"/>
      <c r="H117" s="1433"/>
      <c r="I117" s="1296"/>
      <c r="J117" s="1296"/>
      <c r="K117" s="1297"/>
      <c r="L117" s="1296"/>
      <c r="M117" s="1298"/>
    </row>
    <row r="119" spans="2:13" ht="14.25" x14ac:dyDescent="0.15">
      <c r="C119" s="1514"/>
      <c r="D119" s="1514"/>
      <c r="E119" s="1675"/>
      <c r="F119" s="1675"/>
      <c r="G119" s="1515"/>
    </row>
    <row r="120" spans="2:13" ht="14.25" thickBot="1" x14ac:dyDescent="0.2">
      <c r="C120" s="1516"/>
      <c r="D120" s="1517"/>
      <c r="E120" s="1672"/>
      <c r="F120" s="1672"/>
      <c r="G120" s="1518"/>
    </row>
    <row r="121" spans="2:13" ht="20.25" x14ac:dyDescent="0.25">
      <c r="C121" s="1629" t="s">
        <v>754</v>
      </c>
      <c r="D121" s="1509" t="s">
        <v>741</v>
      </c>
      <c r="E121" s="1631" t="s">
        <v>751</v>
      </c>
      <c r="F121" s="1632"/>
      <c r="G121" s="1632"/>
      <c r="H121" s="1632"/>
      <c r="I121" s="1633"/>
    </row>
    <row r="122" spans="2:13" ht="41.25" thickBot="1" x14ac:dyDescent="0.2">
      <c r="C122" s="1630"/>
      <c r="D122" s="1510" t="s">
        <v>742</v>
      </c>
      <c r="E122" s="1673" t="s">
        <v>754</v>
      </c>
      <c r="F122" s="1673"/>
      <c r="G122" s="1634" t="s">
        <v>742</v>
      </c>
      <c r="H122" s="1635"/>
      <c r="I122" s="1636"/>
    </row>
    <row r="123" spans="2:13" ht="13.5" x14ac:dyDescent="0.15">
      <c r="C123" s="1512" t="s">
        <v>743</v>
      </c>
      <c r="D123" s="1508">
        <v>0</v>
      </c>
      <c r="E123" s="1674" t="s">
        <v>743</v>
      </c>
      <c r="F123" s="1674"/>
      <c r="G123" s="1638">
        <v>0</v>
      </c>
      <c r="H123" s="1639"/>
      <c r="I123" s="1640"/>
    </row>
    <row r="124" spans="2:13" ht="13.5" x14ac:dyDescent="0.15">
      <c r="C124" s="1513" t="s">
        <v>744</v>
      </c>
      <c r="D124" s="1505">
        <v>0</v>
      </c>
      <c r="E124" s="1644" t="s">
        <v>744</v>
      </c>
      <c r="F124" s="1644"/>
      <c r="G124" s="1641">
        <v>0</v>
      </c>
      <c r="H124" s="1642"/>
      <c r="I124" s="1643"/>
    </row>
    <row r="125" spans="2:13" ht="27" x14ac:dyDescent="0.15">
      <c r="C125" s="1628" t="s">
        <v>745</v>
      </c>
      <c r="D125" s="1506" t="s">
        <v>746</v>
      </c>
      <c r="E125" s="1644" t="s">
        <v>745</v>
      </c>
      <c r="F125" s="1644"/>
      <c r="G125" s="1645" t="s">
        <v>746</v>
      </c>
      <c r="H125" s="1645"/>
      <c r="I125" s="1646"/>
    </row>
    <row r="126" spans="2:13" ht="27" x14ac:dyDescent="0.15">
      <c r="C126" s="1628"/>
      <c r="D126" s="1507" t="s">
        <v>747</v>
      </c>
      <c r="E126" s="1644"/>
      <c r="F126" s="1644"/>
      <c r="G126" s="1624" t="s">
        <v>752</v>
      </c>
      <c r="H126" s="1624"/>
      <c r="I126" s="1625"/>
    </row>
    <row r="127" spans="2:13" ht="27" x14ac:dyDescent="0.15">
      <c r="C127" s="1628" t="s">
        <v>748</v>
      </c>
      <c r="D127" s="1507" t="s">
        <v>749</v>
      </c>
      <c r="E127" s="1620" t="s">
        <v>748</v>
      </c>
      <c r="F127" s="1621"/>
      <c r="G127" s="1624" t="s">
        <v>749</v>
      </c>
      <c r="H127" s="1624"/>
      <c r="I127" s="1625"/>
    </row>
    <row r="128" spans="2:13" ht="27.75" thickBot="1" x14ac:dyDescent="0.2">
      <c r="C128" s="1637"/>
      <c r="D128" s="1511" t="s">
        <v>750</v>
      </c>
      <c r="E128" s="1622"/>
      <c r="F128" s="1623"/>
      <c r="G128" s="1626" t="s">
        <v>753</v>
      </c>
      <c r="H128" s="1626"/>
      <c r="I128" s="1627"/>
    </row>
  </sheetData>
  <mergeCells count="57">
    <mergeCell ref="E120:F120"/>
    <mergeCell ref="E122:F122"/>
    <mergeCell ref="E123:F123"/>
    <mergeCell ref="E124:F124"/>
    <mergeCell ref="E119:F119"/>
    <mergeCell ref="B69:B70"/>
    <mergeCell ref="B3:M3"/>
    <mergeCell ref="B4:G4"/>
    <mergeCell ref="H4:M4"/>
    <mergeCell ref="B8:B10"/>
    <mergeCell ref="B13:B16"/>
    <mergeCell ref="B18:B20"/>
    <mergeCell ref="B22:B24"/>
    <mergeCell ref="B26:B27"/>
    <mergeCell ref="B29:B30"/>
    <mergeCell ref="B38:B42"/>
    <mergeCell ref="B44:B48"/>
    <mergeCell ref="B50:B51"/>
    <mergeCell ref="B66:B67"/>
    <mergeCell ref="B55:B57"/>
    <mergeCell ref="C55:C57"/>
    <mergeCell ref="B114:B116"/>
    <mergeCell ref="B109:B112"/>
    <mergeCell ref="B76:B77"/>
    <mergeCell ref="B79:B80"/>
    <mergeCell ref="B82:B83"/>
    <mergeCell ref="B85:B86"/>
    <mergeCell ref="B103:B104"/>
    <mergeCell ref="B106:B107"/>
    <mergeCell ref="H55:H57"/>
    <mergeCell ref="I18:I19"/>
    <mergeCell ref="H18:H19"/>
    <mergeCell ref="H26:H27"/>
    <mergeCell ref="I26:I27"/>
    <mergeCell ref="I38:I39"/>
    <mergeCell ref="H38:H39"/>
    <mergeCell ref="H50:H51"/>
    <mergeCell ref="I50:I51"/>
    <mergeCell ref="I55:I57"/>
    <mergeCell ref="H82:H83"/>
    <mergeCell ref="H103:H104"/>
    <mergeCell ref="I103:I104"/>
    <mergeCell ref="H109:H110"/>
    <mergeCell ref="I109:I110"/>
    <mergeCell ref="E127:F128"/>
    <mergeCell ref="G127:I127"/>
    <mergeCell ref="G128:I128"/>
    <mergeCell ref="C125:C126"/>
    <mergeCell ref="C121:C122"/>
    <mergeCell ref="E121:I121"/>
    <mergeCell ref="G122:I122"/>
    <mergeCell ref="C127:C128"/>
    <mergeCell ref="G123:I123"/>
    <mergeCell ref="G124:I124"/>
    <mergeCell ref="E125:F126"/>
    <mergeCell ref="G125:I125"/>
    <mergeCell ref="G126:I126"/>
  </mergeCells>
  <pageMargins left="0" right="0" top="0" bottom="0" header="0.11811023622047245" footer="0.11811023622047245"/>
  <pageSetup paperSize="8" scale="6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17"/>
  <sheetViews>
    <sheetView topLeftCell="D79" workbookViewId="0">
      <selection activeCell="N100" sqref="N100"/>
    </sheetView>
  </sheetViews>
  <sheetFormatPr defaultRowHeight="12.75" x14ac:dyDescent="0.15"/>
  <cols>
    <col min="2" max="2" width="11.4609375" style="1381" customWidth="1"/>
    <col min="3" max="3" width="30.609375" style="1381" customWidth="1"/>
    <col min="4" max="4" width="28.5859375" style="1381" customWidth="1"/>
    <col min="5" max="5" width="9.16796875" style="1381"/>
    <col min="6" max="6" width="19.01171875" style="1381" bestFit="1" customWidth="1"/>
    <col min="7" max="7" width="9.16796875" style="1381"/>
    <col min="8" max="8" width="11.19140625" customWidth="1"/>
    <col min="9" max="9" width="19.8203125" customWidth="1"/>
    <col min="10" max="10" width="30.0703125" bestFit="1" customWidth="1"/>
    <col min="12" max="12" width="15.37109375" bestFit="1" customWidth="1"/>
    <col min="14" max="14" width="10.11328125" customWidth="1"/>
    <col min="15" max="15" width="18.47265625" customWidth="1"/>
    <col min="16" max="16" width="28.453125" customWidth="1"/>
    <col min="18" max="18" width="15.37109375" bestFit="1" customWidth="1"/>
  </cols>
  <sheetData>
    <row r="2" spans="2:19" ht="13.5" thickBot="1" x14ac:dyDescent="0.2"/>
    <row r="3" spans="2:19" ht="18" x14ac:dyDescent="0.2">
      <c r="B3" s="1679" t="s">
        <v>525</v>
      </c>
      <c r="C3" s="1680"/>
      <c r="D3" s="1680"/>
      <c r="E3" s="1680"/>
      <c r="F3" s="1680"/>
      <c r="G3" s="1680"/>
      <c r="H3" s="1680"/>
      <c r="I3" s="1680"/>
      <c r="J3" s="1680"/>
      <c r="K3" s="1680"/>
      <c r="L3" s="1680"/>
      <c r="M3" s="1680"/>
      <c r="N3" s="1680"/>
      <c r="O3" s="1680"/>
      <c r="P3" s="1680"/>
      <c r="Q3" s="1680"/>
      <c r="R3" s="1680"/>
      <c r="S3" s="1681"/>
    </row>
    <row r="4" spans="2:19" ht="14.25" x14ac:dyDescent="0.15">
      <c r="B4" s="1676" t="s">
        <v>637</v>
      </c>
      <c r="C4" s="1677"/>
      <c r="D4" s="1677"/>
      <c r="E4" s="1677"/>
      <c r="F4" s="1677"/>
      <c r="G4" s="1677"/>
      <c r="H4" s="1615" t="s">
        <v>638</v>
      </c>
      <c r="I4" s="1615"/>
      <c r="J4" s="1615"/>
      <c r="K4" s="1615"/>
      <c r="L4" s="1615"/>
      <c r="M4" s="1615"/>
      <c r="N4" s="1615" t="s">
        <v>717</v>
      </c>
      <c r="O4" s="1615"/>
      <c r="P4" s="1615"/>
      <c r="Q4" s="1615"/>
      <c r="R4" s="1615"/>
      <c r="S4" s="1678"/>
    </row>
    <row r="5" spans="2:19" ht="14.25" x14ac:dyDescent="0.15">
      <c r="B5" s="1382"/>
      <c r="C5" s="1385"/>
      <c r="D5" s="1385"/>
      <c r="E5" s="1385"/>
      <c r="F5" s="1385"/>
      <c r="G5" s="1385"/>
      <c r="H5" s="1368"/>
      <c r="I5" s="1368"/>
      <c r="J5" s="1368"/>
      <c r="K5" s="1617" t="s">
        <v>525</v>
      </c>
      <c r="L5" s="1618"/>
      <c r="M5" s="1619"/>
      <c r="N5" s="1368"/>
      <c r="O5" s="1368"/>
      <c r="P5" s="1368"/>
      <c r="Q5" s="1368"/>
      <c r="R5" s="1368"/>
      <c r="S5" s="1374"/>
    </row>
    <row r="6" spans="2:19" ht="27" x14ac:dyDescent="0.15">
      <c r="B6" s="1383" t="s">
        <v>21</v>
      </c>
      <c r="C6" s="1384" t="s">
        <v>22</v>
      </c>
      <c r="D6" s="1385" t="s">
        <v>468</v>
      </c>
      <c r="E6" s="1384" t="s">
        <v>702</v>
      </c>
      <c r="F6" s="1385" t="s">
        <v>639</v>
      </c>
      <c r="G6" s="1386" t="s">
        <v>703</v>
      </c>
      <c r="H6" s="1290" t="s">
        <v>21</v>
      </c>
      <c r="I6" s="1290" t="s">
        <v>22</v>
      </c>
      <c r="J6" s="1368" t="s">
        <v>468</v>
      </c>
      <c r="K6" s="1290" t="s">
        <v>702</v>
      </c>
      <c r="L6" s="1368" t="s">
        <v>639</v>
      </c>
      <c r="M6" s="1291" t="s">
        <v>703</v>
      </c>
      <c r="N6" s="1290" t="s">
        <v>21</v>
      </c>
      <c r="O6" s="1290" t="s">
        <v>22</v>
      </c>
      <c r="P6" s="1368" t="s">
        <v>468</v>
      </c>
      <c r="Q6" s="1290" t="s">
        <v>702</v>
      </c>
      <c r="R6" s="1368" t="s">
        <v>639</v>
      </c>
      <c r="S6" s="1375" t="s">
        <v>703</v>
      </c>
    </row>
    <row r="7" spans="2:19" ht="14.25" x14ac:dyDescent="0.15">
      <c r="B7" s="1387" t="s">
        <v>38</v>
      </c>
      <c r="C7" s="1388" t="s">
        <v>619</v>
      </c>
      <c r="D7" s="1388" t="s">
        <v>62</v>
      </c>
      <c r="E7" s="1389">
        <v>70</v>
      </c>
      <c r="F7" s="1388"/>
      <c r="G7" s="1390">
        <v>813.00000000000011</v>
      </c>
      <c r="H7" s="1264" t="s">
        <v>38</v>
      </c>
      <c r="I7" s="1265" t="s">
        <v>619</v>
      </c>
      <c r="J7" s="1265" t="s">
        <v>62</v>
      </c>
      <c r="K7" s="1266">
        <v>100</v>
      </c>
      <c r="L7" s="1265"/>
      <c r="M7" s="1343">
        <v>861.00000000000011</v>
      </c>
      <c r="N7" s="1264" t="s">
        <v>38</v>
      </c>
      <c r="O7" s="1265" t="s">
        <v>619</v>
      </c>
      <c r="P7" s="1265" t="s">
        <v>62</v>
      </c>
      <c r="Q7" s="1266">
        <v>100</v>
      </c>
      <c r="R7" s="1265"/>
      <c r="S7" s="1376">
        <v>961.99999999999989</v>
      </c>
    </row>
    <row r="8" spans="2:19" ht="15" thickBot="1" x14ac:dyDescent="0.2">
      <c r="B8" s="1391"/>
      <c r="C8" s="1392"/>
      <c r="D8" s="1392"/>
      <c r="E8" s="1393"/>
      <c r="F8" s="1392"/>
      <c r="G8" s="1394"/>
      <c r="H8" s="1271"/>
      <c r="I8" s="1262"/>
      <c r="J8" s="1262"/>
      <c r="K8" s="1272"/>
      <c r="L8" s="1262"/>
      <c r="M8" s="1273"/>
      <c r="N8" s="1271"/>
      <c r="O8" s="1262"/>
      <c r="P8" s="1262"/>
      <c r="Q8" s="1272"/>
      <c r="R8" s="1262"/>
      <c r="S8" s="1280"/>
    </row>
    <row r="9" spans="2:19" ht="14.25" x14ac:dyDescent="0.15">
      <c r="B9" s="1395" t="s">
        <v>41</v>
      </c>
      <c r="C9" s="1396" t="s">
        <v>640</v>
      </c>
      <c r="D9" s="1396" t="s">
        <v>43</v>
      </c>
      <c r="E9" s="1397">
        <v>100</v>
      </c>
      <c r="F9" s="1396" t="s">
        <v>676</v>
      </c>
      <c r="G9" s="1398">
        <v>409.99999999999994</v>
      </c>
      <c r="H9" s="1276" t="s">
        <v>706</v>
      </c>
      <c r="I9" s="1274" t="s">
        <v>640</v>
      </c>
      <c r="J9" s="1274" t="s">
        <v>661</v>
      </c>
      <c r="K9" s="1275">
        <v>110</v>
      </c>
      <c r="L9" s="1274" t="s">
        <v>704</v>
      </c>
      <c r="M9" s="1277">
        <v>475</v>
      </c>
      <c r="N9" s="1359" t="s">
        <v>706</v>
      </c>
      <c r="O9" s="1274" t="s">
        <v>640</v>
      </c>
      <c r="P9" s="1274" t="s">
        <v>661</v>
      </c>
      <c r="Q9" s="1275">
        <v>110</v>
      </c>
      <c r="R9" s="1274" t="s">
        <v>704</v>
      </c>
      <c r="S9" s="1277">
        <v>475</v>
      </c>
    </row>
    <row r="10" spans="2:19" ht="14.25" x14ac:dyDescent="0.15">
      <c r="B10" s="1387"/>
      <c r="C10" s="1388" t="s">
        <v>674</v>
      </c>
      <c r="D10" s="1388" t="s">
        <v>641</v>
      </c>
      <c r="E10" s="1389">
        <v>110</v>
      </c>
      <c r="F10" s="1388" t="s">
        <v>677</v>
      </c>
      <c r="G10" s="1399">
        <v>560</v>
      </c>
      <c r="H10" s="1264"/>
      <c r="I10" s="1265"/>
      <c r="J10" s="1265" t="s">
        <v>642</v>
      </c>
      <c r="K10" s="1266">
        <v>210</v>
      </c>
      <c r="L10" s="1265" t="s">
        <v>705</v>
      </c>
      <c r="M10" s="1278">
        <v>700</v>
      </c>
      <c r="N10" s="1360"/>
      <c r="O10" s="1265"/>
      <c r="P10" s="1265" t="s">
        <v>642</v>
      </c>
      <c r="Q10" s="1266">
        <v>210</v>
      </c>
      <c r="R10" s="1265" t="s">
        <v>705</v>
      </c>
      <c r="S10" s="1278">
        <v>700</v>
      </c>
    </row>
    <row r="11" spans="2:19" ht="14.25" x14ac:dyDescent="0.15">
      <c r="B11" s="1387"/>
      <c r="C11" s="1388" t="s">
        <v>675</v>
      </c>
      <c r="D11" s="1388" t="s">
        <v>642</v>
      </c>
      <c r="E11" s="1389">
        <v>175</v>
      </c>
      <c r="F11" s="1388" t="s">
        <v>643</v>
      </c>
      <c r="G11" s="1399">
        <v>715</v>
      </c>
      <c r="H11" s="1271"/>
      <c r="I11" s="1271"/>
      <c r="J11" s="1271"/>
      <c r="K11" s="1271"/>
      <c r="L11" s="1271"/>
      <c r="M11" s="1293"/>
      <c r="N11" s="1271"/>
      <c r="O11" s="1271"/>
      <c r="P11" s="1271"/>
      <c r="Q11" s="1271"/>
      <c r="R11" s="1271"/>
      <c r="S11" s="1293"/>
    </row>
    <row r="12" spans="2:19" ht="14.25" x14ac:dyDescent="0.15">
      <c r="B12" s="1387"/>
      <c r="C12" s="1388"/>
      <c r="D12" s="1388"/>
      <c r="E12" s="1389"/>
      <c r="F12" s="1388" t="s">
        <v>411</v>
      </c>
      <c r="G12" s="1399">
        <v>819.99999999999989</v>
      </c>
      <c r="H12" s="1271"/>
      <c r="I12" s="1271"/>
      <c r="J12" s="1271"/>
      <c r="K12" s="1271"/>
      <c r="L12" s="1271"/>
      <c r="M12" s="1293"/>
      <c r="N12" s="1271"/>
      <c r="O12" s="1271"/>
      <c r="P12" s="1271"/>
      <c r="Q12" s="1271"/>
      <c r="R12" s="1271"/>
      <c r="S12" s="1293"/>
    </row>
    <row r="13" spans="2:19" ht="14.25" x14ac:dyDescent="0.15">
      <c r="B13" s="1391"/>
      <c r="C13" s="1392"/>
      <c r="D13" s="1392"/>
      <c r="E13" s="1393"/>
      <c r="F13" s="1392"/>
      <c r="G13" s="1394"/>
      <c r="H13" s="1271"/>
      <c r="I13" s="1271"/>
      <c r="J13" s="1271"/>
      <c r="K13" s="1271"/>
      <c r="L13" s="1271"/>
      <c r="M13" s="1293"/>
      <c r="N13" s="1271"/>
      <c r="O13" s="1271"/>
      <c r="P13" s="1271"/>
      <c r="Q13" s="1271"/>
      <c r="R13" s="1271"/>
      <c r="S13" s="1293"/>
    </row>
    <row r="14" spans="2:19" ht="14.25" x14ac:dyDescent="0.15">
      <c r="B14" s="1387" t="s">
        <v>50</v>
      </c>
      <c r="C14" s="1388" t="s">
        <v>51</v>
      </c>
      <c r="D14" s="1388" t="s">
        <v>43</v>
      </c>
      <c r="E14" s="1389">
        <v>85</v>
      </c>
      <c r="F14" s="1388" t="s">
        <v>676</v>
      </c>
      <c r="G14" s="1389">
        <v>400</v>
      </c>
      <c r="H14" s="1271"/>
      <c r="I14" s="1271"/>
      <c r="J14" s="1271"/>
      <c r="K14" s="1271"/>
      <c r="L14" s="1271"/>
      <c r="M14" s="1293"/>
      <c r="N14" s="1271"/>
      <c r="O14" s="1271"/>
      <c r="P14" s="1271"/>
      <c r="Q14" s="1271"/>
      <c r="R14" s="1271"/>
      <c r="S14" s="1293"/>
    </row>
    <row r="15" spans="2:19" ht="14.25" x14ac:dyDescent="0.15">
      <c r="B15" s="1387"/>
      <c r="C15" s="1388" t="s">
        <v>644</v>
      </c>
      <c r="D15" s="1388" t="s">
        <v>641</v>
      </c>
      <c r="E15" s="1389">
        <v>100</v>
      </c>
      <c r="F15" s="1388" t="s">
        <v>677</v>
      </c>
      <c r="G15" s="1389">
        <v>530</v>
      </c>
      <c r="H15" s="1271"/>
      <c r="I15" s="1271"/>
      <c r="J15" s="1271"/>
      <c r="K15" s="1271"/>
      <c r="L15" s="1271"/>
      <c r="M15" s="1293"/>
      <c r="N15" s="1271"/>
      <c r="O15" s="1271"/>
      <c r="P15" s="1271"/>
      <c r="Q15" s="1271"/>
      <c r="R15" s="1271"/>
      <c r="S15" s="1293"/>
    </row>
    <row r="16" spans="2:19" ht="14.25" x14ac:dyDescent="0.15">
      <c r="B16" s="1400"/>
      <c r="C16" s="1388" t="s">
        <v>54</v>
      </c>
      <c r="D16" s="1388" t="s">
        <v>642</v>
      </c>
      <c r="E16" s="1389">
        <v>160</v>
      </c>
      <c r="F16" s="1388" t="s">
        <v>643</v>
      </c>
      <c r="G16" s="1389">
        <v>685</v>
      </c>
      <c r="H16" s="1271"/>
      <c r="I16" s="1271"/>
      <c r="J16" s="1271"/>
      <c r="K16" s="1271"/>
      <c r="L16" s="1271"/>
      <c r="M16" s="1293"/>
      <c r="N16" s="1271"/>
      <c r="O16" s="1271"/>
      <c r="P16" s="1271"/>
      <c r="Q16" s="1271"/>
      <c r="R16" s="1271"/>
      <c r="S16" s="1293"/>
    </row>
    <row r="17" spans="2:19" ht="15" thickBot="1" x14ac:dyDescent="0.2">
      <c r="B17" s="1401"/>
      <c r="C17" s="1402" t="s">
        <v>55</v>
      </c>
      <c r="D17" s="1402"/>
      <c r="E17" s="1403"/>
      <c r="F17" s="1402" t="s">
        <v>411</v>
      </c>
      <c r="G17" s="1403">
        <v>770</v>
      </c>
      <c r="H17" s="1294"/>
      <c r="I17" s="1294"/>
      <c r="J17" s="1294"/>
      <c r="K17" s="1294"/>
      <c r="L17" s="1294"/>
      <c r="M17" s="1295"/>
      <c r="N17" s="1294"/>
      <c r="O17" s="1294"/>
      <c r="P17" s="1294"/>
      <c r="Q17" s="1294"/>
      <c r="R17" s="1294"/>
      <c r="S17" s="1295"/>
    </row>
    <row r="18" spans="2:19" ht="15" thickBot="1" x14ac:dyDescent="0.2">
      <c r="B18" s="1391"/>
      <c r="C18" s="1392"/>
      <c r="D18" s="1392"/>
      <c r="E18" s="1393"/>
      <c r="F18" s="1392"/>
      <c r="G18" s="1394"/>
      <c r="H18" s="1271"/>
      <c r="I18" s="1262"/>
      <c r="J18" s="1262"/>
      <c r="K18" s="1272"/>
      <c r="L18" s="1262"/>
      <c r="M18" s="1273"/>
      <c r="N18" s="1271"/>
      <c r="O18" s="1262"/>
      <c r="P18" s="1262"/>
      <c r="Q18" s="1272"/>
      <c r="R18" s="1262"/>
      <c r="S18" s="1280"/>
    </row>
    <row r="19" spans="2:19" ht="27" x14ac:dyDescent="0.15">
      <c r="B19" s="1395" t="s">
        <v>57</v>
      </c>
      <c r="C19" s="1396" t="s">
        <v>645</v>
      </c>
      <c r="D19" s="1396" t="s">
        <v>661</v>
      </c>
      <c r="E19" s="1397">
        <v>120</v>
      </c>
      <c r="F19" s="1396" t="s">
        <v>647</v>
      </c>
      <c r="G19" s="1397">
        <v>730</v>
      </c>
      <c r="H19" s="1276" t="s">
        <v>707</v>
      </c>
      <c r="I19" s="1370" t="s">
        <v>708</v>
      </c>
      <c r="J19" s="1274" t="s">
        <v>661</v>
      </c>
      <c r="K19" s="1275">
        <v>180</v>
      </c>
      <c r="L19" s="1274" t="s">
        <v>634</v>
      </c>
      <c r="M19" s="1277">
        <v>775</v>
      </c>
      <c r="N19" s="1359" t="s">
        <v>707</v>
      </c>
      <c r="O19" s="1370" t="s">
        <v>708</v>
      </c>
      <c r="P19" s="1274" t="s">
        <v>661</v>
      </c>
      <c r="Q19" s="1275">
        <v>180</v>
      </c>
      <c r="R19" s="1274" t="s">
        <v>634</v>
      </c>
      <c r="S19" s="1277">
        <v>775</v>
      </c>
    </row>
    <row r="20" spans="2:19" ht="14.25" x14ac:dyDescent="0.15">
      <c r="B20" s="1387"/>
      <c r="C20" s="1388" t="s">
        <v>674</v>
      </c>
      <c r="D20" s="1388" t="s">
        <v>642</v>
      </c>
      <c r="E20" s="1389">
        <v>175</v>
      </c>
      <c r="F20" s="1388" t="s">
        <v>411</v>
      </c>
      <c r="G20" s="1389">
        <v>855.00000000000011</v>
      </c>
      <c r="H20" s="1264"/>
      <c r="I20" s="1265"/>
      <c r="J20" s="1265" t="s">
        <v>642</v>
      </c>
      <c r="K20" s="1266">
        <v>250</v>
      </c>
      <c r="L20" s="1265"/>
      <c r="M20" s="1279"/>
      <c r="N20" s="1360"/>
      <c r="O20" s="1265"/>
      <c r="P20" s="1265" t="s">
        <v>642</v>
      </c>
      <c r="Q20" s="1266">
        <v>250</v>
      </c>
      <c r="R20" s="1265"/>
      <c r="S20" s="1279"/>
    </row>
    <row r="21" spans="2:19" ht="14.25" x14ac:dyDescent="0.15">
      <c r="B21" s="1387"/>
      <c r="C21" s="1388" t="s">
        <v>675</v>
      </c>
      <c r="D21" s="1388" t="s">
        <v>62</v>
      </c>
      <c r="E21" s="1389">
        <v>150</v>
      </c>
      <c r="F21" s="1388"/>
      <c r="G21" s="1404"/>
      <c r="H21" s="1271"/>
      <c r="I21" s="1262"/>
      <c r="J21" s="1262"/>
      <c r="K21" s="1272"/>
      <c r="L21" s="1262"/>
      <c r="M21" s="1280"/>
      <c r="N21" s="1271"/>
      <c r="O21" s="1262"/>
      <c r="P21" s="1262"/>
      <c r="Q21" s="1272"/>
      <c r="R21" s="1262"/>
      <c r="S21" s="1280"/>
    </row>
    <row r="22" spans="2:19" ht="14.25" x14ac:dyDescent="0.15">
      <c r="B22" s="1391"/>
      <c r="C22" s="1392"/>
      <c r="D22" s="1405"/>
      <c r="E22" s="1405"/>
      <c r="F22" s="1392"/>
      <c r="G22" s="1394"/>
      <c r="H22" s="1271"/>
      <c r="I22" s="1262"/>
      <c r="J22" s="1262"/>
      <c r="K22" s="1272"/>
      <c r="L22" s="1262"/>
      <c r="M22" s="1280"/>
      <c r="N22" s="1271"/>
      <c r="O22" s="1262"/>
      <c r="P22" s="1262"/>
      <c r="Q22" s="1272"/>
      <c r="R22" s="1262"/>
      <c r="S22" s="1280"/>
    </row>
    <row r="23" spans="2:19" ht="14.25" x14ac:dyDescent="0.15">
      <c r="B23" s="1387" t="s">
        <v>64</v>
      </c>
      <c r="C23" s="1388" t="s">
        <v>645</v>
      </c>
      <c r="D23" s="1388" t="s">
        <v>661</v>
      </c>
      <c r="E23" s="1389">
        <v>110</v>
      </c>
      <c r="F23" s="1388" t="s">
        <v>647</v>
      </c>
      <c r="G23" s="1389">
        <v>675</v>
      </c>
      <c r="H23" s="1271"/>
      <c r="I23" s="1262"/>
      <c r="J23" s="1262"/>
      <c r="K23" s="1272"/>
      <c r="L23" s="1262"/>
      <c r="M23" s="1280"/>
      <c r="N23" s="1271"/>
      <c r="O23" s="1262"/>
      <c r="P23" s="1262"/>
      <c r="Q23" s="1272"/>
      <c r="R23" s="1262"/>
      <c r="S23" s="1280"/>
    </row>
    <row r="24" spans="2:19" ht="14.25" x14ac:dyDescent="0.15">
      <c r="B24" s="1387"/>
      <c r="C24" s="1388" t="s">
        <v>678</v>
      </c>
      <c r="D24" s="1388" t="s">
        <v>642</v>
      </c>
      <c r="E24" s="1389">
        <v>135</v>
      </c>
      <c r="F24" s="1388" t="s">
        <v>411</v>
      </c>
      <c r="G24" s="1389">
        <v>800</v>
      </c>
      <c r="H24" s="1271"/>
      <c r="I24" s="1262"/>
      <c r="J24" s="1262"/>
      <c r="K24" s="1272"/>
      <c r="L24" s="1262"/>
      <c r="M24" s="1280"/>
      <c r="N24" s="1271"/>
      <c r="O24" s="1262"/>
      <c r="P24" s="1262"/>
      <c r="Q24" s="1272"/>
      <c r="R24" s="1262"/>
      <c r="S24" s="1280"/>
    </row>
    <row r="25" spans="2:19" ht="15" thickBot="1" x14ac:dyDescent="0.2">
      <c r="B25" s="1401"/>
      <c r="C25" s="1402" t="s">
        <v>55</v>
      </c>
      <c r="D25" s="1402" t="s">
        <v>62</v>
      </c>
      <c r="E25" s="1403">
        <v>165</v>
      </c>
      <c r="F25" s="1402"/>
      <c r="G25" s="1406"/>
      <c r="H25" s="1294"/>
      <c r="I25" s="1296"/>
      <c r="J25" s="1296"/>
      <c r="K25" s="1297"/>
      <c r="L25" s="1296"/>
      <c r="M25" s="1298"/>
      <c r="N25" s="1294"/>
      <c r="O25" s="1296"/>
      <c r="P25" s="1296"/>
      <c r="Q25" s="1297"/>
      <c r="R25" s="1296"/>
      <c r="S25" s="1298"/>
    </row>
    <row r="26" spans="2:19" ht="15" thickBot="1" x14ac:dyDescent="0.2">
      <c r="B26" s="1391"/>
      <c r="C26" s="1392"/>
      <c r="D26" s="1392"/>
      <c r="E26" s="1393"/>
      <c r="F26" s="1392"/>
      <c r="G26" s="1394"/>
      <c r="H26" s="1271"/>
      <c r="I26" s="1262"/>
      <c r="J26" s="1262"/>
      <c r="K26" s="1272"/>
      <c r="L26" s="1262"/>
      <c r="M26" s="1273"/>
      <c r="N26" s="1271"/>
      <c r="O26" s="1262"/>
      <c r="P26" s="1262"/>
      <c r="Q26" s="1272"/>
      <c r="R26" s="1262"/>
      <c r="S26" s="1280"/>
    </row>
    <row r="27" spans="2:19" ht="14.25" x14ac:dyDescent="0.15">
      <c r="B27" s="1395" t="s">
        <v>69</v>
      </c>
      <c r="C27" s="1396" t="s">
        <v>679</v>
      </c>
      <c r="D27" s="1396" t="s">
        <v>661</v>
      </c>
      <c r="E27" s="1397">
        <v>125</v>
      </c>
      <c r="F27" s="1396" t="s">
        <v>676</v>
      </c>
      <c r="G27" s="1397">
        <v>840</v>
      </c>
      <c r="H27" s="1276" t="s">
        <v>508</v>
      </c>
      <c r="I27" s="1274" t="s">
        <v>709</v>
      </c>
      <c r="J27" s="1274" t="s">
        <v>661</v>
      </c>
      <c r="K27" s="1275">
        <v>200</v>
      </c>
      <c r="L27" s="1274" t="s">
        <v>634</v>
      </c>
      <c r="M27" s="1277">
        <v>850</v>
      </c>
      <c r="N27" s="1276" t="s">
        <v>508</v>
      </c>
      <c r="O27" s="1274" t="s">
        <v>709</v>
      </c>
      <c r="P27" s="1274" t="s">
        <v>661</v>
      </c>
      <c r="Q27" s="1275">
        <v>200</v>
      </c>
      <c r="R27" s="1274" t="s">
        <v>634</v>
      </c>
      <c r="S27" s="1277">
        <v>850</v>
      </c>
    </row>
    <row r="28" spans="2:19" ht="14.25" x14ac:dyDescent="0.15">
      <c r="B28" s="1387"/>
      <c r="C28" s="1388" t="s">
        <v>680</v>
      </c>
      <c r="D28" s="1388" t="s">
        <v>642</v>
      </c>
      <c r="E28" s="1389">
        <v>230</v>
      </c>
      <c r="F28" s="1388" t="s">
        <v>558</v>
      </c>
      <c r="G28" s="1389">
        <v>940</v>
      </c>
      <c r="H28" s="1264"/>
      <c r="I28" s="1265"/>
      <c r="J28" s="1265" t="s">
        <v>642</v>
      </c>
      <c r="K28" s="1266">
        <v>300</v>
      </c>
      <c r="L28" s="1265"/>
      <c r="M28" s="1279"/>
      <c r="N28" s="1264"/>
      <c r="O28" s="1265"/>
      <c r="P28" s="1265" t="s">
        <v>642</v>
      </c>
      <c r="Q28" s="1266">
        <v>300</v>
      </c>
      <c r="R28" s="1265"/>
      <c r="S28" s="1279"/>
    </row>
    <row r="29" spans="2:19" ht="14.25" x14ac:dyDescent="0.15">
      <c r="B29" s="1391"/>
      <c r="C29" s="1392"/>
      <c r="D29" s="1392"/>
      <c r="E29" s="1393"/>
      <c r="F29" s="1392"/>
      <c r="G29" s="1394"/>
      <c r="H29" s="1271"/>
      <c r="I29" s="1262"/>
      <c r="J29" s="1262"/>
      <c r="K29" s="1272"/>
      <c r="L29" s="1262"/>
      <c r="M29" s="1280"/>
      <c r="N29" s="1271"/>
      <c r="O29" s="1262"/>
      <c r="P29" s="1262"/>
      <c r="Q29" s="1272"/>
      <c r="R29" s="1262"/>
      <c r="S29" s="1280"/>
    </row>
    <row r="30" spans="2:19" ht="14.25" x14ac:dyDescent="0.15">
      <c r="B30" s="1387" t="s">
        <v>76</v>
      </c>
      <c r="C30" s="1388" t="s">
        <v>648</v>
      </c>
      <c r="D30" s="1388" t="s">
        <v>661</v>
      </c>
      <c r="E30" s="1389">
        <v>115</v>
      </c>
      <c r="F30" s="1388" t="s">
        <v>676</v>
      </c>
      <c r="G30" s="1389">
        <v>790</v>
      </c>
      <c r="H30" s="1271"/>
      <c r="I30" s="1262"/>
      <c r="J30" s="1262"/>
      <c r="K30" s="1272"/>
      <c r="L30" s="1262"/>
      <c r="M30" s="1280"/>
      <c r="N30" s="1271"/>
      <c r="O30" s="1262"/>
      <c r="P30" s="1262"/>
      <c r="Q30" s="1272"/>
      <c r="R30" s="1262"/>
      <c r="S30" s="1280"/>
    </row>
    <row r="31" spans="2:19" ht="15" thickBot="1" x14ac:dyDescent="0.2">
      <c r="B31" s="1401"/>
      <c r="C31" s="1402" t="s">
        <v>649</v>
      </c>
      <c r="D31" s="1402" t="s">
        <v>642</v>
      </c>
      <c r="E31" s="1403">
        <v>220</v>
      </c>
      <c r="F31" s="1402" t="s">
        <v>558</v>
      </c>
      <c r="G31" s="1403">
        <v>890</v>
      </c>
      <c r="H31" s="1294"/>
      <c r="I31" s="1296"/>
      <c r="J31" s="1296"/>
      <c r="K31" s="1297"/>
      <c r="L31" s="1296"/>
      <c r="M31" s="1298"/>
      <c r="N31" s="1294"/>
      <c r="O31" s="1296"/>
      <c r="P31" s="1296"/>
      <c r="Q31" s="1297"/>
      <c r="R31" s="1296"/>
      <c r="S31" s="1298"/>
    </row>
    <row r="32" spans="2:19" ht="14.25" x14ac:dyDescent="0.15">
      <c r="B32" s="1391"/>
      <c r="C32" s="1392"/>
      <c r="D32" s="1392"/>
      <c r="E32" s="1393"/>
      <c r="F32" s="1392"/>
      <c r="G32" s="1394"/>
      <c r="H32" s="1271"/>
      <c r="I32" s="1262"/>
      <c r="J32" s="1262"/>
      <c r="K32" s="1272"/>
      <c r="L32" s="1262"/>
      <c r="M32" s="1273"/>
      <c r="N32" s="1271"/>
      <c r="O32" s="1262"/>
      <c r="P32" s="1262"/>
      <c r="Q32" s="1272"/>
      <c r="R32" s="1262"/>
      <c r="S32" s="1280"/>
    </row>
    <row r="33" spans="2:19" ht="14.25" x14ac:dyDescent="0.15">
      <c r="B33" s="1387" t="s">
        <v>430</v>
      </c>
      <c r="C33" s="1388" t="s">
        <v>650</v>
      </c>
      <c r="D33" s="1388"/>
      <c r="E33" s="1389"/>
      <c r="F33" s="1388" t="s">
        <v>634</v>
      </c>
      <c r="G33" s="1390">
        <v>616</v>
      </c>
      <c r="H33" s="1264" t="s">
        <v>430</v>
      </c>
      <c r="I33" s="1265" t="s">
        <v>650</v>
      </c>
      <c r="J33" s="1265"/>
      <c r="K33" s="1266"/>
      <c r="L33" s="1265" t="s">
        <v>634</v>
      </c>
      <c r="M33" s="1343">
        <v>666.82299999999998</v>
      </c>
      <c r="N33" s="1264" t="s">
        <v>430</v>
      </c>
      <c r="O33" s="1265" t="s">
        <v>650</v>
      </c>
      <c r="P33" s="1265"/>
      <c r="Q33" s="1266"/>
      <c r="R33" s="1265" t="s">
        <v>634</v>
      </c>
      <c r="S33" s="1376">
        <v>475.87299999999999</v>
      </c>
    </row>
    <row r="34" spans="2:19" ht="14.25" x14ac:dyDescent="0.15">
      <c r="B34" s="1391"/>
      <c r="C34" s="1392"/>
      <c r="D34" s="1392"/>
      <c r="E34" s="1393"/>
      <c r="F34" s="1392"/>
      <c r="G34" s="1394"/>
      <c r="H34" s="1271"/>
      <c r="I34" s="1262"/>
      <c r="J34" s="1262"/>
      <c r="K34" s="1272"/>
      <c r="L34" s="1262"/>
      <c r="M34" s="1273"/>
      <c r="N34" s="1271"/>
      <c r="O34" s="1262"/>
      <c r="P34" s="1262"/>
      <c r="Q34" s="1272"/>
      <c r="R34" s="1262"/>
      <c r="S34" s="1280"/>
    </row>
    <row r="35" spans="2:19" ht="27" x14ac:dyDescent="0.15">
      <c r="B35" s="1387" t="s">
        <v>8</v>
      </c>
      <c r="C35" s="1388" t="s">
        <v>651</v>
      </c>
      <c r="D35" s="1388" t="s">
        <v>82</v>
      </c>
      <c r="E35" s="1389">
        <v>110</v>
      </c>
      <c r="F35" s="1388" t="s">
        <v>634</v>
      </c>
      <c r="G35" s="1389">
        <v>390</v>
      </c>
      <c r="H35" s="1264" t="s">
        <v>8</v>
      </c>
      <c r="I35" s="1371" t="s">
        <v>651</v>
      </c>
      <c r="J35" s="1265" t="s">
        <v>82</v>
      </c>
      <c r="K35" s="1266">
        <v>135</v>
      </c>
      <c r="L35" s="1265" t="s">
        <v>634</v>
      </c>
      <c r="M35" s="1266">
        <v>409.99999999999994</v>
      </c>
      <c r="N35" s="1264" t="s">
        <v>8</v>
      </c>
      <c r="O35" s="1371" t="s">
        <v>651</v>
      </c>
      <c r="P35" s="1265" t="s">
        <v>82</v>
      </c>
      <c r="Q35" s="1266">
        <v>135</v>
      </c>
      <c r="R35" s="1265" t="s">
        <v>634</v>
      </c>
      <c r="S35" s="1278">
        <v>409.99999999999994</v>
      </c>
    </row>
    <row r="36" spans="2:19" ht="14.25" x14ac:dyDescent="0.15">
      <c r="B36" s="1391"/>
      <c r="C36" s="1392"/>
      <c r="D36" s="1392"/>
      <c r="E36" s="1393"/>
      <c r="F36" s="1392"/>
      <c r="G36" s="1394"/>
      <c r="H36" s="1271"/>
      <c r="I36" s="1262"/>
      <c r="J36" s="1262"/>
      <c r="K36" s="1272"/>
      <c r="L36" s="1262"/>
      <c r="M36" s="1273"/>
      <c r="N36" s="1271"/>
      <c r="O36" s="1262"/>
      <c r="P36" s="1262"/>
      <c r="Q36" s="1272"/>
      <c r="R36" s="1262"/>
      <c r="S36" s="1280"/>
    </row>
    <row r="37" spans="2:19" ht="27" x14ac:dyDescent="0.15">
      <c r="B37" s="1387" t="s">
        <v>564</v>
      </c>
      <c r="C37" s="1388" t="s">
        <v>681</v>
      </c>
      <c r="D37" s="1388" t="s">
        <v>82</v>
      </c>
      <c r="E37" s="1389">
        <v>100</v>
      </c>
      <c r="F37" s="1388" t="s">
        <v>634</v>
      </c>
      <c r="G37" s="1389">
        <v>390</v>
      </c>
      <c r="H37" s="1264" t="s">
        <v>564</v>
      </c>
      <c r="I37" s="1265" t="s">
        <v>681</v>
      </c>
      <c r="J37" s="1265" t="s">
        <v>82</v>
      </c>
      <c r="K37" s="1266">
        <v>135</v>
      </c>
      <c r="L37" s="1265" t="s">
        <v>634</v>
      </c>
      <c r="M37" s="1266">
        <v>425</v>
      </c>
      <c r="N37" s="1264" t="s">
        <v>564</v>
      </c>
      <c r="O37" s="1371" t="s">
        <v>681</v>
      </c>
      <c r="P37" s="1265" t="s">
        <v>82</v>
      </c>
      <c r="Q37" s="1266">
        <v>135</v>
      </c>
      <c r="R37" s="1265" t="s">
        <v>634</v>
      </c>
      <c r="S37" s="1278">
        <v>425</v>
      </c>
    </row>
    <row r="38" spans="2:19" ht="15" thickBot="1" x14ac:dyDescent="0.2">
      <c r="B38" s="1391"/>
      <c r="C38" s="1392"/>
      <c r="D38" s="1392"/>
      <c r="E38" s="1393"/>
      <c r="F38" s="1392"/>
      <c r="G38" s="1394"/>
      <c r="H38" s="1271"/>
      <c r="I38" s="1262"/>
      <c r="J38" s="1262"/>
      <c r="K38" s="1272"/>
      <c r="L38" s="1262"/>
      <c r="M38" s="1273"/>
      <c r="N38" s="1271"/>
      <c r="O38" s="1262"/>
      <c r="P38" s="1262"/>
      <c r="Q38" s="1272"/>
      <c r="R38" s="1262"/>
      <c r="S38" s="1280"/>
    </row>
    <row r="39" spans="2:19" ht="14.25" x14ac:dyDescent="0.15">
      <c r="B39" s="1395" t="s">
        <v>9</v>
      </c>
      <c r="C39" s="1396" t="s">
        <v>682</v>
      </c>
      <c r="D39" s="1396" t="s">
        <v>568</v>
      </c>
      <c r="E39" s="1397">
        <v>90</v>
      </c>
      <c r="F39" s="1396" t="s">
        <v>653</v>
      </c>
      <c r="G39" s="1397">
        <v>585</v>
      </c>
      <c r="H39" s="1276" t="s">
        <v>9</v>
      </c>
      <c r="I39" s="1274" t="s">
        <v>682</v>
      </c>
      <c r="J39" s="1274" t="s">
        <v>710</v>
      </c>
      <c r="K39" s="1275">
        <v>140</v>
      </c>
      <c r="L39" s="1274" t="s">
        <v>653</v>
      </c>
      <c r="M39" s="1277">
        <v>610</v>
      </c>
      <c r="N39" s="1276" t="s">
        <v>9</v>
      </c>
      <c r="O39" s="1274" t="s">
        <v>682</v>
      </c>
      <c r="P39" s="1274" t="s">
        <v>710</v>
      </c>
      <c r="Q39" s="1275">
        <v>140</v>
      </c>
      <c r="R39" s="1274" t="s">
        <v>653</v>
      </c>
      <c r="S39" s="1277">
        <v>610</v>
      </c>
    </row>
    <row r="40" spans="2:19" ht="14.25" x14ac:dyDescent="0.15">
      <c r="B40" s="1387"/>
      <c r="C40" s="1388" t="s">
        <v>674</v>
      </c>
      <c r="D40" s="1388" t="s">
        <v>683</v>
      </c>
      <c r="E40" s="1389">
        <v>100</v>
      </c>
      <c r="F40" s="1388" t="s">
        <v>654</v>
      </c>
      <c r="G40" s="1389">
        <v>685</v>
      </c>
      <c r="H40" s="1264"/>
      <c r="I40" s="1265"/>
      <c r="J40" s="1265" t="s">
        <v>572</v>
      </c>
      <c r="K40" s="1266">
        <v>250</v>
      </c>
      <c r="L40" s="1265" t="s">
        <v>576</v>
      </c>
      <c r="M40" s="1278">
        <v>710</v>
      </c>
      <c r="N40" s="1264"/>
      <c r="O40" s="1265"/>
      <c r="P40" s="1265" t="s">
        <v>572</v>
      </c>
      <c r="Q40" s="1266">
        <v>250</v>
      </c>
      <c r="R40" s="1265" t="s">
        <v>576</v>
      </c>
      <c r="S40" s="1278">
        <v>710</v>
      </c>
    </row>
    <row r="41" spans="2:19" ht="14.25" x14ac:dyDescent="0.15">
      <c r="B41" s="1387"/>
      <c r="C41" s="1388"/>
      <c r="D41" s="1388" t="s">
        <v>684</v>
      </c>
      <c r="E41" s="1389">
        <v>125</v>
      </c>
      <c r="F41" s="1388" t="s">
        <v>575</v>
      </c>
      <c r="G41" s="1389">
        <v>715</v>
      </c>
      <c r="H41" s="1271"/>
      <c r="I41" s="1271"/>
      <c r="J41" s="1271"/>
      <c r="K41" s="1271"/>
      <c r="L41" s="1271"/>
      <c r="M41" s="1293"/>
      <c r="N41" s="1271"/>
      <c r="O41" s="1271"/>
      <c r="P41" s="1271"/>
      <c r="Q41" s="1271"/>
      <c r="R41" s="1271"/>
      <c r="S41" s="1293"/>
    </row>
    <row r="42" spans="2:19" ht="14.25" x14ac:dyDescent="0.15">
      <c r="B42" s="1387"/>
      <c r="C42" s="1388"/>
      <c r="D42" s="1388" t="s">
        <v>685</v>
      </c>
      <c r="E42" s="1389">
        <v>190</v>
      </c>
      <c r="F42" s="1388"/>
      <c r="G42" s="1404"/>
      <c r="H42" s="1271"/>
      <c r="I42" s="1271"/>
      <c r="J42" s="1271"/>
      <c r="K42" s="1271"/>
      <c r="L42" s="1271"/>
      <c r="M42" s="1293"/>
      <c r="N42" s="1271"/>
      <c r="O42" s="1271"/>
      <c r="P42" s="1271"/>
      <c r="Q42" s="1271"/>
      <c r="R42" s="1271"/>
      <c r="S42" s="1293"/>
    </row>
    <row r="43" spans="2:19" ht="14.25" x14ac:dyDescent="0.15">
      <c r="B43" s="1387"/>
      <c r="C43" s="1388"/>
      <c r="D43" s="1388" t="s">
        <v>572</v>
      </c>
      <c r="E43" s="1389">
        <v>225</v>
      </c>
      <c r="F43" s="1388"/>
      <c r="G43" s="1404"/>
      <c r="H43" s="1271"/>
      <c r="I43" s="1271"/>
      <c r="J43" s="1271"/>
      <c r="K43" s="1271"/>
      <c r="L43" s="1271"/>
      <c r="M43" s="1293"/>
      <c r="N43" s="1271"/>
      <c r="O43" s="1271"/>
      <c r="P43" s="1271"/>
      <c r="Q43" s="1271"/>
      <c r="R43" s="1271"/>
      <c r="S43" s="1293"/>
    </row>
    <row r="44" spans="2:19" ht="14.25" x14ac:dyDescent="0.15">
      <c r="B44" s="1391"/>
      <c r="C44" s="1392"/>
      <c r="D44" s="1407"/>
      <c r="E44" s="1393"/>
      <c r="F44" s="1392"/>
      <c r="G44" s="1394"/>
      <c r="H44" s="1271"/>
      <c r="I44" s="1271"/>
      <c r="J44" s="1271"/>
      <c r="K44" s="1271"/>
      <c r="L44" s="1271"/>
      <c r="M44" s="1293"/>
      <c r="N44" s="1271"/>
      <c r="O44" s="1271"/>
      <c r="P44" s="1271"/>
      <c r="Q44" s="1271"/>
      <c r="R44" s="1271"/>
      <c r="S44" s="1293"/>
    </row>
    <row r="45" spans="2:19" ht="14.25" x14ac:dyDescent="0.15">
      <c r="B45" s="1387" t="s">
        <v>11</v>
      </c>
      <c r="C45" s="1388" t="s">
        <v>652</v>
      </c>
      <c r="D45" s="1388" t="s">
        <v>568</v>
      </c>
      <c r="E45" s="1389">
        <v>80</v>
      </c>
      <c r="F45" s="1388" t="s">
        <v>653</v>
      </c>
      <c r="G45" s="1389">
        <v>575</v>
      </c>
      <c r="H45" s="1271"/>
      <c r="I45" s="1262"/>
      <c r="J45" s="1262"/>
      <c r="K45" s="1272"/>
      <c r="L45" s="1262"/>
      <c r="M45" s="1280"/>
      <c r="N45" s="1271"/>
      <c r="O45" s="1262"/>
      <c r="P45" s="1262"/>
      <c r="Q45" s="1272"/>
      <c r="R45" s="1262"/>
      <c r="S45" s="1280"/>
    </row>
    <row r="46" spans="2:19" ht="14.25" x14ac:dyDescent="0.15">
      <c r="B46" s="1387"/>
      <c r="C46" s="1388" t="s">
        <v>686</v>
      </c>
      <c r="D46" s="1388" t="s">
        <v>683</v>
      </c>
      <c r="E46" s="1389">
        <v>95</v>
      </c>
      <c r="F46" s="1388" t="s">
        <v>654</v>
      </c>
      <c r="G46" s="1389">
        <v>670</v>
      </c>
      <c r="H46" s="1271"/>
      <c r="I46" s="1262"/>
      <c r="J46" s="1262"/>
      <c r="K46" s="1272"/>
      <c r="L46" s="1262"/>
      <c r="M46" s="1280"/>
      <c r="N46" s="1271"/>
      <c r="O46" s="1262"/>
      <c r="P46" s="1262"/>
      <c r="Q46" s="1272"/>
      <c r="R46" s="1262"/>
      <c r="S46" s="1280"/>
    </row>
    <row r="47" spans="2:19" ht="14.25" x14ac:dyDescent="0.15">
      <c r="B47" s="1387"/>
      <c r="C47" s="1388" t="s">
        <v>687</v>
      </c>
      <c r="D47" s="1388" t="s">
        <v>684</v>
      </c>
      <c r="E47" s="1389">
        <v>120</v>
      </c>
      <c r="F47" s="1388" t="s">
        <v>575</v>
      </c>
      <c r="G47" s="1389">
        <v>700</v>
      </c>
      <c r="H47" s="1271"/>
      <c r="I47" s="1262"/>
      <c r="J47" s="1262"/>
      <c r="K47" s="1272"/>
      <c r="L47" s="1262"/>
      <c r="M47" s="1280"/>
      <c r="N47" s="1271"/>
      <c r="O47" s="1262"/>
      <c r="P47" s="1262"/>
      <c r="Q47" s="1272"/>
      <c r="R47" s="1262"/>
      <c r="S47" s="1280"/>
    </row>
    <row r="48" spans="2:19" ht="14.25" x14ac:dyDescent="0.15">
      <c r="B48" s="1387"/>
      <c r="C48" s="1388"/>
      <c r="D48" s="1388" t="s">
        <v>685</v>
      </c>
      <c r="E48" s="1389">
        <v>175</v>
      </c>
      <c r="F48" s="1388"/>
      <c r="G48" s="1404"/>
      <c r="H48" s="1271"/>
      <c r="I48" s="1262"/>
      <c r="J48" s="1262"/>
      <c r="K48" s="1272"/>
      <c r="L48" s="1262"/>
      <c r="M48" s="1280"/>
      <c r="N48" s="1271"/>
      <c r="O48" s="1262"/>
      <c r="P48" s="1262"/>
      <c r="Q48" s="1272"/>
      <c r="R48" s="1262"/>
      <c r="S48" s="1280"/>
    </row>
    <row r="49" spans="2:19" ht="15" thickBot="1" x14ac:dyDescent="0.2">
      <c r="B49" s="1401"/>
      <c r="C49" s="1402"/>
      <c r="D49" s="1402" t="s">
        <v>572</v>
      </c>
      <c r="E49" s="1403">
        <v>210</v>
      </c>
      <c r="F49" s="1402"/>
      <c r="G49" s="1406"/>
      <c r="H49" s="1294"/>
      <c r="I49" s="1296"/>
      <c r="J49" s="1296"/>
      <c r="K49" s="1297"/>
      <c r="L49" s="1296"/>
      <c r="M49" s="1298"/>
      <c r="N49" s="1294"/>
      <c r="O49" s="1296"/>
      <c r="P49" s="1296"/>
      <c r="Q49" s="1297"/>
      <c r="R49" s="1296"/>
      <c r="S49" s="1298"/>
    </row>
    <row r="50" spans="2:19" ht="14.25" x14ac:dyDescent="0.15">
      <c r="B50" s="1391"/>
      <c r="C50" s="1392"/>
      <c r="D50" s="1392"/>
      <c r="E50" s="1393"/>
      <c r="F50" s="1392"/>
      <c r="G50" s="1394"/>
      <c r="H50" s="1271"/>
      <c r="I50" s="1262"/>
      <c r="J50" s="1262"/>
      <c r="K50" s="1272"/>
      <c r="L50" s="1262"/>
      <c r="M50" s="1273"/>
      <c r="N50" s="1271"/>
      <c r="O50" s="1262"/>
      <c r="P50" s="1262"/>
      <c r="Q50" s="1272"/>
      <c r="R50" s="1262"/>
      <c r="S50" s="1280"/>
    </row>
    <row r="51" spans="2:19" ht="14.25" x14ac:dyDescent="0.15">
      <c r="B51" s="1391"/>
      <c r="C51" s="1392"/>
      <c r="D51" s="1392"/>
      <c r="E51" s="1393"/>
      <c r="F51" s="1392"/>
      <c r="G51" s="1394"/>
      <c r="H51" s="1271"/>
      <c r="I51" s="1262"/>
      <c r="J51" s="1262"/>
      <c r="K51" s="1272"/>
      <c r="L51" s="1262"/>
      <c r="M51" s="1273"/>
      <c r="N51" s="1271"/>
      <c r="O51" s="1262"/>
      <c r="P51" s="1262"/>
      <c r="Q51" s="1272"/>
      <c r="R51" s="1262"/>
      <c r="S51" s="1280"/>
    </row>
    <row r="52" spans="2:19" ht="14.25" x14ac:dyDescent="0.15">
      <c r="B52" s="1387" t="s">
        <v>655</v>
      </c>
      <c r="C52" s="1388" t="s">
        <v>13</v>
      </c>
      <c r="D52" s="1388" t="s">
        <v>656</v>
      </c>
      <c r="E52" s="1389">
        <v>110</v>
      </c>
      <c r="F52" s="1388" t="s">
        <v>634</v>
      </c>
      <c r="G52" s="1389">
        <v>500</v>
      </c>
      <c r="H52" s="1264" t="s">
        <v>655</v>
      </c>
      <c r="I52" s="1265" t="s">
        <v>13</v>
      </c>
      <c r="J52" s="1265" t="s">
        <v>656</v>
      </c>
      <c r="K52" s="1266">
        <v>175</v>
      </c>
      <c r="L52" s="1265" t="s">
        <v>634</v>
      </c>
      <c r="M52" s="1266">
        <v>550</v>
      </c>
      <c r="N52" s="1264" t="s">
        <v>655</v>
      </c>
      <c r="O52" s="1265" t="s">
        <v>13</v>
      </c>
      <c r="P52" s="1265" t="s">
        <v>656</v>
      </c>
      <c r="Q52" s="1266">
        <v>175</v>
      </c>
      <c r="R52" s="1265" t="s">
        <v>634</v>
      </c>
      <c r="S52" s="1278">
        <v>550</v>
      </c>
    </row>
    <row r="53" spans="2:19" ht="14.25" x14ac:dyDescent="0.15">
      <c r="B53" s="1387"/>
      <c r="C53" s="1388"/>
      <c r="D53" s="1408" t="s">
        <v>657</v>
      </c>
      <c r="E53" s="1389">
        <v>215</v>
      </c>
      <c r="F53" s="1388"/>
      <c r="G53" s="1404"/>
      <c r="H53" s="1264"/>
      <c r="I53" s="1265"/>
      <c r="J53" s="1269" t="s">
        <v>657</v>
      </c>
      <c r="K53" s="1266">
        <v>275</v>
      </c>
      <c r="L53" s="1265"/>
      <c r="M53" s="1267"/>
      <c r="N53" s="1264"/>
      <c r="O53" s="1265"/>
      <c r="P53" s="1269" t="s">
        <v>657</v>
      </c>
      <c r="Q53" s="1266">
        <v>275</v>
      </c>
      <c r="R53" s="1265"/>
      <c r="S53" s="1279"/>
    </row>
    <row r="54" spans="2:19" ht="14.25" x14ac:dyDescent="0.15">
      <c r="B54" s="1391"/>
      <c r="C54" s="1392"/>
      <c r="D54" s="1392"/>
      <c r="E54" s="1393"/>
      <c r="F54" s="1392"/>
      <c r="G54" s="1394"/>
      <c r="H54" s="1271"/>
      <c r="I54" s="1262"/>
      <c r="J54" s="1262"/>
      <c r="K54" s="1272"/>
      <c r="L54" s="1262"/>
      <c r="M54" s="1273"/>
      <c r="N54" s="1271"/>
      <c r="O54" s="1262"/>
      <c r="P54" s="1262"/>
      <c r="Q54" s="1272"/>
      <c r="R54" s="1262"/>
      <c r="S54" s="1280"/>
    </row>
    <row r="55" spans="2:19" ht="14.25" x14ac:dyDescent="0.15">
      <c r="B55" s="1387" t="s">
        <v>658</v>
      </c>
      <c r="C55" s="1388" t="s">
        <v>106</v>
      </c>
      <c r="D55" s="1388" t="s">
        <v>646</v>
      </c>
      <c r="E55" s="1389">
        <v>125</v>
      </c>
      <c r="F55" s="1388" t="s">
        <v>634</v>
      </c>
      <c r="G55" s="1389">
        <v>665</v>
      </c>
      <c r="H55" s="1264" t="s">
        <v>658</v>
      </c>
      <c r="I55" s="1265" t="s">
        <v>106</v>
      </c>
      <c r="J55" s="1265" t="s">
        <v>646</v>
      </c>
      <c r="K55" s="1266">
        <v>175</v>
      </c>
      <c r="L55" s="1265" t="s">
        <v>634</v>
      </c>
      <c r="M55" s="1266">
        <v>700</v>
      </c>
      <c r="N55" s="1264" t="s">
        <v>658</v>
      </c>
      <c r="O55" s="1265" t="s">
        <v>106</v>
      </c>
      <c r="P55" s="1265" t="s">
        <v>646</v>
      </c>
      <c r="Q55" s="1266">
        <v>175</v>
      </c>
      <c r="R55" s="1265" t="s">
        <v>634</v>
      </c>
      <c r="S55" s="1278">
        <v>700</v>
      </c>
    </row>
    <row r="56" spans="2:19" ht="14.25" x14ac:dyDescent="0.15">
      <c r="B56" s="1391"/>
      <c r="C56" s="1392"/>
      <c r="D56" s="1392"/>
      <c r="E56" s="1393"/>
      <c r="F56" s="1392"/>
      <c r="G56" s="1394"/>
      <c r="H56" s="1271"/>
      <c r="I56" s="1262"/>
      <c r="J56" s="1262"/>
      <c r="K56" s="1272"/>
      <c r="L56" s="1262"/>
      <c r="M56" s="1273"/>
      <c r="N56" s="1271"/>
      <c r="O56" s="1262"/>
      <c r="P56" s="1262"/>
      <c r="Q56" s="1272"/>
      <c r="R56" s="1262"/>
      <c r="S56" s="1280"/>
    </row>
    <row r="57" spans="2:19" ht="14.25" x14ac:dyDescent="0.15">
      <c r="B57" s="1387" t="s">
        <v>659</v>
      </c>
      <c r="C57" s="1388" t="s">
        <v>660</v>
      </c>
      <c r="D57" s="1388" t="s">
        <v>661</v>
      </c>
      <c r="E57" s="1389">
        <v>70</v>
      </c>
      <c r="F57" s="1388" t="s">
        <v>634</v>
      </c>
      <c r="G57" s="1389">
        <v>500</v>
      </c>
      <c r="H57" s="1264" t="s">
        <v>659</v>
      </c>
      <c r="I57" s="1265" t="s">
        <v>660</v>
      </c>
      <c r="J57" s="1265" t="s">
        <v>661</v>
      </c>
      <c r="K57" s="1266">
        <v>70</v>
      </c>
      <c r="L57" s="1265" t="s">
        <v>634</v>
      </c>
      <c r="M57" s="1266">
        <v>450</v>
      </c>
      <c r="N57" s="1264" t="s">
        <v>659</v>
      </c>
      <c r="O57" s="1265" t="s">
        <v>660</v>
      </c>
      <c r="P57" s="1265" t="s">
        <v>661</v>
      </c>
      <c r="Q57" s="1266">
        <v>70</v>
      </c>
      <c r="R57" s="1265" t="s">
        <v>634</v>
      </c>
      <c r="S57" s="1278">
        <v>450</v>
      </c>
    </row>
    <row r="58" spans="2:19" ht="14.25" x14ac:dyDescent="0.15">
      <c r="B58" s="1387"/>
      <c r="C58" s="1388"/>
      <c r="D58" s="1408" t="s">
        <v>662</v>
      </c>
      <c r="E58" s="1389">
        <v>170</v>
      </c>
      <c r="F58" s="1388"/>
      <c r="G58" s="1404"/>
      <c r="H58" s="1264"/>
      <c r="I58" s="1265"/>
      <c r="J58" s="1269" t="s">
        <v>662</v>
      </c>
      <c r="K58" s="1266">
        <v>170</v>
      </c>
      <c r="L58" s="1265"/>
      <c r="M58" s="1267"/>
      <c r="N58" s="1264"/>
      <c r="O58" s="1265"/>
      <c r="P58" s="1269" t="s">
        <v>662</v>
      </c>
      <c r="Q58" s="1266">
        <v>170</v>
      </c>
      <c r="R58" s="1265"/>
      <c r="S58" s="1279"/>
    </row>
    <row r="59" spans="2:19" ht="14.25" x14ac:dyDescent="0.15">
      <c r="B59" s="1387"/>
      <c r="C59" s="1388"/>
      <c r="D59" s="1408" t="s">
        <v>663</v>
      </c>
      <c r="E59" s="1389">
        <v>200</v>
      </c>
      <c r="F59" s="1388"/>
      <c r="G59" s="1404"/>
      <c r="H59" s="1264"/>
      <c r="I59" s="1265"/>
      <c r="J59" s="1269" t="s">
        <v>663</v>
      </c>
      <c r="K59" s="1266">
        <v>200</v>
      </c>
      <c r="L59" s="1265"/>
      <c r="M59" s="1267"/>
      <c r="N59" s="1264"/>
      <c r="O59" s="1265"/>
      <c r="P59" s="1269" t="s">
        <v>663</v>
      </c>
      <c r="Q59" s="1266">
        <v>200</v>
      </c>
      <c r="R59" s="1265"/>
      <c r="S59" s="1279"/>
    </row>
    <row r="60" spans="2:19" ht="15" thickBot="1" x14ac:dyDescent="0.2">
      <c r="B60" s="1391"/>
      <c r="C60" s="1392"/>
      <c r="D60" s="1392"/>
      <c r="E60" s="1393"/>
      <c r="F60" s="1392"/>
      <c r="G60" s="1394"/>
      <c r="H60" s="1271"/>
      <c r="I60" s="1262"/>
      <c r="J60" s="1262"/>
      <c r="K60" s="1272"/>
      <c r="L60" s="1262"/>
      <c r="M60" s="1273"/>
      <c r="N60" s="1271"/>
      <c r="O60" s="1262"/>
      <c r="P60" s="1262"/>
      <c r="Q60" s="1272"/>
      <c r="R60" s="1262"/>
      <c r="S60" s="1280"/>
    </row>
    <row r="61" spans="2:19" ht="27" x14ac:dyDescent="0.15">
      <c r="B61" s="1395" t="s">
        <v>371</v>
      </c>
      <c r="C61" s="1396" t="s">
        <v>689</v>
      </c>
      <c r="D61" s="1396" t="s">
        <v>688</v>
      </c>
      <c r="E61" s="1397">
        <v>275</v>
      </c>
      <c r="F61" s="1396" t="s">
        <v>634</v>
      </c>
      <c r="G61" s="1397">
        <v>1120</v>
      </c>
      <c r="H61" s="1276" t="s">
        <v>15</v>
      </c>
      <c r="I61" s="1370" t="s">
        <v>689</v>
      </c>
      <c r="J61" s="1274" t="s">
        <v>711</v>
      </c>
      <c r="K61" s="1275">
        <v>200</v>
      </c>
      <c r="L61" s="1274" t="s">
        <v>634</v>
      </c>
      <c r="M61" s="1277">
        <v>1150</v>
      </c>
      <c r="N61" s="1276" t="s">
        <v>15</v>
      </c>
      <c r="O61" s="1370" t="s">
        <v>689</v>
      </c>
      <c r="P61" s="1274" t="s">
        <v>711</v>
      </c>
      <c r="Q61" s="1275">
        <v>200</v>
      </c>
      <c r="R61" s="1274" t="s">
        <v>634</v>
      </c>
      <c r="S61" s="1277">
        <v>1150</v>
      </c>
    </row>
    <row r="62" spans="2:19" ht="14.25" x14ac:dyDescent="0.15">
      <c r="B62" s="1391"/>
      <c r="C62" s="1392"/>
      <c r="D62" s="1392"/>
      <c r="E62" s="1393"/>
      <c r="F62" s="1392"/>
      <c r="G62" s="1394"/>
      <c r="H62" s="1271"/>
      <c r="I62" s="1262"/>
      <c r="J62" s="1262"/>
      <c r="K62" s="1272"/>
      <c r="L62" s="1262"/>
      <c r="M62" s="1280"/>
      <c r="N62" s="1271"/>
      <c r="O62" s="1262"/>
      <c r="P62" s="1262"/>
      <c r="Q62" s="1272"/>
      <c r="R62" s="1262"/>
      <c r="S62" s="1280"/>
    </row>
    <row r="63" spans="2:19" ht="15" thickBot="1" x14ac:dyDescent="0.2">
      <c r="B63" s="1401" t="s">
        <v>370</v>
      </c>
      <c r="C63" s="1409" t="s">
        <v>690</v>
      </c>
      <c r="D63" s="1402" t="s">
        <v>646</v>
      </c>
      <c r="E63" s="1403">
        <v>150</v>
      </c>
      <c r="F63" s="1402" t="s">
        <v>634</v>
      </c>
      <c r="G63" s="1403">
        <v>1120</v>
      </c>
      <c r="H63" s="1283"/>
      <c r="I63" s="1299" t="s">
        <v>712</v>
      </c>
      <c r="J63" s="1281"/>
      <c r="K63" s="1282"/>
      <c r="L63" s="1281"/>
      <c r="M63" s="1284"/>
      <c r="N63" s="1283"/>
      <c r="O63" s="1299" t="s">
        <v>712</v>
      </c>
      <c r="P63" s="1281"/>
      <c r="Q63" s="1282"/>
      <c r="R63" s="1281"/>
      <c r="S63" s="1284"/>
    </row>
    <row r="64" spans="2:19" ht="14.25" x14ac:dyDescent="0.15">
      <c r="B64" s="1391"/>
      <c r="C64" s="1392"/>
      <c r="D64" s="1392"/>
      <c r="E64" s="1393"/>
      <c r="F64" s="1392"/>
      <c r="G64" s="1394"/>
      <c r="H64" s="1271"/>
      <c r="I64" s="1262"/>
      <c r="J64" s="1262"/>
      <c r="K64" s="1272"/>
      <c r="L64" s="1262"/>
      <c r="M64" s="1273"/>
      <c r="N64" s="1271"/>
      <c r="O64" s="1262"/>
      <c r="P64" s="1262"/>
      <c r="Q64" s="1272"/>
      <c r="R64" s="1262"/>
      <c r="S64" s="1280"/>
    </row>
    <row r="65" spans="2:19" ht="14.25" x14ac:dyDescent="0.15">
      <c r="B65" s="1387" t="s">
        <v>16</v>
      </c>
      <c r="C65" s="1388" t="s">
        <v>664</v>
      </c>
      <c r="D65" s="1388" t="s">
        <v>116</v>
      </c>
      <c r="E65" s="1389">
        <v>250</v>
      </c>
      <c r="F65" s="1388" t="s">
        <v>634</v>
      </c>
      <c r="G65" s="1389">
        <v>560</v>
      </c>
      <c r="H65" s="1264" t="s">
        <v>16</v>
      </c>
      <c r="I65" s="1265" t="s">
        <v>664</v>
      </c>
      <c r="J65" s="1265" t="s">
        <v>116</v>
      </c>
      <c r="K65" s="1266">
        <v>350</v>
      </c>
      <c r="L65" s="1265" t="s">
        <v>634</v>
      </c>
      <c r="M65" s="1266">
        <v>600</v>
      </c>
      <c r="N65" s="1264" t="s">
        <v>16</v>
      </c>
      <c r="O65" s="1371" t="s">
        <v>664</v>
      </c>
      <c r="P65" s="1265" t="s">
        <v>116</v>
      </c>
      <c r="Q65" s="1266">
        <v>350</v>
      </c>
      <c r="R65" s="1265" t="s">
        <v>634</v>
      </c>
      <c r="S65" s="1278">
        <v>600</v>
      </c>
    </row>
    <row r="66" spans="2:19" ht="15" thickBot="1" x14ac:dyDescent="0.2">
      <c r="B66" s="1391"/>
      <c r="C66" s="1392"/>
      <c r="D66" s="1392"/>
      <c r="E66" s="1393"/>
      <c r="F66" s="1392"/>
      <c r="G66" s="1394"/>
      <c r="H66" s="1271"/>
      <c r="I66" s="1262"/>
      <c r="J66" s="1262"/>
      <c r="K66" s="1272"/>
      <c r="L66" s="1262"/>
      <c r="M66" s="1273"/>
      <c r="N66" s="1271"/>
      <c r="O66" s="1262"/>
      <c r="P66" s="1262"/>
      <c r="Q66" s="1272"/>
      <c r="R66" s="1262"/>
      <c r="S66" s="1280"/>
    </row>
    <row r="67" spans="2:19" ht="14.25" x14ac:dyDescent="0.15">
      <c r="B67" s="1387" t="s">
        <v>665</v>
      </c>
      <c r="C67" s="1388" t="s">
        <v>693</v>
      </c>
      <c r="D67" s="1388" t="s">
        <v>116</v>
      </c>
      <c r="E67" s="1389">
        <v>265</v>
      </c>
      <c r="F67" s="1410" t="s">
        <v>691</v>
      </c>
      <c r="G67" s="1389">
        <v>735</v>
      </c>
      <c r="H67" s="1264" t="s">
        <v>665</v>
      </c>
      <c r="I67" s="1265" t="s">
        <v>682</v>
      </c>
      <c r="J67" s="1265" t="s">
        <v>116</v>
      </c>
      <c r="K67" s="1266">
        <v>350</v>
      </c>
      <c r="L67" s="1265" t="s">
        <v>634</v>
      </c>
      <c r="M67" s="1278">
        <v>740</v>
      </c>
      <c r="N67" s="1276" t="s">
        <v>665</v>
      </c>
      <c r="O67" s="1274" t="s">
        <v>682</v>
      </c>
      <c r="P67" s="1274" t="s">
        <v>116</v>
      </c>
      <c r="Q67" s="1275">
        <v>350</v>
      </c>
      <c r="R67" s="1274" t="s">
        <v>634</v>
      </c>
      <c r="S67" s="1277">
        <v>740</v>
      </c>
    </row>
    <row r="68" spans="2:19" ht="14.25" x14ac:dyDescent="0.15">
      <c r="B68" s="1387"/>
      <c r="C68" s="1388" t="s">
        <v>694</v>
      </c>
      <c r="D68" s="1388"/>
      <c r="E68" s="1389"/>
      <c r="F68" s="1388" t="s">
        <v>692</v>
      </c>
      <c r="G68" s="1411">
        <v>760</v>
      </c>
      <c r="H68" s="1271"/>
      <c r="I68" s="1262"/>
      <c r="J68" s="1262"/>
      <c r="K68" s="1272"/>
      <c r="L68" s="1262"/>
      <c r="M68" s="1280"/>
      <c r="N68" s="1271"/>
      <c r="O68" s="1262"/>
      <c r="P68" s="1262"/>
      <c r="Q68" s="1272"/>
      <c r="R68" s="1262"/>
      <c r="S68" s="1280"/>
    </row>
    <row r="69" spans="2:19" ht="14.25" x14ac:dyDescent="0.15">
      <c r="B69" s="1391"/>
      <c r="C69" s="1392"/>
      <c r="D69" s="1392"/>
      <c r="E69" s="1393"/>
      <c r="F69" s="1392"/>
      <c r="G69" s="1393"/>
      <c r="H69" s="1271"/>
      <c r="I69" s="1262"/>
      <c r="J69" s="1262"/>
      <c r="K69" s="1272"/>
      <c r="L69" s="1262"/>
      <c r="M69" s="1280"/>
      <c r="N69" s="1271"/>
      <c r="O69" s="1262"/>
      <c r="P69" s="1262"/>
      <c r="Q69" s="1272"/>
      <c r="R69" s="1262"/>
      <c r="S69" s="1280"/>
    </row>
    <row r="70" spans="2:19" ht="14.25" x14ac:dyDescent="0.15">
      <c r="B70" s="1387"/>
      <c r="C70" s="1412" t="s">
        <v>621</v>
      </c>
      <c r="D70" s="1388" t="s">
        <v>116</v>
      </c>
      <c r="E70" s="1389">
        <v>275</v>
      </c>
      <c r="F70" s="1388" t="s">
        <v>634</v>
      </c>
      <c r="G70" s="1389">
        <v>660</v>
      </c>
      <c r="H70" s="1264"/>
      <c r="I70" s="1160" t="s">
        <v>621</v>
      </c>
      <c r="J70" s="1265" t="s">
        <v>116</v>
      </c>
      <c r="K70" s="1266">
        <v>350</v>
      </c>
      <c r="L70" s="1265" t="s">
        <v>634</v>
      </c>
      <c r="M70" s="1278">
        <v>700</v>
      </c>
      <c r="N70" s="1271"/>
      <c r="O70" s="1160" t="s">
        <v>621</v>
      </c>
      <c r="P70" s="1265" t="s">
        <v>116</v>
      </c>
      <c r="Q70" s="1266">
        <v>350</v>
      </c>
      <c r="R70" s="1265" t="s">
        <v>634</v>
      </c>
      <c r="S70" s="1278">
        <v>700</v>
      </c>
    </row>
    <row r="71" spans="2:19" ht="27.75" thickBot="1" x14ac:dyDescent="0.2">
      <c r="B71" s="1401"/>
      <c r="C71" s="1413" t="s">
        <v>622</v>
      </c>
      <c r="D71" s="1402" t="s">
        <v>116</v>
      </c>
      <c r="E71" s="1403">
        <v>275</v>
      </c>
      <c r="F71" s="1402" t="s">
        <v>634</v>
      </c>
      <c r="G71" s="1403">
        <v>700</v>
      </c>
      <c r="H71" s="1283"/>
      <c r="I71" s="1372" t="s">
        <v>622</v>
      </c>
      <c r="J71" s="1281" t="s">
        <v>116</v>
      </c>
      <c r="K71" s="1282">
        <v>350</v>
      </c>
      <c r="L71" s="1281" t="s">
        <v>634</v>
      </c>
      <c r="M71" s="1285">
        <v>700</v>
      </c>
      <c r="N71" s="1271"/>
      <c r="O71" s="1372" t="s">
        <v>622</v>
      </c>
      <c r="P71" s="1281" t="s">
        <v>116</v>
      </c>
      <c r="Q71" s="1282">
        <v>350</v>
      </c>
      <c r="R71" s="1281" t="s">
        <v>634</v>
      </c>
      <c r="S71" s="1285">
        <v>700</v>
      </c>
    </row>
    <row r="72" spans="2:19" ht="15" thickBot="1" x14ac:dyDescent="0.2">
      <c r="B72" s="1391"/>
      <c r="C72" s="1392"/>
      <c r="D72" s="1392"/>
      <c r="E72" s="1393"/>
      <c r="F72" s="1392"/>
      <c r="G72" s="1394"/>
      <c r="H72" s="1271"/>
      <c r="I72" s="1262"/>
      <c r="J72" s="1262"/>
      <c r="K72" s="1272"/>
      <c r="L72" s="1262"/>
      <c r="M72" s="1273"/>
      <c r="N72" s="1264"/>
      <c r="O72" s="1160"/>
      <c r="P72" s="1265"/>
      <c r="Q72" s="1266"/>
      <c r="R72" s="1265"/>
      <c r="S72" s="1278"/>
    </row>
    <row r="73" spans="2:19" ht="14.25" x14ac:dyDescent="0.15">
      <c r="B73" s="1387" t="s">
        <v>133</v>
      </c>
      <c r="C73" s="1388" t="s">
        <v>695</v>
      </c>
      <c r="D73" s="1388" t="s">
        <v>116</v>
      </c>
      <c r="E73" s="1389">
        <v>290</v>
      </c>
      <c r="F73" s="1388" t="s">
        <v>696</v>
      </c>
      <c r="G73" s="1389">
        <v>905.00000000000011</v>
      </c>
      <c r="H73" s="1264" t="s">
        <v>666</v>
      </c>
      <c r="I73" s="1265" t="s">
        <v>648</v>
      </c>
      <c r="J73" s="1265" t="s">
        <v>116</v>
      </c>
      <c r="K73" s="1266">
        <v>375</v>
      </c>
      <c r="L73" s="1265" t="s">
        <v>634</v>
      </c>
      <c r="M73" s="1278">
        <v>925</v>
      </c>
      <c r="N73" s="1276" t="s">
        <v>666</v>
      </c>
      <c r="O73" s="1274" t="s">
        <v>648</v>
      </c>
      <c r="P73" s="1274" t="s">
        <v>116</v>
      </c>
      <c r="Q73" s="1275">
        <v>375</v>
      </c>
      <c r="R73" s="1274" t="s">
        <v>634</v>
      </c>
      <c r="S73" s="1277">
        <v>925</v>
      </c>
    </row>
    <row r="74" spans="2:19" ht="15" thickBot="1" x14ac:dyDescent="0.2">
      <c r="B74" s="1401"/>
      <c r="C74" s="1402" t="s">
        <v>694</v>
      </c>
      <c r="D74" s="1402"/>
      <c r="E74" s="1403"/>
      <c r="F74" s="1402" t="s">
        <v>697</v>
      </c>
      <c r="G74" s="1403">
        <v>915</v>
      </c>
      <c r="H74" s="1294"/>
      <c r="I74" s="1296"/>
      <c r="J74" s="1296"/>
      <c r="K74" s="1297"/>
      <c r="L74" s="1296"/>
      <c r="M74" s="1298"/>
      <c r="N74" s="1283"/>
      <c r="O74" s="1292"/>
      <c r="P74" s="1281"/>
      <c r="Q74" s="1282"/>
      <c r="R74" s="1281"/>
      <c r="S74" s="1285"/>
    </row>
    <row r="75" spans="2:19" ht="15" thickBot="1" x14ac:dyDescent="0.2">
      <c r="B75" s="1391"/>
      <c r="C75" s="1392"/>
      <c r="D75" s="1392"/>
      <c r="E75" s="1393"/>
      <c r="F75" s="1392"/>
      <c r="G75" s="1394"/>
      <c r="H75" s="1271"/>
      <c r="I75" s="1262"/>
      <c r="J75" s="1262"/>
      <c r="K75" s="1272"/>
      <c r="L75" s="1262"/>
      <c r="M75" s="1273"/>
      <c r="N75" s="1271"/>
      <c r="O75" s="1262"/>
      <c r="P75" s="1262"/>
      <c r="Q75" s="1272"/>
      <c r="R75" s="1262"/>
      <c r="S75" s="1280"/>
    </row>
    <row r="76" spans="2:19" ht="14.25" x14ac:dyDescent="0.15">
      <c r="B76" s="1395" t="s">
        <v>331</v>
      </c>
      <c r="C76" s="1396" t="s">
        <v>667</v>
      </c>
      <c r="D76" s="1396" t="s">
        <v>116</v>
      </c>
      <c r="E76" s="1397">
        <v>260</v>
      </c>
      <c r="F76" s="1396" t="s">
        <v>691</v>
      </c>
      <c r="G76" s="1397">
        <v>720</v>
      </c>
      <c r="H76" s="1276" t="s">
        <v>331</v>
      </c>
      <c r="I76" s="1274" t="s">
        <v>667</v>
      </c>
      <c r="J76" s="1274" t="s">
        <v>116</v>
      </c>
      <c r="K76" s="1275">
        <v>300</v>
      </c>
      <c r="L76" s="1274" t="s">
        <v>634</v>
      </c>
      <c r="M76" s="1277">
        <v>750</v>
      </c>
      <c r="N76" s="1276" t="s">
        <v>331</v>
      </c>
      <c r="O76" s="1274" t="s">
        <v>667</v>
      </c>
      <c r="P76" s="1274" t="s">
        <v>116</v>
      </c>
      <c r="Q76" s="1275">
        <v>300</v>
      </c>
      <c r="R76" s="1274" t="s">
        <v>634</v>
      </c>
      <c r="S76" s="1277">
        <v>750</v>
      </c>
    </row>
    <row r="77" spans="2:19" ht="27" x14ac:dyDescent="0.15">
      <c r="B77" s="1387"/>
      <c r="C77" s="1388" t="s">
        <v>668</v>
      </c>
      <c r="D77" s="1388"/>
      <c r="E77" s="1389"/>
      <c r="F77" s="1388" t="s">
        <v>692</v>
      </c>
      <c r="G77" s="1389">
        <v>760</v>
      </c>
      <c r="H77" s="1264"/>
      <c r="I77" s="1371" t="s">
        <v>668</v>
      </c>
      <c r="J77" s="1265"/>
      <c r="K77" s="1266"/>
      <c r="L77" s="1265"/>
      <c r="M77" s="1279"/>
      <c r="N77" s="1264"/>
      <c r="O77" s="1371" t="s">
        <v>668</v>
      </c>
      <c r="P77" s="1265"/>
      <c r="Q77" s="1266"/>
      <c r="R77" s="1265"/>
      <c r="S77" s="1279"/>
    </row>
    <row r="78" spans="2:19" ht="14.25" x14ac:dyDescent="0.15">
      <c r="B78" s="1391"/>
      <c r="C78" s="1392"/>
      <c r="D78" s="1392"/>
      <c r="E78" s="1393"/>
      <c r="F78" s="1392"/>
      <c r="G78" s="1394"/>
      <c r="H78" s="1271"/>
      <c r="I78" s="1262"/>
      <c r="J78" s="1262"/>
      <c r="K78" s="1272"/>
      <c r="L78" s="1262"/>
      <c r="M78" s="1280"/>
      <c r="N78" s="1271"/>
      <c r="O78" s="1262"/>
      <c r="P78" s="1262"/>
      <c r="Q78" s="1272"/>
      <c r="R78" s="1262"/>
      <c r="S78" s="1280"/>
    </row>
    <row r="79" spans="2:19" ht="14.25" x14ac:dyDescent="0.15">
      <c r="B79" s="1387" t="s">
        <v>332</v>
      </c>
      <c r="C79" s="1388" t="s">
        <v>669</v>
      </c>
      <c r="D79" s="1388" t="s">
        <v>116</v>
      </c>
      <c r="E79" s="1389">
        <v>265</v>
      </c>
      <c r="F79" s="1388" t="s">
        <v>691</v>
      </c>
      <c r="G79" s="1389">
        <v>819.99999999999989</v>
      </c>
      <c r="H79" s="1264" t="s">
        <v>332</v>
      </c>
      <c r="I79" s="1265" t="s">
        <v>669</v>
      </c>
      <c r="J79" s="1265" t="s">
        <v>116</v>
      </c>
      <c r="K79" s="1266">
        <v>350</v>
      </c>
      <c r="L79" s="1265" t="s">
        <v>634</v>
      </c>
      <c r="M79" s="1278">
        <v>850</v>
      </c>
      <c r="N79" s="1264" t="s">
        <v>332</v>
      </c>
      <c r="O79" s="1265" t="s">
        <v>669</v>
      </c>
      <c r="P79" s="1265" t="s">
        <v>116</v>
      </c>
      <c r="Q79" s="1266">
        <v>350</v>
      </c>
      <c r="R79" s="1265" t="s">
        <v>634</v>
      </c>
      <c r="S79" s="1278">
        <v>850</v>
      </c>
    </row>
    <row r="80" spans="2:19" ht="27.75" thickBot="1" x14ac:dyDescent="0.2">
      <c r="B80" s="1401"/>
      <c r="C80" s="1402" t="s">
        <v>670</v>
      </c>
      <c r="D80" s="1402"/>
      <c r="E80" s="1403"/>
      <c r="F80" s="1402" t="s">
        <v>692</v>
      </c>
      <c r="G80" s="1403">
        <v>860</v>
      </c>
      <c r="H80" s="1283"/>
      <c r="I80" s="1373" t="s">
        <v>670</v>
      </c>
      <c r="J80" s="1281"/>
      <c r="K80" s="1282"/>
      <c r="L80" s="1281"/>
      <c r="M80" s="1284"/>
      <c r="N80" s="1283"/>
      <c r="O80" s="1373" t="s">
        <v>670</v>
      </c>
      <c r="P80" s="1281"/>
      <c r="Q80" s="1282"/>
      <c r="R80" s="1281"/>
      <c r="S80" s="1284"/>
    </row>
    <row r="81" spans="2:19" ht="15" thickBot="1" x14ac:dyDescent="0.2">
      <c r="B81" s="1391"/>
      <c r="C81" s="1392"/>
      <c r="D81" s="1392"/>
      <c r="E81" s="1393"/>
      <c r="F81" s="1392"/>
      <c r="G81" s="1394"/>
      <c r="H81" s="1271"/>
      <c r="I81" s="1262"/>
      <c r="J81" s="1262"/>
      <c r="K81" s="1272"/>
      <c r="L81" s="1262"/>
      <c r="M81" s="1273"/>
      <c r="N81" s="1271"/>
      <c r="O81" s="1262"/>
      <c r="P81" s="1262"/>
      <c r="Q81" s="1272"/>
      <c r="R81" s="1262"/>
      <c r="S81" s="1280"/>
    </row>
    <row r="82" spans="2:19" ht="14.25" x14ac:dyDescent="0.15">
      <c r="B82" s="1395" t="s">
        <v>137</v>
      </c>
      <c r="C82" s="1396" t="s">
        <v>671</v>
      </c>
      <c r="D82" s="1396" t="s">
        <v>700</v>
      </c>
      <c r="E82" s="1397">
        <v>1900</v>
      </c>
      <c r="F82" s="1396" t="s">
        <v>634</v>
      </c>
      <c r="G82" s="1397">
        <v>315</v>
      </c>
      <c r="H82" s="1276" t="s">
        <v>633</v>
      </c>
      <c r="I82" s="1274" t="s">
        <v>713</v>
      </c>
      <c r="J82" s="1274" t="s">
        <v>714</v>
      </c>
      <c r="K82" s="1275">
        <v>150</v>
      </c>
      <c r="L82" s="1274" t="s">
        <v>634</v>
      </c>
      <c r="M82" s="1277">
        <v>350</v>
      </c>
      <c r="N82" s="1276" t="s">
        <v>633</v>
      </c>
      <c r="O82" s="1274" t="s">
        <v>713</v>
      </c>
      <c r="P82" s="1274" t="s">
        <v>714</v>
      </c>
      <c r="Q82" s="1275">
        <v>150</v>
      </c>
      <c r="R82" s="1274" t="s">
        <v>634</v>
      </c>
      <c r="S82" s="1277">
        <v>350</v>
      </c>
    </row>
    <row r="83" spans="2:19" ht="14.25" x14ac:dyDescent="0.15">
      <c r="B83" s="1387" t="s">
        <v>140</v>
      </c>
      <c r="C83" s="1388" t="s">
        <v>698</v>
      </c>
      <c r="D83" s="1388" t="s">
        <v>82</v>
      </c>
      <c r="E83" s="1389">
        <v>110</v>
      </c>
      <c r="F83" s="1388" t="s">
        <v>634</v>
      </c>
      <c r="G83" s="1389">
        <v>315</v>
      </c>
      <c r="H83" s="1271"/>
      <c r="I83" s="1262"/>
      <c r="J83" s="1262"/>
      <c r="K83" s="1272"/>
      <c r="L83" s="1262"/>
      <c r="M83" s="1280"/>
      <c r="N83" s="1264"/>
      <c r="O83" s="1265"/>
      <c r="P83" s="1265"/>
      <c r="Q83" s="1266"/>
      <c r="R83" s="1265"/>
      <c r="S83" s="1279"/>
    </row>
    <row r="84" spans="2:19" ht="15" thickBot="1" x14ac:dyDescent="0.2">
      <c r="B84" s="1401" t="s">
        <v>179</v>
      </c>
      <c r="C84" s="1402" t="s">
        <v>699</v>
      </c>
      <c r="D84" s="1402" t="s">
        <v>82</v>
      </c>
      <c r="E84" s="1403">
        <v>90</v>
      </c>
      <c r="F84" s="1402" t="s">
        <v>634</v>
      </c>
      <c r="G84" s="1403">
        <v>315</v>
      </c>
      <c r="H84" s="1294"/>
      <c r="I84" s="1296"/>
      <c r="J84" s="1296"/>
      <c r="K84" s="1297"/>
      <c r="L84" s="1296"/>
      <c r="M84" s="1298"/>
      <c r="N84" s="1271"/>
      <c r="O84" s="1262"/>
      <c r="P84" s="1262"/>
      <c r="Q84" s="1272"/>
      <c r="R84" s="1262"/>
      <c r="S84" s="1280"/>
    </row>
    <row r="85" spans="2:19" ht="15" thickBot="1" x14ac:dyDescent="0.2">
      <c r="B85" s="1391"/>
      <c r="C85" s="1392"/>
      <c r="D85" s="1392"/>
      <c r="E85" s="1393"/>
      <c r="F85" s="1392"/>
      <c r="G85" s="1393"/>
      <c r="H85" s="1271"/>
      <c r="I85" s="1262"/>
      <c r="J85" s="1262"/>
      <c r="K85" s="1272"/>
      <c r="L85" s="1262"/>
      <c r="M85" s="1273"/>
      <c r="S85" s="1377"/>
    </row>
    <row r="86" spans="2:19" ht="14.25" x14ac:dyDescent="0.15">
      <c r="B86" s="1395"/>
      <c r="C86" s="1396"/>
      <c r="D86" s="1396"/>
      <c r="E86" s="1397"/>
      <c r="F86" s="1396"/>
      <c r="G86" s="1414"/>
      <c r="H86" s="1300" t="s">
        <v>716</v>
      </c>
      <c r="I86" s="1274"/>
      <c r="J86" s="1274"/>
      <c r="K86" s="1275"/>
      <c r="L86" s="1274"/>
      <c r="M86" s="1287"/>
      <c r="N86" s="1300" t="s">
        <v>716</v>
      </c>
      <c r="O86" s="1274"/>
      <c r="P86" s="1274"/>
      <c r="Q86" s="1275"/>
      <c r="R86" s="1274"/>
      <c r="S86" s="1287"/>
    </row>
    <row r="87" spans="2:19" ht="27.75" thickBot="1" x14ac:dyDescent="0.2">
      <c r="B87" s="1415" t="s">
        <v>143</v>
      </c>
      <c r="C87" s="1402" t="s">
        <v>672</v>
      </c>
      <c r="D87" s="1402" t="s">
        <v>700</v>
      </c>
      <c r="E87" s="1403">
        <v>1960</v>
      </c>
      <c r="F87" s="1402" t="s">
        <v>634</v>
      </c>
      <c r="G87" s="1403">
        <v>515</v>
      </c>
      <c r="H87" s="1288" t="s">
        <v>635</v>
      </c>
      <c r="I87" s="1373" t="s">
        <v>672</v>
      </c>
      <c r="J87" s="1281" t="s">
        <v>714</v>
      </c>
      <c r="K87" s="1282">
        <v>150</v>
      </c>
      <c r="L87" s="1281" t="s">
        <v>634</v>
      </c>
      <c r="M87" s="1285">
        <v>550</v>
      </c>
      <c r="N87" s="1288" t="s">
        <v>635</v>
      </c>
      <c r="O87" s="1373" t="s">
        <v>672</v>
      </c>
      <c r="P87" s="1281" t="s">
        <v>714</v>
      </c>
      <c r="Q87" s="1282">
        <v>150</v>
      </c>
      <c r="R87" s="1281" t="s">
        <v>634</v>
      </c>
      <c r="S87" s="1285">
        <v>550</v>
      </c>
    </row>
    <row r="88" spans="2:19" ht="14.25" x14ac:dyDescent="0.15">
      <c r="B88" s="1416"/>
      <c r="C88" s="1392"/>
      <c r="D88" s="1392"/>
      <c r="E88" s="1393"/>
      <c r="F88" s="1392"/>
      <c r="G88" s="1394"/>
      <c r="H88" s="1271"/>
      <c r="I88" s="1262"/>
      <c r="J88" s="1262"/>
      <c r="K88" s="1272"/>
      <c r="L88" s="1262"/>
      <c r="M88" s="1273"/>
      <c r="S88" s="1377"/>
    </row>
    <row r="89" spans="2:19" ht="14.25" x14ac:dyDescent="0.15">
      <c r="B89" s="1417" t="s">
        <v>312</v>
      </c>
      <c r="C89" s="1388" t="s">
        <v>673</v>
      </c>
      <c r="D89" s="1388" t="s">
        <v>116</v>
      </c>
      <c r="E89" s="1389">
        <v>175</v>
      </c>
      <c r="F89" s="1388" t="s">
        <v>634</v>
      </c>
      <c r="G89" s="1389">
        <v>705</v>
      </c>
      <c r="H89" s="1264" t="s">
        <v>312</v>
      </c>
      <c r="I89" s="1265" t="s">
        <v>673</v>
      </c>
      <c r="J89" s="1265" t="s">
        <v>116</v>
      </c>
      <c r="K89" s="1266">
        <v>300</v>
      </c>
      <c r="L89" s="1265" t="s">
        <v>634</v>
      </c>
      <c r="M89" s="1266">
        <v>725</v>
      </c>
      <c r="N89" s="1264" t="s">
        <v>312</v>
      </c>
      <c r="O89" s="1265" t="s">
        <v>673</v>
      </c>
      <c r="P89" s="1265" t="s">
        <v>116</v>
      </c>
      <c r="Q89" s="1266">
        <v>300</v>
      </c>
      <c r="R89" s="1265" t="s">
        <v>634</v>
      </c>
      <c r="S89" s="1278">
        <v>725</v>
      </c>
    </row>
    <row r="90" spans="2:19" ht="15" thickBot="1" x14ac:dyDescent="0.2">
      <c r="B90" s="1416"/>
      <c r="C90" s="1392"/>
      <c r="D90" s="1392"/>
      <c r="E90" s="1393"/>
      <c r="F90" s="1392"/>
      <c r="G90" s="1394"/>
      <c r="H90" s="1271"/>
      <c r="I90" s="1262"/>
      <c r="J90" s="1262"/>
      <c r="K90" s="1272"/>
      <c r="L90" s="1262"/>
      <c r="M90" s="1273"/>
      <c r="N90" s="1294"/>
      <c r="O90" s="1296"/>
      <c r="P90" s="1296"/>
      <c r="Q90" s="1297"/>
      <c r="R90" s="1296"/>
      <c r="S90" s="1298"/>
    </row>
    <row r="91" spans="2:19" ht="14.25" x14ac:dyDescent="0.15">
      <c r="B91" s="1417" t="s">
        <v>313</v>
      </c>
      <c r="C91" s="1388" t="s">
        <v>108</v>
      </c>
      <c r="D91" s="1388" t="s">
        <v>82</v>
      </c>
      <c r="E91" s="1389">
        <v>325</v>
      </c>
      <c r="F91" s="1388" t="s">
        <v>634</v>
      </c>
      <c r="G91" s="1389">
        <v>1120</v>
      </c>
      <c r="H91" s="1264" t="s">
        <v>313</v>
      </c>
      <c r="I91" s="1265" t="s">
        <v>108</v>
      </c>
      <c r="J91" s="1265" t="s">
        <v>82</v>
      </c>
      <c r="K91" s="1266">
        <v>400</v>
      </c>
      <c r="L91" s="1265" t="s">
        <v>634</v>
      </c>
      <c r="M91" s="1266">
        <v>1150</v>
      </c>
      <c r="N91" s="1264" t="s">
        <v>313</v>
      </c>
      <c r="O91" s="1265" t="s">
        <v>108</v>
      </c>
      <c r="P91" s="1265" t="s">
        <v>82</v>
      </c>
      <c r="Q91" s="1266">
        <v>400</v>
      </c>
      <c r="R91" s="1265" t="s">
        <v>634</v>
      </c>
      <c r="S91" s="1278">
        <v>1150</v>
      </c>
    </row>
    <row r="92" spans="2:19" ht="15" thickBot="1" x14ac:dyDescent="0.2">
      <c r="B92" s="1416"/>
      <c r="C92" s="1392"/>
      <c r="D92" s="1392"/>
      <c r="E92" s="1393"/>
      <c r="F92" s="1392"/>
      <c r="G92" s="1393"/>
      <c r="H92" s="1271"/>
      <c r="I92" s="1262"/>
      <c r="J92" s="1262"/>
      <c r="K92" s="1272"/>
      <c r="L92" s="1262"/>
      <c r="M92" s="1272"/>
      <c r="S92" s="1377"/>
    </row>
    <row r="93" spans="2:19" ht="15" thickBot="1" x14ac:dyDescent="0.2">
      <c r="B93" s="1440" t="s">
        <v>718</v>
      </c>
      <c r="C93" s="1441"/>
      <c r="D93" s="1441"/>
      <c r="E93" s="1442"/>
      <c r="F93" s="1441"/>
      <c r="G93" s="1441"/>
      <c r="H93" s="1443"/>
      <c r="I93" s="1301"/>
      <c r="J93" s="1301"/>
      <c r="K93" s="1444"/>
      <c r="L93" s="1301"/>
      <c r="M93" s="1301"/>
      <c r="N93" s="511"/>
      <c r="O93" s="511"/>
      <c r="P93" s="511"/>
      <c r="Q93" s="511"/>
      <c r="R93" s="511"/>
      <c r="S93" s="1445"/>
    </row>
    <row r="94" spans="2:19" ht="14.25" x14ac:dyDescent="0.15">
      <c r="B94" s="1395" t="s">
        <v>69</v>
      </c>
      <c r="C94" s="1396" t="s">
        <v>679</v>
      </c>
      <c r="D94" s="1396" t="s">
        <v>661</v>
      </c>
      <c r="E94" s="1397">
        <v>140</v>
      </c>
      <c r="F94" s="1396" t="s">
        <v>676</v>
      </c>
      <c r="G94" s="1397">
        <v>840</v>
      </c>
      <c r="H94" s="1276" t="s">
        <v>508</v>
      </c>
      <c r="I94" s="1274" t="s">
        <v>709</v>
      </c>
      <c r="J94" s="1274" t="s">
        <v>661</v>
      </c>
      <c r="K94" s="1275">
        <v>220</v>
      </c>
      <c r="L94" s="1274" t="s">
        <v>634</v>
      </c>
      <c r="M94" s="1277">
        <v>850</v>
      </c>
      <c r="N94" s="1276" t="s">
        <v>508</v>
      </c>
      <c r="O94" s="1274" t="s">
        <v>709</v>
      </c>
      <c r="P94" s="1274" t="s">
        <v>661</v>
      </c>
      <c r="Q94" s="1275">
        <v>220</v>
      </c>
      <c r="R94" s="1274" t="s">
        <v>634</v>
      </c>
      <c r="S94" s="1277">
        <v>850</v>
      </c>
    </row>
    <row r="95" spans="2:19" ht="14.25" x14ac:dyDescent="0.15">
      <c r="B95" s="1387"/>
      <c r="C95" s="1388" t="s">
        <v>680</v>
      </c>
      <c r="D95" s="1388" t="s">
        <v>642</v>
      </c>
      <c r="E95" s="1389">
        <v>245</v>
      </c>
      <c r="F95" s="1388" t="s">
        <v>558</v>
      </c>
      <c r="G95" s="1389">
        <v>940</v>
      </c>
      <c r="H95" s="1264"/>
      <c r="I95" s="1265"/>
      <c r="J95" s="1265" t="s">
        <v>642</v>
      </c>
      <c r="K95" s="1266">
        <v>320</v>
      </c>
      <c r="L95" s="1265"/>
      <c r="M95" s="1279"/>
      <c r="N95" s="1264"/>
      <c r="O95" s="1265"/>
      <c r="P95" s="1265" t="s">
        <v>642</v>
      </c>
      <c r="Q95" s="1266">
        <v>320</v>
      </c>
      <c r="R95" s="1265"/>
      <c r="S95" s="1279"/>
    </row>
    <row r="96" spans="2:19" ht="14.25" x14ac:dyDescent="0.15">
      <c r="B96" s="1391"/>
      <c r="C96" s="1392"/>
      <c r="D96" s="1392"/>
      <c r="E96" s="1393"/>
      <c r="F96" s="1392"/>
      <c r="G96" s="1394"/>
      <c r="H96" s="1271"/>
      <c r="I96" s="1262"/>
      <c r="J96" s="1262"/>
      <c r="K96" s="1272"/>
      <c r="L96" s="1262"/>
      <c r="M96" s="1280"/>
      <c r="N96" s="1271"/>
      <c r="O96" s="1262"/>
      <c r="P96" s="1262"/>
      <c r="Q96" s="1272"/>
      <c r="R96" s="1262"/>
      <c r="S96" s="1280"/>
    </row>
    <row r="97" spans="2:19" ht="14.25" x14ac:dyDescent="0.15">
      <c r="B97" s="1387" t="s">
        <v>76</v>
      </c>
      <c r="C97" s="1388" t="s">
        <v>648</v>
      </c>
      <c r="D97" s="1388" t="s">
        <v>661</v>
      </c>
      <c r="E97" s="1389">
        <v>130</v>
      </c>
      <c r="F97" s="1388" t="s">
        <v>676</v>
      </c>
      <c r="G97" s="1389">
        <v>790</v>
      </c>
      <c r="H97" s="1271"/>
      <c r="I97" s="1262"/>
      <c r="J97" s="1262"/>
      <c r="K97" s="1272"/>
      <c r="L97" s="1262"/>
      <c r="M97" s="1280"/>
      <c r="S97" s="1377"/>
    </row>
    <row r="98" spans="2:19" ht="15" thickBot="1" x14ac:dyDescent="0.2">
      <c r="B98" s="1401"/>
      <c r="C98" s="1402" t="s">
        <v>649</v>
      </c>
      <c r="D98" s="1402" t="s">
        <v>642</v>
      </c>
      <c r="E98" s="1403">
        <v>235</v>
      </c>
      <c r="F98" s="1402" t="s">
        <v>558</v>
      </c>
      <c r="G98" s="1403">
        <v>890</v>
      </c>
      <c r="H98" s="1294"/>
      <c r="I98" s="1296"/>
      <c r="J98" s="1296"/>
      <c r="K98" s="1297"/>
      <c r="L98" s="1296"/>
      <c r="M98" s="1298"/>
      <c r="N98" s="1294"/>
      <c r="O98" s="1296"/>
      <c r="P98" s="1296"/>
      <c r="Q98" s="1297"/>
      <c r="R98" s="1296"/>
      <c r="S98" s="1446"/>
    </row>
    <row r="99" spans="2:19" ht="15" thickBot="1" x14ac:dyDescent="0.2">
      <c r="B99" s="1418" t="s">
        <v>718</v>
      </c>
      <c r="C99" s="1405"/>
      <c r="D99" s="1405"/>
      <c r="E99" s="1405"/>
      <c r="F99" s="1405"/>
      <c r="G99" s="1405"/>
      <c r="H99" s="1270"/>
      <c r="I99" s="1256"/>
      <c r="J99" s="1256"/>
      <c r="K99" s="1256"/>
      <c r="L99" s="1256"/>
      <c r="M99" s="1256"/>
      <c r="N99" s="1300"/>
      <c r="O99" s="1274"/>
      <c r="P99" s="1274"/>
      <c r="Q99" s="1275"/>
      <c r="R99" s="1274"/>
      <c r="S99" s="1287"/>
    </row>
    <row r="100" spans="2:19" ht="14.25" x14ac:dyDescent="0.15">
      <c r="B100" s="1395" t="s">
        <v>9</v>
      </c>
      <c r="C100" s="1419" t="s">
        <v>682</v>
      </c>
      <c r="D100" s="1396" t="s">
        <v>720</v>
      </c>
      <c r="E100" s="1420">
        <v>120</v>
      </c>
      <c r="F100" s="1396" t="s">
        <v>653</v>
      </c>
      <c r="G100" s="1425">
        <v>585</v>
      </c>
      <c r="H100" s="1430" t="s">
        <v>511</v>
      </c>
      <c r="I100" s="1274" t="s">
        <v>682</v>
      </c>
      <c r="J100" s="1274" t="s">
        <v>710</v>
      </c>
      <c r="K100" s="1275">
        <v>190</v>
      </c>
      <c r="L100" s="1274" t="s">
        <v>653</v>
      </c>
      <c r="M100" s="1438">
        <v>610</v>
      </c>
      <c r="N100" s="1430" t="s">
        <v>511</v>
      </c>
      <c r="O100" s="1274" t="s">
        <v>682</v>
      </c>
      <c r="P100" s="1274" t="s">
        <v>710</v>
      </c>
      <c r="Q100" s="1275">
        <v>190</v>
      </c>
      <c r="R100" s="1353" t="s">
        <v>653</v>
      </c>
      <c r="S100" s="1351">
        <v>610</v>
      </c>
    </row>
    <row r="101" spans="2:19" ht="14.25" x14ac:dyDescent="0.15">
      <c r="B101" s="1387"/>
      <c r="C101" s="1410" t="s">
        <v>674</v>
      </c>
      <c r="D101" s="1388" t="s">
        <v>719</v>
      </c>
      <c r="E101" s="1421">
        <v>155</v>
      </c>
      <c r="F101" s="1388" t="s">
        <v>654</v>
      </c>
      <c r="G101" s="1426">
        <v>685</v>
      </c>
      <c r="H101" s="1431"/>
      <c r="I101" s="1265"/>
      <c r="J101" s="1265" t="s">
        <v>572</v>
      </c>
      <c r="K101" s="1266">
        <v>300</v>
      </c>
      <c r="L101" s="1265" t="s">
        <v>576</v>
      </c>
      <c r="M101" s="1439">
        <v>710</v>
      </c>
      <c r="N101" s="1431"/>
      <c r="O101" s="1265"/>
      <c r="P101" s="1265" t="s">
        <v>572</v>
      </c>
      <c r="Q101" s="1266">
        <v>300</v>
      </c>
      <c r="R101" s="1354" t="s">
        <v>576</v>
      </c>
      <c r="S101" s="1352">
        <v>710</v>
      </c>
    </row>
    <row r="102" spans="2:19" ht="14.25" x14ac:dyDescent="0.15">
      <c r="B102" s="1387"/>
      <c r="C102" s="1410"/>
      <c r="D102" s="1388" t="s">
        <v>721</v>
      </c>
      <c r="E102" s="1421">
        <v>240</v>
      </c>
      <c r="F102" s="1388" t="s">
        <v>575</v>
      </c>
      <c r="G102" s="1426">
        <v>715</v>
      </c>
      <c r="H102" s="1432"/>
      <c r="I102" s="1271"/>
      <c r="J102" s="1271"/>
      <c r="K102" s="1271"/>
      <c r="L102" s="1271"/>
      <c r="M102" s="1271"/>
      <c r="N102" s="1434"/>
      <c r="O102" s="1256"/>
      <c r="P102" s="1256"/>
      <c r="Q102" s="1268"/>
      <c r="R102" s="1256"/>
      <c r="S102" s="1378"/>
    </row>
    <row r="103" spans="2:19" ht="14.25" x14ac:dyDescent="0.15">
      <c r="B103" s="1387"/>
      <c r="C103" s="1410"/>
      <c r="D103" s="1388" t="s">
        <v>722</v>
      </c>
      <c r="E103" s="1421">
        <v>255</v>
      </c>
      <c r="F103" s="1388"/>
      <c r="G103" s="1427"/>
      <c r="H103" s="1432"/>
      <c r="I103" s="1271"/>
      <c r="J103" s="1271"/>
      <c r="K103" s="1271"/>
      <c r="L103" s="1271"/>
      <c r="M103" s="1271"/>
      <c r="N103" s="1435"/>
      <c r="S103" s="1377"/>
    </row>
    <row r="104" spans="2:19" ht="14.25" x14ac:dyDescent="0.15">
      <c r="B104" s="1391"/>
      <c r="C104" s="1392"/>
      <c r="D104" s="1422"/>
      <c r="E104" s="1393"/>
      <c r="F104" s="1392"/>
      <c r="G104" s="1428"/>
      <c r="H104" s="1432"/>
      <c r="I104" s="1271"/>
      <c r="J104" s="1271"/>
      <c r="K104" s="1271"/>
      <c r="L104" s="1271"/>
      <c r="M104" s="1271"/>
      <c r="N104" s="1435"/>
      <c r="S104" s="1377"/>
    </row>
    <row r="105" spans="2:19" ht="14.25" x14ac:dyDescent="0.15">
      <c r="B105" s="1387" t="s">
        <v>11</v>
      </c>
      <c r="C105" s="1410" t="s">
        <v>652</v>
      </c>
      <c r="D105" s="1388" t="s">
        <v>720</v>
      </c>
      <c r="E105" s="1421">
        <v>110</v>
      </c>
      <c r="F105" s="1388" t="s">
        <v>653</v>
      </c>
      <c r="G105" s="1426">
        <v>575</v>
      </c>
      <c r="H105" s="1432"/>
      <c r="I105" s="1262"/>
      <c r="J105" s="1262"/>
      <c r="K105" s="1272"/>
      <c r="L105" s="1262"/>
      <c r="M105" s="1273"/>
      <c r="N105" s="1432"/>
      <c r="O105" s="1262"/>
      <c r="P105" s="1262"/>
      <c r="Q105" s="1272"/>
      <c r="R105" s="1262"/>
      <c r="S105" s="1280"/>
    </row>
    <row r="106" spans="2:19" ht="14.25" x14ac:dyDescent="0.15">
      <c r="B106" s="1387"/>
      <c r="C106" s="1410" t="s">
        <v>686</v>
      </c>
      <c r="D106" s="1388" t="s">
        <v>719</v>
      </c>
      <c r="E106" s="1421">
        <v>145</v>
      </c>
      <c r="F106" s="1388" t="s">
        <v>654</v>
      </c>
      <c r="G106" s="1426">
        <v>670</v>
      </c>
      <c r="H106" s="1432"/>
      <c r="I106" s="1262"/>
      <c r="J106" s="1262"/>
      <c r="K106" s="1272"/>
      <c r="L106" s="1262"/>
      <c r="M106" s="1273"/>
      <c r="N106" s="1432"/>
      <c r="O106" s="1262"/>
      <c r="P106" s="1262"/>
      <c r="Q106" s="1272"/>
      <c r="R106" s="1262"/>
      <c r="S106" s="1280"/>
    </row>
    <row r="107" spans="2:19" ht="14.25" x14ac:dyDescent="0.15">
      <c r="B107" s="1387"/>
      <c r="C107" s="1410" t="s">
        <v>687</v>
      </c>
      <c r="D107" s="1388" t="s">
        <v>721</v>
      </c>
      <c r="E107" s="1421">
        <v>230</v>
      </c>
      <c r="F107" s="1388" t="s">
        <v>575</v>
      </c>
      <c r="G107" s="1426">
        <v>700</v>
      </c>
      <c r="H107" s="1432"/>
      <c r="I107" s="1262"/>
      <c r="J107" s="1262"/>
      <c r="K107" s="1272"/>
      <c r="L107" s="1262"/>
      <c r="M107" s="1273"/>
      <c r="N107" s="1432"/>
      <c r="O107" s="1262"/>
      <c r="P107" s="1262"/>
      <c r="Q107" s="1272"/>
      <c r="R107" s="1262"/>
      <c r="S107" s="1280"/>
    </row>
    <row r="108" spans="2:19" ht="15" thickBot="1" x14ac:dyDescent="0.2">
      <c r="B108" s="1401"/>
      <c r="C108" s="1423"/>
      <c r="D108" s="1402" t="s">
        <v>722</v>
      </c>
      <c r="E108" s="1424">
        <v>245</v>
      </c>
      <c r="F108" s="1402"/>
      <c r="G108" s="1429"/>
      <c r="H108" s="1433"/>
      <c r="I108" s="1296"/>
      <c r="J108" s="1296"/>
      <c r="K108" s="1297"/>
      <c r="L108" s="1296"/>
      <c r="M108" s="1437"/>
      <c r="N108" s="1436"/>
      <c r="O108" s="1379"/>
      <c r="P108" s="1379"/>
      <c r="Q108" s="1379"/>
      <c r="R108" s="1379"/>
      <c r="S108" s="1380"/>
    </row>
    <row r="111" spans="2:19" ht="14.25" x14ac:dyDescent="0.15">
      <c r="N111" s="1271"/>
      <c r="O111" s="1271"/>
      <c r="P111" s="1271"/>
      <c r="Q111" s="1271"/>
      <c r="R111" s="1293"/>
      <c r="S111" s="1293"/>
    </row>
    <row r="112" spans="2:19" ht="14.25" x14ac:dyDescent="0.15">
      <c r="N112" s="1271"/>
      <c r="O112" s="1271"/>
      <c r="P112" s="1271"/>
      <c r="Q112" s="1271"/>
      <c r="R112" s="1293"/>
      <c r="S112" s="1293"/>
    </row>
    <row r="113" spans="14:19" ht="14.25" x14ac:dyDescent="0.15">
      <c r="N113" s="1271"/>
      <c r="O113" s="1271"/>
      <c r="P113" s="1271"/>
      <c r="Q113" s="1271"/>
      <c r="R113" s="1293"/>
      <c r="S113" s="1293"/>
    </row>
    <row r="114" spans="14:19" ht="14.25" x14ac:dyDescent="0.15">
      <c r="N114" s="1271"/>
      <c r="O114" s="1262"/>
      <c r="P114" s="1262"/>
      <c r="Q114" s="1272"/>
      <c r="R114" s="1303"/>
      <c r="S114" s="1280"/>
    </row>
    <row r="115" spans="14:19" ht="14.25" x14ac:dyDescent="0.15">
      <c r="N115" s="1271"/>
      <c r="O115" s="1262"/>
      <c r="P115" s="1262"/>
      <c r="Q115" s="1272"/>
      <c r="R115" s="1303"/>
      <c r="S115" s="1280"/>
    </row>
    <row r="116" spans="14:19" ht="14.25" x14ac:dyDescent="0.15">
      <c r="N116" s="1271"/>
      <c r="O116" s="1262"/>
      <c r="P116" s="1262"/>
      <c r="Q116" s="1272"/>
      <c r="R116" s="1303"/>
      <c r="S116" s="1280"/>
    </row>
    <row r="117" spans="14:19" ht="15" thickBot="1" x14ac:dyDescent="0.2">
      <c r="N117" s="1294"/>
      <c r="O117" s="1296"/>
      <c r="P117" s="1296"/>
      <c r="Q117" s="1297"/>
      <c r="R117" s="1355"/>
      <c r="S117" s="1298"/>
    </row>
  </sheetData>
  <mergeCells count="5">
    <mergeCell ref="B4:G4"/>
    <mergeCell ref="H4:M4"/>
    <mergeCell ref="N4:S4"/>
    <mergeCell ref="B3:S3"/>
    <mergeCell ref="K5:M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S90"/>
  <sheetViews>
    <sheetView topLeftCell="A70" workbookViewId="0">
      <selection activeCell="N26" sqref="N26"/>
    </sheetView>
  </sheetViews>
  <sheetFormatPr defaultRowHeight="12.75" x14ac:dyDescent="0.15"/>
  <cols>
    <col min="2" max="2" width="11.0546875" bestFit="1" customWidth="1"/>
    <col min="3" max="3" width="25.890625" customWidth="1"/>
    <col min="4" max="4" width="30.0703125" bestFit="1" customWidth="1"/>
    <col min="6" max="6" width="19.01171875" bestFit="1" customWidth="1"/>
    <col min="8" max="8" width="14.42578125" customWidth="1"/>
    <col min="9" max="9" width="21.3046875" customWidth="1"/>
    <col min="10" max="10" width="30.0703125" bestFit="1" customWidth="1"/>
    <col min="14" max="14" width="10.65234375" customWidth="1"/>
    <col min="15" max="15" width="21.171875" customWidth="1"/>
    <col min="16" max="16" width="30.0703125" bestFit="1" customWidth="1"/>
    <col min="18" max="18" width="15.37109375" bestFit="1" customWidth="1"/>
  </cols>
  <sheetData>
    <row r="3" spans="2:19" ht="18" x14ac:dyDescent="0.2">
      <c r="B3" s="1683" t="s">
        <v>535</v>
      </c>
      <c r="C3" s="1684"/>
      <c r="D3" s="1684"/>
      <c r="E3" s="1684"/>
      <c r="F3" s="1684"/>
      <c r="G3" s="1684"/>
      <c r="H3" s="1684"/>
      <c r="I3" s="1684"/>
      <c r="J3" s="1684"/>
      <c r="K3" s="1684"/>
      <c r="L3" s="1684"/>
      <c r="M3" s="1684"/>
      <c r="N3" s="1684"/>
      <c r="O3" s="1684"/>
      <c r="P3" s="1684"/>
      <c r="Q3" s="1684"/>
      <c r="R3" s="1684"/>
      <c r="S3" s="1684"/>
    </row>
    <row r="4" spans="2:19" ht="14.25" x14ac:dyDescent="0.15">
      <c r="B4" s="1682" t="s">
        <v>637</v>
      </c>
      <c r="C4" s="1682"/>
      <c r="D4" s="1682"/>
      <c r="E4" s="1682"/>
      <c r="F4" s="1682"/>
      <c r="G4" s="1682"/>
      <c r="H4" s="1615" t="s">
        <v>638</v>
      </c>
      <c r="I4" s="1615"/>
      <c r="J4" s="1615"/>
      <c r="K4" s="1615"/>
      <c r="L4" s="1615"/>
      <c r="M4" s="1615"/>
      <c r="N4" s="1615" t="s">
        <v>717</v>
      </c>
      <c r="O4" s="1615"/>
      <c r="P4" s="1615"/>
      <c r="Q4" s="1615"/>
      <c r="R4" s="1615"/>
      <c r="S4" s="1678"/>
    </row>
    <row r="5" spans="2:19" ht="23.25" x14ac:dyDescent="0.15">
      <c r="B5" s="1304" t="s">
        <v>21</v>
      </c>
      <c r="C5" s="1304" t="s">
        <v>22</v>
      </c>
      <c r="D5" s="1367" t="s">
        <v>468</v>
      </c>
      <c r="E5" s="1304" t="s">
        <v>702</v>
      </c>
      <c r="F5" s="1367" t="s">
        <v>639</v>
      </c>
      <c r="G5" s="1305" t="s">
        <v>703</v>
      </c>
      <c r="H5" s="1290" t="s">
        <v>21</v>
      </c>
      <c r="I5" s="1290" t="s">
        <v>22</v>
      </c>
      <c r="J5" s="1368" t="s">
        <v>468</v>
      </c>
      <c r="K5" s="1290" t="s">
        <v>702</v>
      </c>
      <c r="L5" s="1368" t="s">
        <v>639</v>
      </c>
      <c r="M5" s="1291" t="s">
        <v>703</v>
      </c>
      <c r="N5" s="1290" t="s">
        <v>21</v>
      </c>
      <c r="O5" s="1290" t="s">
        <v>22</v>
      </c>
      <c r="P5" s="1368" t="s">
        <v>468</v>
      </c>
      <c r="Q5" s="1290" t="s">
        <v>702</v>
      </c>
      <c r="R5" s="1368" t="s">
        <v>639</v>
      </c>
      <c r="S5" s="1375" t="s">
        <v>703</v>
      </c>
    </row>
    <row r="6" spans="2:19" ht="14.25" x14ac:dyDescent="0.15">
      <c r="B6" s="1306" t="s">
        <v>38</v>
      </c>
      <c r="C6" s="1307" t="s">
        <v>619</v>
      </c>
      <c r="D6" s="1307" t="s">
        <v>62</v>
      </c>
      <c r="E6" s="1308">
        <v>70</v>
      </c>
      <c r="F6" s="1307"/>
      <c r="G6" s="1343">
        <v>811</v>
      </c>
      <c r="H6" s="1264" t="s">
        <v>38</v>
      </c>
      <c r="I6" s="1265" t="s">
        <v>619</v>
      </c>
      <c r="J6" s="1265" t="s">
        <v>62</v>
      </c>
      <c r="K6" s="1266">
        <v>100</v>
      </c>
      <c r="L6" s="1265"/>
      <c r="M6" s="1343">
        <v>859</v>
      </c>
      <c r="N6" s="1264" t="s">
        <v>38</v>
      </c>
      <c r="O6" s="1265" t="s">
        <v>619</v>
      </c>
      <c r="P6" s="1265" t="s">
        <v>62</v>
      </c>
      <c r="Q6" s="1266">
        <v>100</v>
      </c>
      <c r="R6" s="1265"/>
      <c r="S6" s="1376">
        <v>961.99999999999989</v>
      </c>
    </row>
    <row r="7" spans="2:19" ht="15" thickBot="1" x14ac:dyDescent="0.2">
      <c r="B7" s="1309"/>
      <c r="C7" s="1310"/>
      <c r="D7" s="1310"/>
      <c r="E7" s="1311"/>
      <c r="F7" s="1310"/>
      <c r="G7" s="1312"/>
      <c r="H7" s="1271"/>
      <c r="I7" s="1262"/>
      <c r="J7" s="1262"/>
      <c r="K7" s="1272"/>
      <c r="L7" s="1262"/>
      <c r="M7" s="1273"/>
      <c r="N7" s="1271"/>
      <c r="O7" s="1262"/>
      <c r="P7" s="1262"/>
      <c r="Q7" s="1272"/>
      <c r="R7" s="1262"/>
      <c r="S7" s="1280"/>
    </row>
    <row r="8" spans="2:19" ht="14.25" x14ac:dyDescent="0.15">
      <c r="B8" s="1313" t="s">
        <v>41</v>
      </c>
      <c r="C8" s="1314" t="s">
        <v>640</v>
      </c>
      <c r="D8" s="1314" t="s">
        <v>43</v>
      </c>
      <c r="E8" s="1315">
        <v>100</v>
      </c>
      <c r="F8" s="1314" t="s">
        <v>676</v>
      </c>
      <c r="G8" s="1316">
        <v>409.99999999999994</v>
      </c>
      <c r="H8" s="1276" t="s">
        <v>706</v>
      </c>
      <c r="I8" s="1274" t="s">
        <v>640</v>
      </c>
      <c r="J8" s="1274" t="s">
        <v>661</v>
      </c>
      <c r="K8" s="1275">
        <v>110</v>
      </c>
      <c r="L8" s="1274" t="s">
        <v>704</v>
      </c>
      <c r="M8" s="1277">
        <v>475</v>
      </c>
      <c r="N8" s="1359" t="s">
        <v>706</v>
      </c>
      <c r="O8" s="1274" t="s">
        <v>640</v>
      </c>
      <c r="P8" s="1274" t="s">
        <v>661</v>
      </c>
      <c r="Q8" s="1275">
        <v>110</v>
      </c>
      <c r="R8" s="1274" t="s">
        <v>704</v>
      </c>
      <c r="S8" s="1277">
        <v>475</v>
      </c>
    </row>
    <row r="9" spans="2:19" ht="27" x14ac:dyDescent="0.15">
      <c r="B9" s="1317"/>
      <c r="C9" s="1447" t="s">
        <v>674</v>
      </c>
      <c r="D9" s="1307" t="s">
        <v>641</v>
      </c>
      <c r="E9" s="1308">
        <v>110</v>
      </c>
      <c r="F9" s="1307" t="s">
        <v>677</v>
      </c>
      <c r="G9" s="1318">
        <v>560</v>
      </c>
      <c r="H9" s="1264"/>
      <c r="I9" s="1265"/>
      <c r="J9" s="1265" t="s">
        <v>642</v>
      </c>
      <c r="K9" s="1266">
        <v>210</v>
      </c>
      <c r="L9" s="1265" t="s">
        <v>705</v>
      </c>
      <c r="M9" s="1278">
        <v>700</v>
      </c>
      <c r="N9" s="1360"/>
      <c r="O9" s="1265"/>
      <c r="P9" s="1265" t="s">
        <v>642</v>
      </c>
      <c r="Q9" s="1266">
        <v>210</v>
      </c>
      <c r="R9" s="1265" t="s">
        <v>705</v>
      </c>
      <c r="S9" s="1278">
        <v>700</v>
      </c>
    </row>
    <row r="10" spans="2:19" ht="14.25" x14ac:dyDescent="0.15">
      <c r="B10" s="1317"/>
      <c r="C10" s="1307" t="s">
        <v>675</v>
      </c>
      <c r="D10" s="1307" t="s">
        <v>642</v>
      </c>
      <c r="E10" s="1308">
        <v>175</v>
      </c>
      <c r="F10" s="1307" t="s">
        <v>643</v>
      </c>
      <c r="G10" s="1318">
        <v>715</v>
      </c>
      <c r="H10" s="1271"/>
      <c r="I10" s="1271"/>
      <c r="J10" s="1271"/>
      <c r="K10" s="1271"/>
      <c r="L10" s="1271"/>
      <c r="M10" s="1293"/>
      <c r="N10" s="1271"/>
      <c r="O10" s="1271"/>
      <c r="P10" s="1271"/>
      <c r="Q10" s="1271"/>
      <c r="R10" s="1271"/>
      <c r="S10" s="1293"/>
    </row>
    <row r="11" spans="2:19" ht="14.25" x14ac:dyDescent="0.15">
      <c r="B11" s="1317"/>
      <c r="C11" s="1307"/>
      <c r="D11" s="1307"/>
      <c r="E11" s="1308"/>
      <c r="F11" s="1307" t="s">
        <v>411</v>
      </c>
      <c r="G11" s="1318">
        <v>819.99999999999989</v>
      </c>
      <c r="H11" s="1271"/>
      <c r="I11" s="1271"/>
      <c r="J11" s="1271"/>
      <c r="K11" s="1271"/>
      <c r="L11" s="1271"/>
      <c r="M11" s="1293"/>
      <c r="N11" s="1271"/>
      <c r="O11" s="1271"/>
      <c r="P11" s="1271"/>
      <c r="Q11" s="1271"/>
      <c r="R11" s="1271"/>
      <c r="S11" s="1293"/>
    </row>
    <row r="12" spans="2:19" ht="14.25" x14ac:dyDescent="0.15">
      <c r="B12" s="1319"/>
      <c r="C12" s="1310"/>
      <c r="D12" s="1310"/>
      <c r="E12" s="1311"/>
      <c r="F12" s="1310"/>
      <c r="G12" s="1312"/>
      <c r="H12" s="1271"/>
      <c r="I12" s="1271"/>
      <c r="J12" s="1271"/>
      <c r="K12" s="1271"/>
      <c r="L12" s="1271"/>
      <c r="M12" s="1293"/>
      <c r="N12" s="1271"/>
      <c r="O12" s="1271"/>
      <c r="P12" s="1271"/>
      <c r="Q12" s="1271"/>
      <c r="R12" s="1271"/>
      <c r="S12" s="1293"/>
    </row>
    <row r="13" spans="2:19" ht="14.25" x14ac:dyDescent="0.15">
      <c r="B13" s="1317" t="s">
        <v>50</v>
      </c>
      <c r="C13" s="1307" t="s">
        <v>51</v>
      </c>
      <c r="D13" s="1307" t="s">
        <v>43</v>
      </c>
      <c r="E13" s="1308">
        <v>85</v>
      </c>
      <c r="F13" s="1307" t="s">
        <v>676</v>
      </c>
      <c r="G13" s="1308">
        <v>400</v>
      </c>
      <c r="H13" s="1271"/>
      <c r="I13" s="1271"/>
      <c r="J13" s="1271"/>
      <c r="K13" s="1271"/>
      <c r="L13" s="1271"/>
      <c r="M13" s="1293"/>
      <c r="N13" s="1271"/>
      <c r="O13" s="1271"/>
      <c r="P13" s="1271"/>
      <c r="Q13" s="1271"/>
      <c r="R13" s="1271"/>
      <c r="S13" s="1293"/>
    </row>
    <row r="14" spans="2:19" ht="14.25" x14ac:dyDescent="0.15">
      <c r="B14" s="1317"/>
      <c r="C14" s="1307" t="s">
        <v>644</v>
      </c>
      <c r="D14" s="1307" t="s">
        <v>641</v>
      </c>
      <c r="E14" s="1308">
        <v>100</v>
      </c>
      <c r="F14" s="1307" t="s">
        <v>677</v>
      </c>
      <c r="G14" s="1308">
        <v>530</v>
      </c>
      <c r="H14" s="1271"/>
      <c r="I14" s="1271"/>
      <c r="J14" s="1271"/>
      <c r="K14" s="1271"/>
      <c r="L14" s="1271"/>
      <c r="M14" s="1293"/>
      <c r="N14" s="1271"/>
      <c r="O14" s="1271"/>
      <c r="P14" s="1271"/>
      <c r="Q14" s="1271"/>
      <c r="R14" s="1271"/>
      <c r="S14" s="1293"/>
    </row>
    <row r="15" spans="2:19" ht="14.25" x14ac:dyDescent="0.15">
      <c r="B15" s="1320"/>
      <c r="C15" s="1307" t="s">
        <v>54</v>
      </c>
      <c r="D15" s="1307" t="s">
        <v>642</v>
      </c>
      <c r="E15" s="1308">
        <v>160</v>
      </c>
      <c r="F15" s="1307" t="s">
        <v>643</v>
      </c>
      <c r="G15" s="1308">
        <v>685</v>
      </c>
      <c r="H15" s="1271"/>
      <c r="I15" s="1271"/>
      <c r="J15" s="1271"/>
      <c r="K15" s="1271"/>
      <c r="L15" s="1271"/>
      <c r="M15" s="1293"/>
      <c r="N15" s="1271"/>
      <c r="O15" s="1271"/>
      <c r="P15" s="1271"/>
      <c r="Q15" s="1271"/>
      <c r="R15" s="1271"/>
      <c r="S15" s="1293"/>
    </row>
    <row r="16" spans="2:19" ht="15" thickBot="1" x14ac:dyDescent="0.2">
      <c r="B16" s="1321"/>
      <c r="C16" s="1322" t="s">
        <v>55</v>
      </c>
      <c r="D16" s="1322"/>
      <c r="E16" s="1323"/>
      <c r="F16" s="1322" t="s">
        <v>411</v>
      </c>
      <c r="G16" s="1323">
        <v>770</v>
      </c>
      <c r="H16" s="1294"/>
      <c r="I16" s="1294"/>
      <c r="J16" s="1294"/>
      <c r="K16" s="1294"/>
      <c r="L16" s="1294"/>
      <c r="M16" s="1295"/>
      <c r="N16" s="1294"/>
      <c r="O16" s="1294"/>
      <c r="P16" s="1294"/>
      <c r="Q16" s="1294"/>
      <c r="R16" s="1294"/>
      <c r="S16" s="1295"/>
    </row>
    <row r="17" spans="2:19" ht="15" thickBot="1" x14ac:dyDescent="0.2">
      <c r="B17" s="1309"/>
      <c r="C17" s="1310"/>
      <c r="D17" s="1310"/>
      <c r="E17" s="1311"/>
      <c r="F17" s="1310"/>
      <c r="G17" s="1312"/>
      <c r="H17" s="1271"/>
      <c r="I17" s="1262"/>
      <c r="J17" s="1262"/>
      <c r="K17" s="1272"/>
      <c r="L17" s="1262"/>
      <c r="M17" s="1273"/>
      <c r="N17" s="1271"/>
      <c r="O17" s="1262"/>
      <c r="P17" s="1262"/>
      <c r="Q17" s="1272"/>
      <c r="R17" s="1262"/>
      <c r="S17" s="1280"/>
    </row>
    <row r="18" spans="2:19" ht="27" x14ac:dyDescent="0.15">
      <c r="B18" s="1313" t="s">
        <v>57</v>
      </c>
      <c r="C18" s="1314" t="s">
        <v>645</v>
      </c>
      <c r="D18" s="1314" t="s">
        <v>661</v>
      </c>
      <c r="E18" s="1315">
        <v>120</v>
      </c>
      <c r="F18" s="1314" t="s">
        <v>647</v>
      </c>
      <c r="G18" s="1315">
        <v>730</v>
      </c>
      <c r="H18" s="1276" t="s">
        <v>707</v>
      </c>
      <c r="I18" s="1370" t="s">
        <v>708</v>
      </c>
      <c r="J18" s="1274" t="s">
        <v>661</v>
      </c>
      <c r="K18" s="1275">
        <v>180</v>
      </c>
      <c r="L18" s="1274" t="s">
        <v>634</v>
      </c>
      <c r="M18" s="1277">
        <v>775</v>
      </c>
      <c r="N18" s="1359" t="s">
        <v>707</v>
      </c>
      <c r="O18" s="1370" t="s">
        <v>708</v>
      </c>
      <c r="P18" s="1274" t="s">
        <v>661</v>
      </c>
      <c r="Q18" s="1275">
        <v>180</v>
      </c>
      <c r="R18" s="1274" t="s">
        <v>634</v>
      </c>
      <c r="S18" s="1277">
        <v>775</v>
      </c>
    </row>
    <row r="19" spans="2:19" ht="27" x14ac:dyDescent="0.15">
      <c r="B19" s="1317"/>
      <c r="C19" s="1447" t="s">
        <v>674</v>
      </c>
      <c r="D19" s="1307" t="s">
        <v>642</v>
      </c>
      <c r="E19" s="1308">
        <v>175</v>
      </c>
      <c r="F19" s="1307" t="s">
        <v>411</v>
      </c>
      <c r="G19" s="1308">
        <v>855.00000000000011</v>
      </c>
      <c r="H19" s="1264"/>
      <c r="I19" s="1265"/>
      <c r="J19" s="1265" t="s">
        <v>642</v>
      </c>
      <c r="K19" s="1266">
        <v>250</v>
      </c>
      <c r="L19" s="1265"/>
      <c r="M19" s="1279"/>
      <c r="N19" s="1360"/>
      <c r="O19" s="1265"/>
      <c r="P19" s="1265" t="s">
        <v>642</v>
      </c>
      <c r="Q19" s="1266">
        <v>250</v>
      </c>
      <c r="R19" s="1265"/>
      <c r="S19" s="1279"/>
    </row>
    <row r="20" spans="2:19" ht="14.25" x14ac:dyDescent="0.15">
      <c r="B20" s="1317"/>
      <c r="C20" s="1307" t="s">
        <v>675</v>
      </c>
      <c r="D20" s="1307" t="s">
        <v>62</v>
      </c>
      <c r="E20" s="1308">
        <v>150</v>
      </c>
      <c r="F20" s="1307"/>
      <c r="G20" s="1324"/>
      <c r="H20" s="1271"/>
      <c r="I20" s="1262"/>
      <c r="J20" s="1262"/>
      <c r="K20" s="1272"/>
      <c r="L20" s="1262"/>
      <c r="M20" s="1280"/>
      <c r="N20" s="1271"/>
      <c r="O20" s="1262"/>
      <c r="P20" s="1262"/>
      <c r="Q20" s="1272"/>
      <c r="R20" s="1262"/>
      <c r="S20" s="1280"/>
    </row>
    <row r="21" spans="2:19" ht="14.25" x14ac:dyDescent="0.15">
      <c r="B21" s="1319"/>
      <c r="C21" s="1310"/>
      <c r="D21" s="1325"/>
      <c r="E21" s="1325"/>
      <c r="F21" s="1310"/>
      <c r="G21" s="1312"/>
      <c r="H21" s="1271"/>
      <c r="I21" s="1262"/>
      <c r="J21" s="1262"/>
      <c r="K21" s="1272"/>
      <c r="L21" s="1262"/>
      <c r="M21" s="1280"/>
      <c r="N21" s="1271"/>
      <c r="O21" s="1262"/>
      <c r="P21" s="1262"/>
      <c r="Q21" s="1272"/>
      <c r="R21" s="1262"/>
      <c r="S21" s="1280"/>
    </row>
    <row r="22" spans="2:19" ht="14.25" x14ac:dyDescent="0.15">
      <c r="B22" s="1317" t="s">
        <v>64</v>
      </c>
      <c r="C22" s="1307" t="s">
        <v>645</v>
      </c>
      <c r="D22" s="1307" t="s">
        <v>661</v>
      </c>
      <c r="E22" s="1308">
        <v>110</v>
      </c>
      <c r="F22" s="1307" t="s">
        <v>647</v>
      </c>
      <c r="G22" s="1308">
        <v>675</v>
      </c>
      <c r="H22" s="1271"/>
      <c r="I22" s="1262"/>
      <c r="J22" s="1262"/>
      <c r="K22" s="1272"/>
      <c r="L22" s="1262"/>
      <c r="M22" s="1280"/>
      <c r="N22" s="1271"/>
      <c r="O22" s="1262"/>
      <c r="P22" s="1262"/>
      <c r="Q22" s="1272"/>
      <c r="R22" s="1262"/>
      <c r="S22" s="1280"/>
    </row>
    <row r="23" spans="2:19" ht="14.25" x14ac:dyDescent="0.15">
      <c r="B23" s="1317"/>
      <c r="C23" s="1307" t="s">
        <v>678</v>
      </c>
      <c r="D23" s="1307" t="s">
        <v>642</v>
      </c>
      <c r="E23" s="1308">
        <v>135</v>
      </c>
      <c r="F23" s="1307" t="s">
        <v>411</v>
      </c>
      <c r="G23" s="1308">
        <v>800</v>
      </c>
      <c r="H23" s="1271"/>
      <c r="I23" s="1262"/>
      <c r="J23" s="1262"/>
      <c r="K23" s="1272"/>
      <c r="L23" s="1262"/>
      <c r="M23" s="1280"/>
      <c r="N23" s="1271"/>
      <c r="O23" s="1262"/>
      <c r="P23" s="1262"/>
      <c r="Q23" s="1272"/>
      <c r="R23" s="1262"/>
      <c r="S23" s="1280"/>
    </row>
    <row r="24" spans="2:19" ht="15" thickBot="1" x14ac:dyDescent="0.2">
      <c r="B24" s="1321"/>
      <c r="C24" s="1322" t="s">
        <v>55</v>
      </c>
      <c r="D24" s="1322" t="s">
        <v>62</v>
      </c>
      <c r="E24" s="1323">
        <v>165</v>
      </c>
      <c r="F24" s="1322"/>
      <c r="G24" s="1326"/>
      <c r="H24" s="1294"/>
      <c r="I24" s="1296"/>
      <c r="J24" s="1296"/>
      <c r="K24" s="1297"/>
      <c r="L24" s="1296"/>
      <c r="M24" s="1298"/>
      <c r="N24" s="1294"/>
      <c r="O24" s="1296"/>
      <c r="P24" s="1296"/>
      <c r="Q24" s="1297"/>
      <c r="R24" s="1296"/>
      <c r="S24" s="1298"/>
    </row>
    <row r="25" spans="2:19" ht="15" thickBot="1" x14ac:dyDescent="0.2">
      <c r="B25" s="1309"/>
      <c r="C25" s="1310"/>
      <c r="D25" s="1310"/>
      <c r="E25" s="1311"/>
      <c r="F25" s="1310"/>
      <c r="G25" s="1312"/>
      <c r="H25" s="1271"/>
      <c r="I25" s="1262"/>
      <c r="J25" s="1262"/>
      <c r="K25" s="1272"/>
      <c r="L25" s="1262"/>
      <c r="M25" s="1273"/>
      <c r="N25" s="1271"/>
      <c r="O25" s="1262"/>
      <c r="P25" s="1262"/>
      <c r="Q25" s="1272"/>
      <c r="R25" s="1262"/>
      <c r="S25" s="1280"/>
    </row>
    <row r="26" spans="2:19" ht="27" x14ac:dyDescent="0.15">
      <c r="B26" s="1313" t="s">
        <v>69</v>
      </c>
      <c r="C26" s="1448" t="s">
        <v>679</v>
      </c>
      <c r="D26" s="1314" t="s">
        <v>661</v>
      </c>
      <c r="E26" s="1315">
        <v>125</v>
      </c>
      <c r="F26" s="1314" t="s">
        <v>676</v>
      </c>
      <c r="G26" s="1315">
        <v>840</v>
      </c>
      <c r="H26" s="1276" t="s">
        <v>508</v>
      </c>
      <c r="I26" s="1274" t="s">
        <v>709</v>
      </c>
      <c r="J26" s="1274" t="s">
        <v>661</v>
      </c>
      <c r="K26" s="1275">
        <v>200</v>
      </c>
      <c r="L26" s="1274" t="s">
        <v>634</v>
      </c>
      <c r="M26" s="1277">
        <v>850</v>
      </c>
      <c r="N26" s="1276" t="s">
        <v>508</v>
      </c>
      <c r="O26" s="1274" t="s">
        <v>709</v>
      </c>
      <c r="P26" s="1274" t="s">
        <v>661</v>
      </c>
      <c r="Q26" s="1275">
        <v>200</v>
      </c>
      <c r="R26" s="1274" t="s">
        <v>634</v>
      </c>
      <c r="S26" s="1277">
        <v>850</v>
      </c>
    </row>
    <row r="27" spans="2:19" ht="27" x14ac:dyDescent="0.15">
      <c r="B27" s="1317"/>
      <c r="C27" s="1447" t="s">
        <v>680</v>
      </c>
      <c r="D27" s="1307" t="s">
        <v>642</v>
      </c>
      <c r="E27" s="1308">
        <v>230</v>
      </c>
      <c r="F27" s="1307" t="s">
        <v>558</v>
      </c>
      <c r="G27" s="1308">
        <v>940</v>
      </c>
      <c r="H27" s="1264"/>
      <c r="I27" s="1265"/>
      <c r="J27" s="1265" t="s">
        <v>642</v>
      </c>
      <c r="K27" s="1266">
        <v>300</v>
      </c>
      <c r="L27" s="1265"/>
      <c r="M27" s="1279"/>
      <c r="N27" s="1264"/>
      <c r="O27" s="1265"/>
      <c r="P27" s="1265" t="s">
        <v>642</v>
      </c>
      <c r="Q27" s="1266">
        <v>300</v>
      </c>
      <c r="R27" s="1265"/>
      <c r="S27" s="1279"/>
    </row>
    <row r="28" spans="2:19" ht="14.25" x14ac:dyDescent="0.15">
      <c r="B28" s="1319"/>
      <c r="C28" s="1310"/>
      <c r="D28" s="1310"/>
      <c r="E28" s="1311"/>
      <c r="F28" s="1310"/>
      <c r="G28" s="1312"/>
      <c r="H28" s="1271"/>
      <c r="I28" s="1262"/>
      <c r="J28" s="1262"/>
      <c r="K28" s="1272"/>
      <c r="L28" s="1262"/>
      <c r="M28" s="1280"/>
      <c r="N28" s="1271"/>
      <c r="O28" s="1262"/>
      <c r="P28" s="1262"/>
      <c r="Q28" s="1272"/>
      <c r="R28" s="1262"/>
      <c r="S28" s="1280"/>
    </row>
    <row r="29" spans="2:19" ht="14.25" x14ac:dyDescent="0.15">
      <c r="B29" s="1317" t="s">
        <v>76</v>
      </c>
      <c r="C29" s="1307" t="s">
        <v>648</v>
      </c>
      <c r="D29" s="1307" t="s">
        <v>661</v>
      </c>
      <c r="E29" s="1308">
        <v>115</v>
      </c>
      <c r="F29" s="1307" t="s">
        <v>676</v>
      </c>
      <c r="G29" s="1308">
        <v>790</v>
      </c>
      <c r="H29" s="1271"/>
      <c r="I29" s="1262"/>
      <c r="J29" s="1262"/>
      <c r="K29" s="1272"/>
      <c r="L29" s="1262"/>
      <c r="M29" s="1280"/>
      <c r="N29" s="1271"/>
      <c r="O29" s="1262"/>
      <c r="P29" s="1262"/>
      <c r="Q29" s="1272"/>
      <c r="R29" s="1262"/>
      <c r="S29" s="1280"/>
    </row>
    <row r="30" spans="2:19" ht="15" thickBot="1" x14ac:dyDescent="0.2">
      <c r="B30" s="1321"/>
      <c r="C30" s="1322" t="s">
        <v>649</v>
      </c>
      <c r="D30" s="1322" t="s">
        <v>642</v>
      </c>
      <c r="E30" s="1323">
        <v>220</v>
      </c>
      <c r="F30" s="1322" t="s">
        <v>558</v>
      </c>
      <c r="G30" s="1323">
        <v>890</v>
      </c>
      <c r="H30" s="1294"/>
      <c r="I30" s="1296"/>
      <c r="J30" s="1296"/>
      <c r="K30" s="1297"/>
      <c r="L30" s="1296"/>
      <c r="M30" s="1298"/>
      <c r="N30" s="1294"/>
      <c r="O30" s="1296"/>
      <c r="P30" s="1296"/>
      <c r="Q30" s="1297"/>
      <c r="R30" s="1296"/>
      <c r="S30" s="1298"/>
    </row>
    <row r="31" spans="2:19" ht="14.25" x14ac:dyDescent="0.15">
      <c r="B31" s="1309"/>
      <c r="C31" s="1310"/>
      <c r="D31" s="1310"/>
      <c r="E31" s="1311"/>
      <c r="F31" s="1310"/>
      <c r="G31" s="1312"/>
      <c r="H31" s="1271"/>
      <c r="I31" s="1262"/>
      <c r="J31" s="1262"/>
      <c r="K31" s="1272"/>
      <c r="L31" s="1262"/>
      <c r="M31" s="1273"/>
      <c r="N31" s="1271"/>
      <c r="O31" s="1262"/>
      <c r="P31" s="1262"/>
      <c r="Q31" s="1272"/>
      <c r="R31" s="1262"/>
      <c r="S31" s="1280"/>
    </row>
    <row r="32" spans="2:19" ht="14.25" x14ac:dyDescent="0.15">
      <c r="B32" s="1306" t="s">
        <v>430</v>
      </c>
      <c r="C32" s="1307" t="s">
        <v>650</v>
      </c>
      <c r="D32" s="1307"/>
      <c r="E32" s="1308"/>
      <c r="F32" s="1307" t="s">
        <v>634</v>
      </c>
      <c r="G32" s="1343">
        <v>640</v>
      </c>
      <c r="H32" s="1264" t="s">
        <v>430</v>
      </c>
      <c r="I32" s="1265" t="s">
        <v>650</v>
      </c>
      <c r="J32" s="1265"/>
      <c r="K32" s="1266"/>
      <c r="L32" s="1265" t="s">
        <v>634</v>
      </c>
      <c r="M32" s="1343">
        <v>692.02499999999998</v>
      </c>
      <c r="N32" s="1264" t="s">
        <v>430</v>
      </c>
      <c r="O32" s="1265" t="s">
        <v>650</v>
      </c>
      <c r="P32" s="1265"/>
      <c r="Q32" s="1266"/>
      <c r="R32" s="1265" t="s">
        <v>634</v>
      </c>
      <c r="S32" s="1376">
        <v>475.87299999999999</v>
      </c>
    </row>
    <row r="33" spans="2:19" ht="14.25" x14ac:dyDescent="0.15">
      <c r="B33" s="1309"/>
      <c r="C33" s="1310"/>
      <c r="D33" s="1310"/>
      <c r="E33" s="1311"/>
      <c r="F33" s="1310"/>
      <c r="G33" s="1312"/>
      <c r="H33" s="1271"/>
      <c r="I33" s="1262"/>
      <c r="J33" s="1262"/>
      <c r="K33" s="1272"/>
      <c r="L33" s="1262"/>
      <c r="M33" s="1273"/>
      <c r="N33" s="1271"/>
      <c r="O33" s="1262"/>
      <c r="P33" s="1262"/>
      <c r="Q33" s="1272"/>
      <c r="R33" s="1262"/>
      <c r="S33" s="1280"/>
    </row>
    <row r="34" spans="2:19" ht="14.25" x14ac:dyDescent="0.15">
      <c r="B34" s="1306" t="s">
        <v>8</v>
      </c>
      <c r="C34" s="1307" t="s">
        <v>651</v>
      </c>
      <c r="D34" s="1307" t="s">
        <v>82</v>
      </c>
      <c r="E34" s="1308">
        <v>110</v>
      </c>
      <c r="F34" s="1307" t="s">
        <v>634</v>
      </c>
      <c r="G34" s="1308">
        <v>390</v>
      </c>
      <c r="H34" s="1264" t="s">
        <v>8</v>
      </c>
      <c r="I34" s="1265" t="s">
        <v>651</v>
      </c>
      <c r="J34" s="1265" t="s">
        <v>82</v>
      </c>
      <c r="K34" s="1266">
        <v>135</v>
      </c>
      <c r="L34" s="1265" t="s">
        <v>634</v>
      </c>
      <c r="M34" s="1266">
        <v>409.99999999999994</v>
      </c>
      <c r="N34" s="1264" t="s">
        <v>8</v>
      </c>
      <c r="O34" s="1371" t="s">
        <v>651</v>
      </c>
      <c r="P34" s="1265" t="s">
        <v>82</v>
      </c>
      <c r="Q34" s="1266">
        <v>135</v>
      </c>
      <c r="R34" s="1265" t="s">
        <v>634</v>
      </c>
      <c r="S34" s="1278">
        <v>409.99999999999994</v>
      </c>
    </row>
    <row r="35" spans="2:19" ht="14.25" x14ac:dyDescent="0.15">
      <c r="B35" s="1309"/>
      <c r="C35" s="1310"/>
      <c r="D35" s="1310"/>
      <c r="E35" s="1311"/>
      <c r="F35" s="1310"/>
      <c r="G35" s="1312"/>
      <c r="H35" s="1271"/>
      <c r="I35" s="1262"/>
      <c r="J35" s="1262"/>
      <c r="K35" s="1272"/>
      <c r="L35" s="1262"/>
      <c r="M35" s="1273"/>
      <c r="N35" s="1271"/>
      <c r="O35" s="1262"/>
      <c r="P35" s="1262"/>
      <c r="Q35" s="1272"/>
      <c r="R35" s="1262"/>
      <c r="S35" s="1280"/>
    </row>
    <row r="36" spans="2:19" ht="14.25" x14ac:dyDescent="0.15">
      <c r="B36" s="1306" t="s">
        <v>564</v>
      </c>
      <c r="C36" s="1307" t="s">
        <v>681</v>
      </c>
      <c r="D36" s="1307" t="s">
        <v>82</v>
      </c>
      <c r="E36" s="1308">
        <v>100</v>
      </c>
      <c r="F36" s="1307" t="s">
        <v>634</v>
      </c>
      <c r="G36" s="1308">
        <v>390</v>
      </c>
      <c r="H36" s="1264" t="s">
        <v>564</v>
      </c>
      <c r="I36" s="1265" t="s">
        <v>681</v>
      </c>
      <c r="J36" s="1265" t="s">
        <v>82</v>
      </c>
      <c r="K36" s="1266">
        <v>135</v>
      </c>
      <c r="L36" s="1265" t="s">
        <v>634</v>
      </c>
      <c r="M36" s="1266">
        <v>425</v>
      </c>
      <c r="N36" s="1264" t="s">
        <v>564</v>
      </c>
      <c r="O36" s="1371" t="s">
        <v>681</v>
      </c>
      <c r="P36" s="1265" t="s">
        <v>82</v>
      </c>
      <c r="Q36" s="1266">
        <v>135</v>
      </c>
      <c r="R36" s="1265" t="s">
        <v>634</v>
      </c>
      <c r="S36" s="1278">
        <v>425</v>
      </c>
    </row>
    <row r="37" spans="2:19" ht="15" thickBot="1" x14ac:dyDescent="0.2">
      <c r="B37" s="1309"/>
      <c r="C37" s="1310"/>
      <c r="D37" s="1310"/>
      <c r="E37" s="1311"/>
      <c r="F37" s="1310"/>
      <c r="G37" s="1312"/>
      <c r="H37" s="1271"/>
      <c r="I37" s="1262"/>
      <c r="J37" s="1262"/>
      <c r="K37" s="1272"/>
      <c r="L37" s="1262"/>
      <c r="M37" s="1273"/>
      <c r="N37" s="1271"/>
      <c r="O37" s="1262"/>
      <c r="P37" s="1262"/>
      <c r="Q37" s="1272"/>
      <c r="R37" s="1262"/>
      <c r="S37" s="1280"/>
    </row>
    <row r="38" spans="2:19" ht="14.25" x14ac:dyDescent="0.15">
      <c r="B38" s="1313" t="s">
        <v>9</v>
      </c>
      <c r="C38" s="1314" t="s">
        <v>682</v>
      </c>
      <c r="D38" s="1314" t="s">
        <v>568</v>
      </c>
      <c r="E38" s="1315">
        <v>90</v>
      </c>
      <c r="F38" s="1314" t="s">
        <v>653</v>
      </c>
      <c r="G38" s="1315">
        <v>585</v>
      </c>
      <c r="H38" s="1276" t="s">
        <v>9</v>
      </c>
      <c r="I38" s="1274" t="s">
        <v>682</v>
      </c>
      <c r="J38" s="1274" t="s">
        <v>710</v>
      </c>
      <c r="K38" s="1275">
        <v>140</v>
      </c>
      <c r="L38" s="1274" t="s">
        <v>653</v>
      </c>
      <c r="M38" s="1277">
        <v>610</v>
      </c>
      <c r="N38" s="1276" t="s">
        <v>9</v>
      </c>
      <c r="O38" s="1274" t="s">
        <v>682</v>
      </c>
      <c r="P38" s="1274" t="s">
        <v>710</v>
      </c>
      <c r="Q38" s="1275">
        <v>140</v>
      </c>
      <c r="R38" s="1274" t="s">
        <v>653</v>
      </c>
      <c r="S38" s="1277">
        <v>610</v>
      </c>
    </row>
    <row r="39" spans="2:19" ht="27" x14ac:dyDescent="0.15">
      <c r="B39" s="1317"/>
      <c r="C39" s="1447" t="s">
        <v>674</v>
      </c>
      <c r="D39" s="1307" t="s">
        <v>683</v>
      </c>
      <c r="E39" s="1308">
        <v>100</v>
      </c>
      <c r="F39" s="1307" t="s">
        <v>654</v>
      </c>
      <c r="G39" s="1308">
        <v>685</v>
      </c>
      <c r="H39" s="1264"/>
      <c r="I39" s="1265"/>
      <c r="J39" s="1265" t="s">
        <v>572</v>
      </c>
      <c r="K39" s="1266">
        <v>250</v>
      </c>
      <c r="L39" s="1265" t="s">
        <v>576</v>
      </c>
      <c r="M39" s="1278">
        <v>710</v>
      </c>
      <c r="N39" s="1264"/>
      <c r="O39" s="1265"/>
      <c r="P39" s="1265" t="s">
        <v>572</v>
      </c>
      <c r="Q39" s="1266">
        <v>250</v>
      </c>
      <c r="R39" s="1265" t="s">
        <v>576</v>
      </c>
      <c r="S39" s="1278">
        <v>710</v>
      </c>
    </row>
    <row r="40" spans="2:19" ht="14.25" x14ac:dyDescent="0.15">
      <c r="B40" s="1317"/>
      <c r="C40" s="1307"/>
      <c r="D40" s="1307" t="s">
        <v>684</v>
      </c>
      <c r="E40" s="1308">
        <v>125</v>
      </c>
      <c r="F40" s="1307" t="s">
        <v>575</v>
      </c>
      <c r="G40" s="1308">
        <v>715</v>
      </c>
      <c r="H40" s="1271"/>
      <c r="I40" s="1271"/>
      <c r="J40" s="1271"/>
      <c r="K40" s="1271"/>
      <c r="L40" s="1271"/>
      <c r="M40" s="1293"/>
      <c r="N40" s="1271"/>
      <c r="O40" s="1271"/>
      <c r="P40" s="1271"/>
      <c r="Q40" s="1271"/>
      <c r="R40" s="1271"/>
      <c r="S40" s="1293"/>
    </row>
    <row r="41" spans="2:19" ht="14.25" x14ac:dyDescent="0.15">
      <c r="B41" s="1317"/>
      <c r="C41" s="1307"/>
      <c r="D41" s="1307" t="s">
        <v>685</v>
      </c>
      <c r="E41" s="1308">
        <v>190</v>
      </c>
      <c r="F41" s="1307"/>
      <c r="G41" s="1324"/>
      <c r="H41" s="1271"/>
      <c r="I41" s="1271"/>
      <c r="J41" s="1271"/>
      <c r="K41" s="1271"/>
      <c r="L41" s="1271"/>
      <c r="M41" s="1293"/>
      <c r="N41" s="1271"/>
      <c r="O41" s="1271"/>
      <c r="P41" s="1271"/>
      <c r="Q41" s="1271"/>
      <c r="R41" s="1271"/>
      <c r="S41" s="1293"/>
    </row>
    <row r="42" spans="2:19" ht="14.25" x14ac:dyDescent="0.15">
      <c r="B42" s="1317"/>
      <c r="C42" s="1307"/>
      <c r="D42" s="1307" t="s">
        <v>572</v>
      </c>
      <c r="E42" s="1308">
        <v>225</v>
      </c>
      <c r="F42" s="1307"/>
      <c r="G42" s="1324"/>
      <c r="H42" s="1271"/>
      <c r="I42" s="1271"/>
      <c r="J42" s="1271"/>
      <c r="K42" s="1271"/>
      <c r="L42" s="1271"/>
      <c r="M42" s="1293"/>
      <c r="N42" s="1271"/>
      <c r="O42" s="1271"/>
      <c r="P42" s="1271"/>
      <c r="Q42" s="1271"/>
      <c r="R42" s="1271"/>
      <c r="S42" s="1293"/>
    </row>
    <row r="43" spans="2:19" ht="14.25" x14ac:dyDescent="0.15">
      <c r="B43" s="1319"/>
      <c r="C43" s="1310"/>
      <c r="D43" s="1327"/>
      <c r="E43" s="1311"/>
      <c r="F43" s="1310"/>
      <c r="G43" s="1312"/>
      <c r="H43" s="1271"/>
      <c r="I43" s="1271"/>
      <c r="J43" s="1271"/>
      <c r="K43" s="1271"/>
      <c r="L43" s="1271"/>
      <c r="M43" s="1293"/>
      <c r="N43" s="1271"/>
      <c r="O43" s="1271"/>
      <c r="P43" s="1271"/>
      <c r="Q43" s="1271"/>
      <c r="R43" s="1271"/>
      <c r="S43" s="1293"/>
    </row>
    <row r="44" spans="2:19" ht="14.25" x14ac:dyDescent="0.15">
      <c r="B44" s="1317" t="s">
        <v>11</v>
      </c>
      <c r="C44" s="1307" t="s">
        <v>652</v>
      </c>
      <c r="D44" s="1307" t="s">
        <v>568</v>
      </c>
      <c r="E44" s="1308">
        <v>80</v>
      </c>
      <c r="F44" s="1307" t="s">
        <v>653</v>
      </c>
      <c r="G44" s="1308">
        <v>575</v>
      </c>
      <c r="H44" s="1271"/>
      <c r="I44" s="1262"/>
      <c r="J44" s="1262"/>
      <c r="K44" s="1272"/>
      <c r="L44" s="1262"/>
      <c r="M44" s="1280"/>
      <c r="N44" s="1271"/>
      <c r="O44" s="1262"/>
      <c r="P44" s="1262"/>
      <c r="Q44" s="1272"/>
      <c r="R44" s="1262"/>
      <c r="S44" s="1280"/>
    </row>
    <row r="45" spans="2:19" ht="14.25" x14ac:dyDescent="0.15">
      <c r="B45" s="1317"/>
      <c r="C45" s="1307" t="s">
        <v>686</v>
      </c>
      <c r="D45" s="1307" t="s">
        <v>683</v>
      </c>
      <c r="E45" s="1308">
        <v>95</v>
      </c>
      <c r="F45" s="1307" t="s">
        <v>654</v>
      </c>
      <c r="G45" s="1308">
        <v>670</v>
      </c>
      <c r="H45" s="1271"/>
      <c r="I45" s="1262"/>
      <c r="J45" s="1262"/>
      <c r="K45" s="1272"/>
      <c r="L45" s="1262"/>
      <c r="M45" s="1280"/>
      <c r="N45" s="1271"/>
      <c r="O45" s="1262"/>
      <c r="P45" s="1262"/>
      <c r="Q45" s="1272"/>
      <c r="R45" s="1262"/>
      <c r="S45" s="1280"/>
    </row>
    <row r="46" spans="2:19" ht="14.25" x14ac:dyDescent="0.15">
      <c r="B46" s="1317"/>
      <c r="C46" s="1307" t="s">
        <v>687</v>
      </c>
      <c r="D46" s="1307" t="s">
        <v>684</v>
      </c>
      <c r="E46" s="1308">
        <v>120</v>
      </c>
      <c r="F46" s="1307" t="s">
        <v>575</v>
      </c>
      <c r="G46" s="1308">
        <v>700</v>
      </c>
      <c r="H46" s="1271"/>
      <c r="I46" s="1262"/>
      <c r="J46" s="1262"/>
      <c r="K46" s="1272"/>
      <c r="L46" s="1262"/>
      <c r="M46" s="1280"/>
      <c r="N46" s="1271"/>
      <c r="O46" s="1262"/>
      <c r="P46" s="1262"/>
      <c r="Q46" s="1272"/>
      <c r="R46" s="1262"/>
      <c r="S46" s="1280"/>
    </row>
    <row r="47" spans="2:19" ht="14.25" x14ac:dyDescent="0.15">
      <c r="B47" s="1317"/>
      <c r="C47" s="1307"/>
      <c r="D47" s="1307" t="s">
        <v>685</v>
      </c>
      <c r="E47" s="1308">
        <v>175</v>
      </c>
      <c r="F47" s="1307"/>
      <c r="G47" s="1324"/>
      <c r="H47" s="1271"/>
      <c r="I47" s="1262"/>
      <c r="J47" s="1262"/>
      <c r="K47" s="1272"/>
      <c r="L47" s="1262"/>
      <c r="M47" s="1280"/>
      <c r="N47" s="1271"/>
      <c r="O47" s="1262"/>
      <c r="P47" s="1262"/>
      <c r="Q47" s="1272"/>
      <c r="R47" s="1262"/>
      <c r="S47" s="1280"/>
    </row>
    <row r="48" spans="2:19" ht="15" thickBot="1" x14ac:dyDescent="0.2">
      <c r="B48" s="1321"/>
      <c r="C48" s="1322"/>
      <c r="D48" s="1322" t="s">
        <v>572</v>
      </c>
      <c r="E48" s="1323">
        <v>210</v>
      </c>
      <c r="F48" s="1322"/>
      <c r="G48" s="1326"/>
      <c r="H48" s="1294"/>
      <c r="I48" s="1296"/>
      <c r="J48" s="1296"/>
      <c r="K48" s="1297"/>
      <c r="L48" s="1296"/>
      <c r="M48" s="1298"/>
      <c r="N48" s="1294"/>
      <c r="O48" s="1296"/>
      <c r="P48" s="1296"/>
      <c r="Q48" s="1297"/>
      <c r="R48" s="1296"/>
      <c r="S48" s="1298"/>
    </row>
    <row r="49" spans="2:19" ht="14.25" x14ac:dyDescent="0.15">
      <c r="B49" s="1309"/>
      <c r="C49" s="1310"/>
      <c r="D49" s="1310"/>
      <c r="E49" s="1311"/>
      <c r="F49" s="1310"/>
      <c r="G49" s="1312"/>
      <c r="H49" s="1271"/>
      <c r="I49" s="1262"/>
      <c r="J49" s="1262"/>
      <c r="K49" s="1272"/>
      <c r="L49" s="1262"/>
      <c r="M49" s="1273"/>
      <c r="N49" s="1271"/>
      <c r="O49" s="1262"/>
      <c r="P49" s="1262"/>
      <c r="Q49" s="1272"/>
      <c r="R49" s="1262"/>
      <c r="S49" s="1280"/>
    </row>
    <row r="50" spans="2:19" ht="14.25" x14ac:dyDescent="0.15">
      <c r="B50" s="1309"/>
      <c r="C50" s="1310"/>
      <c r="D50" s="1310"/>
      <c r="E50" s="1311"/>
      <c r="F50" s="1310"/>
      <c r="G50" s="1312"/>
      <c r="H50" s="1271"/>
      <c r="I50" s="1262"/>
      <c r="J50" s="1262"/>
      <c r="K50" s="1272"/>
      <c r="L50" s="1262"/>
      <c r="M50" s="1273"/>
      <c r="N50" s="1271"/>
      <c r="O50" s="1262"/>
      <c r="P50" s="1262"/>
      <c r="Q50" s="1272"/>
      <c r="R50" s="1262"/>
      <c r="S50" s="1280"/>
    </row>
    <row r="51" spans="2:19" ht="14.25" x14ac:dyDescent="0.15">
      <c r="B51" s="1306" t="s">
        <v>655</v>
      </c>
      <c r="C51" s="1307" t="s">
        <v>13</v>
      </c>
      <c r="D51" s="1307" t="s">
        <v>656</v>
      </c>
      <c r="E51" s="1308">
        <v>110</v>
      </c>
      <c r="F51" s="1307" t="s">
        <v>634</v>
      </c>
      <c r="G51" s="1308">
        <v>500</v>
      </c>
      <c r="H51" s="1264" t="s">
        <v>655</v>
      </c>
      <c r="I51" s="1265" t="s">
        <v>13</v>
      </c>
      <c r="J51" s="1265" t="s">
        <v>656</v>
      </c>
      <c r="K51" s="1266">
        <v>175</v>
      </c>
      <c r="L51" s="1265" t="s">
        <v>634</v>
      </c>
      <c r="M51" s="1266">
        <v>550</v>
      </c>
      <c r="N51" s="1264" t="s">
        <v>655</v>
      </c>
      <c r="O51" s="1265" t="s">
        <v>13</v>
      </c>
      <c r="P51" s="1265" t="s">
        <v>656</v>
      </c>
      <c r="Q51" s="1266">
        <v>175</v>
      </c>
      <c r="R51" s="1265" t="s">
        <v>634</v>
      </c>
      <c r="S51" s="1278">
        <v>550</v>
      </c>
    </row>
    <row r="52" spans="2:19" ht="14.25" x14ac:dyDescent="0.15">
      <c r="B52" s="1306"/>
      <c r="C52" s="1307"/>
      <c r="D52" s="1328" t="s">
        <v>657</v>
      </c>
      <c r="E52" s="1308">
        <v>215</v>
      </c>
      <c r="F52" s="1307"/>
      <c r="G52" s="1324"/>
      <c r="H52" s="1264"/>
      <c r="I52" s="1265"/>
      <c r="J52" s="1269" t="s">
        <v>657</v>
      </c>
      <c r="K52" s="1266">
        <v>275</v>
      </c>
      <c r="L52" s="1265"/>
      <c r="M52" s="1267"/>
      <c r="N52" s="1264"/>
      <c r="O52" s="1265"/>
      <c r="P52" s="1269" t="s">
        <v>657</v>
      </c>
      <c r="Q52" s="1266">
        <v>275</v>
      </c>
      <c r="R52" s="1265"/>
      <c r="S52" s="1279"/>
    </row>
    <row r="53" spans="2:19" ht="14.25" x14ac:dyDescent="0.15">
      <c r="B53" s="1309"/>
      <c r="C53" s="1310"/>
      <c r="D53" s="1310"/>
      <c r="E53" s="1311"/>
      <c r="F53" s="1310"/>
      <c r="G53" s="1312"/>
      <c r="H53" s="1271"/>
      <c r="I53" s="1262"/>
      <c r="J53" s="1262"/>
      <c r="K53" s="1272"/>
      <c r="L53" s="1262"/>
      <c r="M53" s="1273"/>
      <c r="N53" s="1271"/>
      <c r="O53" s="1262"/>
      <c r="P53" s="1262"/>
      <c r="Q53" s="1272"/>
      <c r="R53" s="1262"/>
      <c r="S53" s="1280"/>
    </row>
    <row r="54" spans="2:19" ht="14.25" x14ac:dyDescent="0.15">
      <c r="B54" s="1306" t="s">
        <v>658</v>
      </c>
      <c r="C54" s="1307" t="s">
        <v>106</v>
      </c>
      <c r="D54" s="1307" t="s">
        <v>646</v>
      </c>
      <c r="E54" s="1308">
        <v>125</v>
      </c>
      <c r="F54" s="1307" t="s">
        <v>634</v>
      </c>
      <c r="G54" s="1308">
        <v>665</v>
      </c>
      <c r="H54" s="1264" t="s">
        <v>658</v>
      </c>
      <c r="I54" s="1265" t="s">
        <v>106</v>
      </c>
      <c r="J54" s="1265" t="s">
        <v>646</v>
      </c>
      <c r="K54" s="1266">
        <v>175</v>
      </c>
      <c r="L54" s="1265" t="s">
        <v>634</v>
      </c>
      <c r="M54" s="1266">
        <v>700</v>
      </c>
      <c r="N54" s="1264" t="s">
        <v>658</v>
      </c>
      <c r="O54" s="1265" t="s">
        <v>106</v>
      </c>
      <c r="P54" s="1265" t="s">
        <v>646</v>
      </c>
      <c r="Q54" s="1266">
        <v>175</v>
      </c>
      <c r="R54" s="1265" t="s">
        <v>634</v>
      </c>
      <c r="S54" s="1278">
        <v>700</v>
      </c>
    </row>
    <row r="55" spans="2:19" ht="14.25" x14ac:dyDescent="0.15">
      <c r="B55" s="1309"/>
      <c r="C55" s="1310"/>
      <c r="D55" s="1310"/>
      <c r="E55" s="1311"/>
      <c r="F55" s="1310"/>
      <c r="G55" s="1312"/>
      <c r="H55" s="1271"/>
      <c r="I55" s="1262"/>
      <c r="J55" s="1262"/>
      <c r="K55" s="1272"/>
      <c r="L55" s="1262"/>
      <c r="M55" s="1273"/>
      <c r="N55" s="1271"/>
      <c r="O55" s="1262"/>
      <c r="P55" s="1262"/>
      <c r="Q55" s="1272"/>
      <c r="R55" s="1262"/>
      <c r="S55" s="1280"/>
    </row>
    <row r="56" spans="2:19" ht="14.25" x14ac:dyDescent="0.15">
      <c r="B56" s="1306" t="s">
        <v>659</v>
      </c>
      <c r="C56" s="1307" t="s">
        <v>660</v>
      </c>
      <c r="D56" s="1307" t="s">
        <v>661</v>
      </c>
      <c r="E56" s="1308">
        <v>70</v>
      </c>
      <c r="F56" s="1307" t="s">
        <v>634</v>
      </c>
      <c r="G56" s="1308">
        <v>500</v>
      </c>
      <c r="H56" s="1264" t="s">
        <v>659</v>
      </c>
      <c r="I56" s="1265" t="s">
        <v>660</v>
      </c>
      <c r="J56" s="1265" t="s">
        <v>661</v>
      </c>
      <c r="K56" s="1266">
        <v>70</v>
      </c>
      <c r="L56" s="1265" t="s">
        <v>634</v>
      </c>
      <c r="M56" s="1266">
        <v>450</v>
      </c>
      <c r="N56" s="1264" t="s">
        <v>659</v>
      </c>
      <c r="O56" s="1265" t="s">
        <v>660</v>
      </c>
      <c r="P56" s="1265" t="s">
        <v>661</v>
      </c>
      <c r="Q56" s="1266">
        <v>70</v>
      </c>
      <c r="R56" s="1265" t="s">
        <v>634</v>
      </c>
      <c r="S56" s="1278">
        <v>450</v>
      </c>
    </row>
    <row r="57" spans="2:19" ht="14.25" x14ac:dyDescent="0.15">
      <c r="B57" s="1306"/>
      <c r="C57" s="1307"/>
      <c r="D57" s="1328" t="s">
        <v>662</v>
      </c>
      <c r="E57" s="1308">
        <v>170</v>
      </c>
      <c r="F57" s="1307"/>
      <c r="G57" s="1324"/>
      <c r="H57" s="1264"/>
      <c r="I57" s="1265"/>
      <c r="J57" s="1269" t="s">
        <v>662</v>
      </c>
      <c r="K57" s="1266">
        <v>170</v>
      </c>
      <c r="L57" s="1265"/>
      <c r="M57" s="1267"/>
      <c r="N57" s="1264"/>
      <c r="O57" s="1265"/>
      <c r="P57" s="1269" t="s">
        <v>662</v>
      </c>
      <c r="Q57" s="1266">
        <v>170</v>
      </c>
      <c r="R57" s="1265"/>
      <c r="S57" s="1279"/>
    </row>
    <row r="58" spans="2:19" ht="14.25" x14ac:dyDescent="0.15">
      <c r="B58" s="1306"/>
      <c r="C58" s="1307"/>
      <c r="D58" s="1328" t="s">
        <v>663</v>
      </c>
      <c r="E58" s="1308">
        <v>200</v>
      </c>
      <c r="F58" s="1307"/>
      <c r="G58" s="1324"/>
      <c r="H58" s="1264"/>
      <c r="I58" s="1265"/>
      <c r="J58" s="1269" t="s">
        <v>663</v>
      </c>
      <c r="K58" s="1266">
        <v>200</v>
      </c>
      <c r="L58" s="1265"/>
      <c r="M58" s="1267"/>
      <c r="N58" s="1264"/>
      <c r="O58" s="1265"/>
      <c r="P58" s="1269" t="s">
        <v>663</v>
      </c>
      <c r="Q58" s="1266">
        <v>200</v>
      </c>
      <c r="R58" s="1265"/>
      <c r="S58" s="1279"/>
    </row>
    <row r="59" spans="2:19" ht="15" thickBot="1" x14ac:dyDescent="0.2">
      <c r="B59" s="1309"/>
      <c r="C59" s="1310"/>
      <c r="D59" s="1310"/>
      <c r="E59" s="1311"/>
      <c r="F59" s="1310"/>
      <c r="G59" s="1312"/>
      <c r="H59" s="1271"/>
      <c r="I59" s="1262"/>
      <c r="J59" s="1262"/>
      <c r="K59" s="1272"/>
      <c r="L59" s="1262"/>
      <c r="M59" s="1273"/>
      <c r="N59" s="1271"/>
      <c r="O59" s="1262"/>
      <c r="P59" s="1262"/>
      <c r="Q59" s="1272"/>
      <c r="R59" s="1262"/>
      <c r="S59" s="1280"/>
    </row>
    <row r="60" spans="2:19" ht="27" x14ac:dyDescent="0.15">
      <c r="B60" s="1313" t="s">
        <v>371</v>
      </c>
      <c r="C60" s="1314" t="s">
        <v>689</v>
      </c>
      <c r="D60" s="1314" t="s">
        <v>688</v>
      </c>
      <c r="E60" s="1315">
        <v>275</v>
      </c>
      <c r="F60" s="1314" t="s">
        <v>634</v>
      </c>
      <c r="G60" s="1315">
        <v>1120</v>
      </c>
      <c r="H60" s="1276" t="s">
        <v>15</v>
      </c>
      <c r="I60" s="1274" t="s">
        <v>689</v>
      </c>
      <c r="J60" s="1274" t="s">
        <v>711</v>
      </c>
      <c r="K60" s="1275">
        <v>200</v>
      </c>
      <c r="L60" s="1274" t="s">
        <v>634</v>
      </c>
      <c r="M60" s="1277">
        <v>1150</v>
      </c>
      <c r="N60" s="1276" t="s">
        <v>15</v>
      </c>
      <c r="O60" s="1370" t="s">
        <v>689</v>
      </c>
      <c r="P60" s="1274" t="s">
        <v>711</v>
      </c>
      <c r="Q60" s="1275">
        <v>200</v>
      </c>
      <c r="R60" s="1274" t="s">
        <v>634</v>
      </c>
      <c r="S60" s="1277">
        <v>1150</v>
      </c>
    </row>
    <row r="61" spans="2:19" ht="14.25" x14ac:dyDescent="0.15">
      <c r="B61" s="1319"/>
      <c r="C61" s="1310"/>
      <c r="D61" s="1310"/>
      <c r="E61" s="1311"/>
      <c r="F61" s="1310"/>
      <c r="G61" s="1312"/>
      <c r="H61" s="1271"/>
      <c r="I61" s="1262"/>
      <c r="J61" s="1262"/>
      <c r="K61" s="1272"/>
      <c r="L61" s="1262"/>
      <c r="M61" s="1280"/>
      <c r="N61" s="1271"/>
      <c r="O61" s="1262"/>
      <c r="P61" s="1262"/>
      <c r="Q61" s="1272"/>
      <c r="R61" s="1262"/>
      <c r="S61" s="1280"/>
    </row>
    <row r="62" spans="2:19" ht="15" thickBot="1" x14ac:dyDescent="0.2">
      <c r="B62" s="1321" t="s">
        <v>370</v>
      </c>
      <c r="C62" s="1329" t="s">
        <v>690</v>
      </c>
      <c r="D62" s="1322" t="s">
        <v>646</v>
      </c>
      <c r="E62" s="1323">
        <v>150</v>
      </c>
      <c r="F62" s="1322" t="s">
        <v>634</v>
      </c>
      <c r="G62" s="1323">
        <v>1120</v>
      </c>
      <c r="H62" s="1283"/>
      <c r="I62" s="1299" t="s">
        <v>712</v>
      </c>
      <c r="J62" s="1281"/>
      <c r="K62" s="1282"/>
      <c r="L62" s="1281"/>
      <c r="M62" s="1284"/>
      <c r="N62" s="1283"/>
      <c r="O62" s="1299" t="s">
        <v>712</v>
      </c>
      <c r="P62" s="1281"/>
      <c r="Q62" s="1282"/>
      <c r="R62" s="1281"/>
      <c r="S62" s="1284"/>
    </row>
    <row r="63" spans="2:19" ht="14.25" x14ac:dyDescent="0.15">
      <c r="B63" s="1309"/>
      <c r="C63" s="1310"/>
      <c r="D63" s="1310"/>
      <c r="E63" s="1311"/>
      <c r="F63" s="1310"/>
      <c r="G63" s="1312"/>
      <c r="H63" s="1271"/>
      <c r="I63" s="1262"/>
      <c r="J63" s="1262"/>
      <c r="K63" s="1272"/>
      <c r="L63" s="1262"/>
      <c r="M63" s="1273"/>
      <c r="N63" s="1271"/>
      <c r="O63" s="1262"/>
      <c r="P63" s="1262"/>
      <c r="Q63" s="1272"/>
      <c r="R63" s="1262"/>
      <c r="S63" s="1280"/>
    </row>
    <row r="64" spans="2:19" ht="14.25" x14ac:dyDescent="0.15">
      <c r="B64" s="1306" t="s">
        <v>16</v>
      </c>
      <c r="C64" s="1307" t="s">
        <v>664</v>
      </c>
      <c r="D64" s="1307" t="s">
        <v>116</v>
      </c>
      <c r="E64" s="1308">
        <v>250</v>
      </c>
      <c r="F64" s="1307" t="s">
        <v>634</v>
      </c>
      <c r="G64" s="1308">
        <v>560</v>
      </c>
      <c r="H64" s="1264" t="s">
        <v>16</v>
      </c>
      <c r="I64" s="1265" t="s">
        <v>664</v>
      </c>
      <c r="J64" s="1265" t="s">
        <v>116</v>
      </c>
      <c r="K64" s="1266">
        <v>350</v>
      </c>
      <c r="L64" s="1265" t="s">
        <v>634</v>
      </c>
      <c r="M64" s="1266">
        <v>600</v>
      </c>
      <c r="N64" s="1264" t="s">
        <v>16</v>
      </c>
      <c r="O64" s="1371" t="s">
        <v>664</v>
      </c>
      <c r="P64" s="1265" t="s">
        <v>116</v>
      </c>
      <c r="Q64" s="1266">
        <v>350</v>
      </c>
      <c r="R64" s="1265" t="s">
        <v>634</v>
      </c>
      <c r="S64" s="1278">
        <v>600</v>
      </c>
    </row>
    <row r="65" spans="2:19" ht="15" thickBot="1" x14ac:dyDescent="0.2">
      <c r="B65" s="1309"/>
      <c r="C65" s="1310"/>
      <c r="D65" s="1310"/>
      <c r="E65" s="1311"/>
      <c r="F65" s="1310"/>
      <c r="G65" s="1312"/>
      <c r="H65" s="1271"/>
      <c r="I65" s="1262"/>
      <c r="J65" s="1262"/>
      <c r="K65" s="1272"/>
      <c r="L65" s="1262"/>
      <c r="M65" s="1273"/>
      <c r="N65" s="1271"/>
      <c r="O65" s="1262"/>
      <c r="P65" s="1262"/>
      <c r="Q65" s="1272"/>
      <c r="R65" s="1262"/>
      <c r="S65" s="1280"/>
    </row>
    <row r="66" spans="2:19" ht="14.25" x14ac:dyDescent="0.15">
      <c r="B66" s="1317" t="s">
        <v>665</v>
      </c>
      <c r="C66" s="1307" t="s">
        <v>693</v>
      </c>
      <c r="D66" s="1307" t="s">
        <v>116</v>
      </c>
      <c r="E66" s="1308">
        <v>265</v>
      </c>
      <c r="F66" s="1339" t="s">
        <v>691</v>
      </c>
      <c r="G66" s="1308">
        <v>735</v>
      </c>
      <c r="H66" s="1264" t="s">
        <v>665</v>
      </c>
      <c r="I66" s="1265" t="s">
        <v>682</v>
      </c>
      <c r="J66" s="1265" t="s">
        <v>116</v>
      </c>
      <c r="K66" s="1266">
        <v>350</v>
      </c>
      <c r="L66" s="1265" t="s">
        <v>634</v>
      </c>
      <c r="M66" s="1278">
        <v>740</v>
      </c>
      <c r="N66" s="1276" t="s">
        <v>665</v>
      </c>
      <c r="O66" s="1274" t="s">
        <v>682</v>
      </c>
      <c r="P66" s="1274" t="s">
        <v>116</v>
      </c>
      <c r="Q66" s="1275">
        <v>350</v>
      </c>
      <c r="R66" s="1274" t="s">
        <v>634</v>
      </c>
      <c r="S66" s="1277">
        <v>740</v>
      </c>
    </row>
    <row r="67" spans="2:19" ht="14.25" x14ac:dyDescent="0.15">
      <c r="B67" s="1317"/>
      <c r="C67" s="1307" t="s">
        <v>694</v>
      </c>
      <c r="D67" s="1307"/>
      <c r="E67" s="1308"/>
      <c r="F67" s="1307" t="s">
        <v>692</v>
      </c>
      <c r="G67" s="1340">
        <v>760</v>
      </c>
      <c r="H67" s="1271"/>
      <c r="I67" s="1262"/>
      <c r="J67" s="1262"/>
      <c r="K67" s="1272"/>
      <c r="L67" s="1262"/>
      <c r="M67" s="1280"/>
      <c r="N67" s="1271"/>
      <c r="O67" s="1262"/>
      <c r="P67" s="1262"/>
      <c r="Q67" s="1272"/>
      <c r="R67" s="1262"/>
      <c r="S67" s="1280"/>
    </row>
    <row r="68" spans="2:19" ht="14.25" x14ac:dyDescent="0.15">
      <c r="B68" s="1319"/>
      <c r="C68" s="1310"/>
      <c r="D68" s="1310"/>
      <c r="E68" s="1310"/>
      <c r="F68" s="1310"/>
      <c r="G68" s="1310"/>
      <c r="H68" s="1262"/>
      <c r="I68" s="1262"/>
      <c r="J68" s="1262"/>
      <c r="K68" s="1262"/>
      <c r="L68" s="1262"/>
      <c r="M68" s="1303"/>
      <c r="N68" s="1271"/>
      <c r="O68" s="1262"/>
      <c r="P68" s="1262"/>
      <c r="Q68" s="1272"/>
      <c r="R68" s="1262"/>
      <c r="S68" s="1280"/>
    </row>
    <row r="69" spans="2:19" ht="14.25" x14ac:dyDescent="0.15">
      <c r="B69" s="1317"/>
      <c r="C69" s="1330" t="s">
        <v>621</v>
      </c>
      <c r="D69" s="1307" t="s">
        <v>116</v>
      </c>
      <c r="E69" s="1308">
        <v>275</v>
      </c>
      <c r="F69" s="1307" t="s">
        <v>634</v>
      </c>
      <c r="G69" s="1308">
        <v>660</v>
      </c>
      <c r="H69" s="1264"/>
      <c r="I69" s="1160" t="s">
        <v>621</v>
      </c>
      <c r="J69" s="1265" t="s">
        <v>116</v>
      </c>
      <c r="K69" s="1266">
        <v>350</v>
      </c>
      <c r="L69" s="1265" t="s">
        <v>634</v>
      </c>
      <c r="M69" s="1278">
        <v>700</v>
      </c>
      <c r="N69" s="1271"/>
      <c r="O69" s="1160" t="s">
        <v>621</v>
      </c>
      <c r="P69" s="1265" t="s">
        <v>116</v>
      </c>
      <c r="Q69" s="1266">
        <v>350</v>
      </c>
      <c r="R69" s="1265" t="s">
        <v>634</v>
      </c>
      <c r="S69" s="1278">
        <v>700</v>
      </c>
    </row>
    <row r="70" spans="2:19" ht="27.75" thickBot="1" x14ac:dyDescent="0.2">
      <c r="B70" s="1321"/>
      <c r="C70" s="1331" t="s">
        <v>622</v>
      </c>
      <c r="D70" s="1322" t="s">
        <v>116</v>
      </c>
      <c r="E70" s="1323">
        <v>275</v>
      </c>
      <c r="F70" s="1322" t="s">
        <v>634</v>
      </c>
      <c r="G70" s="1323">
        <v>700</v>
      </c>
      <c r="H70" s="1283"/>
      <c r="I70" s="1292" t="s">
        <v>622</v>
      </c>
      <c r="J70" s="1281" t="s">
        <v>116</v>
      </c>
      <c r="K70" s="1282">
        <v>350</v>
      </c>
      <c r="L70" s="1281" t="s">
        <v>634</v>
      </c>
      <c r="M70" s="1285">
        <v>700</v>
      </c>
      <c r="N70" s="1271"/>
      <c r="O70" s="1372" t="s">
        <v>622</v>
      </c>
      <c r="P70" s="1281" t="s">
        <v>116</v>
      </c>
      <c r="Q70" s="1282">
        <v>350</v>
      </c>
      <c r="R70" s="1281" t="s">
        <v>634</v>
      </c>
      <c r="S70" s="1285">
        <v>700</v>
      </c>
    </row>
    <row r="71" spans="2:19" ht="15" thickBot="1" x14ac:dyDescent="0.2">
      <c r="B71" s="1309"/>
      <c r="C71" s="1310"/>
      <c r="D71" s="1310"/>
      <c r="E71" s="1311"/>
      <c r="F71" s="1310"/>
      <c r="G71" s="1312"/>
      <c r="H71" s="1271"/>
      <c r="I71" s="1262"/>
      <c r="J71" s="1262"/>
      <c r="K71" s="1272"/>
      <c r="L71" s="1262"/>
      <c r="M71" s="1273"/>
      <c r="N71" s="1264"/>
      <c r="O71" s="1160"/>
      <c r="P71" s="1265"/>
      <c r="Q71" s="1266"/>
      <c r="R71" s="1265"/>
      <c r="S71" s="1278"/>
    </row>
    <row r="72" spans="2:19" ht="14.25" x14ac:dyDescent="0.15">
      <c r="B72" s="1317" t="s">
        <v>133</v>
      </c>
      <c r="C72" s="1307" t="s">
        <v>695</v>
      </c>
      <c r="D72" s="1307" t="s">
        <v>116</v>
      </c>
      <c r="E72" s="1308">
        <v>290</v>
      </c>
      <c r="F72" s="1307" t="s">
        <v>696</v>
      </c>
      <c r="G72" s="1308">
        <v>905.00000000000011</v>
      </c>
      <c r="H72" s="1264" t="s">
        <v>666</v>
      </c>
      <c r="I72" s="1265" t="s">
        <v>648</v>
      </c>
      <c r="J72" s="1265" t="s">
        <v>116</v>
      </c>
      <c r="K72" s="1266">
        <v>375</v>
      </c>
      <c r="L72" s="1265" t="s">
        <v>634</v>
      </c>
      <c r="M72" s="1278">
        <v>925</v>
      </c>
      <c r="N72" s="1276" t="s">
        <v>666</v>
      </c>
      <c r="O72" s="1274" t="s">
        <v>648</v>
      </c>
      <c r="P72" s="1274" t="s">
        <v>116</v>
      </c>
      <c r="Q72" s="1275">
        <v>375</v>
      </c>
      <c r="R72" s="1274" t="s">
        <v>634</v>
      </c>
      <c r="S72" s="1277">
        <v>925</v>
      </c>
    </row>
    <row r="73" spans="2:19" ht="15" thickBot="1" x14ac:dyDescent="0.2">
      <c r="B73" s="1321"/>
      <c r="C73" s="1322" t="s">
        <v>694</v>
      </c>
      <c r="D73" s="1322"/>
      <c r="E73" s="1323"/>
      <c r="F73" s="1322" t="s">
        <v>697</v>
      </c>
      <c r="G73" s="1323">
        <v>915</v>
      </c>
      <c r="H73" s="1294"/>
      <c r="I73" s="1296"/>
      <c r="J73" s="1296"/>
      <c r="K73" s="1297"/>
      <c r="L73" s="1296"/>
      <c r="M73" s="1298"/>
      <c r="N73" s="1283"/>
      <c r="O73" s="1292"/>
      <c r="P73" s="1281"/>
      <c r="Q73" s="1282"/>
      <c r="R73" s="1281"/>
      <c r="S73" s="1285"/>
    </row>
    <row r="74" spans="2:19" ht="15" thickBot="1" x14ac:dyDescent="0.2">
      <c r="B74" s="1309"/>
      <c r="C74" s="1310"/>
      <c r="D74" s="1310"/>
      <c r="E74" s="1311"/>
      <c r="F74" s="1310"/>
      <c r="G74" s="1312"/>
      <c r="H74" s="1271"/>
      <c r="I74" s="1262"/>
      <c r="J74" s="1262"/>
      <c r="K74" s="1272"/>
      <c r="L74" s="1262"/>
      <c r="M74" s="1273"/>
      <c r="N74" s="1271"/>
      <c r="O74" s="1262"/>
      <c r="P74" s="1262"/>
      <c r="Q74" s="1272"/>
      <c r="R74" s="1262"/>
      <c r="S74" s="1280"/>
    </row>
    <row r="75" spans="2:19" ht="14.25" x14ac:dyDescent="0.15">
      <c r="B75" s="1313" t="s">
        <v>331</v>
      </c>
      <c r="C75" s="1314" t="s">
        <v>667</v>
      </c>
      <c r="D75" s="1314" t="s">
        <v>116</v>
      </c>
      <c r="E75" s="1315">
        <v>260</v>
      </c>
      <c r="F75" s="1314" t="s">
        <v>691</v>
      </c>
      <c r="G75" s="1315">
        <v>720</v>
      </c>
      <c r="H75" s="1276" t="s">
        <v>331</v>
      </c>
      <c r="I75" s="1274" t="s">
        <v>667</v>
      </c>
      <c r="J75" s="1274" t="s">
        <v>116</v>
      </c>
      <c r="K75" s="1275">
        <v>300</v>
      </c>
      <c r="L75" s="1274" t="s">
        <v>634</v>
      </c>
      <c r="M75" s="1277">
        <v>750</v>
      </c>
      <c r="N75" s="1276" t="s">
        <v>331</v>
      </c>
      <c r="O75" s="1274" t="s">
        <v>667</v>
      </c>
      <c r="P75" s="1274" t="s">
        <v>116</v>
      </c>
      <c r="Q75" s="1275">
        <v>300</v>
      </c>
      <c r="R75" s="1274" t="s">
        <v>634</v>
      </c>
      <c r="S75" s="1277">
        <v>750</v>
      </c>
    </row>
    <row r="76" spans="2:19" ht="27" x14ac:dyDescent="0.15">
      <c r="B76" s="1317"/>
      <c r="C76" s="1307" t="s">
        <v>668</v>
      </c>
      <c r="D76" s="1307"/>
      <c r="E76" s="1308"/>
      <c r="F76" s="1307" t="s">
        <v>692</v>
      </c>
      <c r="G76" s="1308">
        <v>760</v>
      </c>
      <c r="H76" s="1264"/>
      <c r="I76" s="1265" t="s">
        <v>668</v>
      </c>
      <c r="J76" s="1265"/>
      <c r="K76" s="1266"/>
      <c r="L76" s="1265"/>
      <c r="M76" s="1279"/>
      <c r="N76" s="1264"/>
      <c r="O76" s="1371" t="s">
        <v>668</v>
      </c>
      <c r="P76" s="1265"/>
      <c r="Q76" s="1266"/>
      <c r="R76" s="1265"/>
      <c r="S76" s="1279"/>
    </row>
    <row r="77" spans="2:19" ht="14.25" x14ac:dyDescent="0.15">
      <c r="B77" s="1319"/>
      <c r="C77" s="1310"/>
      <c r="D77" s="1310"/>
      <c r="E77" s="1311"/>
      <c r="F77" s="1310"/>
      <c r="G77" s="1312"/>
      <c r="H77" s="1271"/>
      <c r="I77" s="1262"/>
      <c r="J77" s="1262"/>
      <c r="K77" s="1272"/>
      <c r="L77" s="1262"/>
      <c r="M77" s="1280"/>
      <c r="N77" s="1271"/>
      <c r="O77" s="1262"/>
      <c r="P77" s="1262"/>
      <c r="Q77" s="1272"/>
      <c r="R77" s="1262"/>
      <c r="S77" s="1280"/>
    </row>
    <row r="78" spans="2:19" ht="14.25" x14ac:dyDescent="0.15">
      <c r="B78" s="1317" t="s">
        <v>332</v>
      </c>
      <c r="C78" s="1307" t="s">
        <v>669</v>
      </c>
      <c r="D78" s="1307" t="s">
        <v>116</v>
      </c>
      <c r="E78" s="1308">
        <v>265</v>
      </c>
      <c r="F78" s="1307" t="s">
        <v>691</v>
      </c>
      <c r="G78" s="1308">
        <v>819.99999999999989</v>
      </c>
      <c r="H78" s="1264" t="s">
        <v>332</v>
      </c>
      <c r="I78" s="1265" t="s">
        <v>669</v>
      </c>
      <c r="J78" s="1265" t="s">
        <v>116</v>
      </c>
      <c r="K78" s="1266">
        <v>350</v>
      </c>
      <c r="L78" s="1265" t="s">
        <v>634</v>
      </c>
      <c r="M78" s="1278">
        <v>850</v>
      </c>
      <c r="N78" s="1264" t="s">
        <v>332</v>
      </c>
      <c r="O78" s="1265" t="s">
        <v>669</v>
      </c>
      <c r="P78" s="1265" t="s">
        <v>116</v>
      </c>
      <c r="Q78" s="1266">
        <v>350</v>
      </c>
      <c r="R78" s="1265" t="s">
        <v>634</v>
      </c>
      <c r="S78" s="1278">
        <v>850</v>
      </c>
    </row>
    <row r="79" spans="2:19" ht="27.75" thickBot="1" x14ac:dyDescent="0.2">
      <c r="B79" s="1321"/>
      <c r="C79" s="1322" t="s">
        <v>670</v>
      </c>
      <c r="D79" s="1322"/>
      <c r="E79" s="1323"/>
      <c r="F79" s="1322" t="s">
        <v>692</v>
      </c>
      <c r="G79" s="1323">
        <v>860</v>
      </c>
      <c r="H79" s="1283"/>
      <c r="I79" s="1281" t="s">
        <v>670</v>
      </c>
      <c r="J79" s="1281"/>
      <c r="K79" s="1282"/>
      <c r="L79" s="1281"/>
      <c r="M79" s="1284"/>
      <c r="N79" s="1283"/>
      <c r="O79" s="1373" t="s">
        <v>670</v>
      </c>
      <c r="P79" s="1281"/>
      <c r="Q79" s="1282"/>
      <c r="R79" s="1281"/>
      <c r="S79" s="1284"/>
    </row>
    <row r="80" spans="2:19" ht="15" thickBot="1" x14ac:dyDescent="0.2">
      <c r="B80" s="1309"/>
      <c r="C80" s="1310"/>
      <c r="D80" s="1310"/>
      <c r="E80" s="1311"/>
      <c r="F80" s="1310"/>
      <c r="G80" s="1312"/>
      <c r="H80" s="1271"/>
      <c r="I80" s="1262"/>
      <c r="J80" s="1262"/>
      <c r="K80" s="1272"/>
      <c r="L80" s="1262"/>
      <c r="M80" s="1273"/>
      <c r="N80" s="1271"/>
      <c r="O80" s="1262"/>
      <c r="P80" s="1262"/>
      <c r="Q80" s="1272"/>
      <c r="R80" s="1262"/>
      <c r="S80" s="1280"/>
    </row>
    <row r="81" spans="2:19" ht="14.25" x14ac:dyDescent="0.15">
      <c r="B81" s="1313" t="s">
        <v>137</v>
      </c>
      <c r="C81" s="1314" t="s">
        <v>671</v>
      </c>
      <c r="D81" s="1314" t="s">
        <v>700</v>
      </c>
      <c r="E81" s="1315">
        <v>1900</v>
      </c>
      <c r="F81" s="1314" t="s">
        <v>634</v>
      </c>
      <c r="G81" s="1315">
        <v>315</v>
      </c>
      <c r="H81" s="1276" t="s">
        <v>633</v>
      </c>
      <c r="I81" s="1274" t="s">
        <v>713</v>
      </c>
      <c r="J81" s="1274" t="s">
        <v>714</v>
      </c>
      <c r="K81" s="1275">
        <v>150</v>
      </c>
      <c r="L81" s="1274" t="s">
        <v>634</v>
      </c>
      <c r="M81" s="1277">
        <v>350</v>
      </c>
      <c r="N81" s="1276" t="s">
        <v>633</v>
      </c>
      <c r="O81" s="1274" t="s">
        <v>713</v>
      </c>
      <c r="P81" s="1274" t="s">
        <v>714</v>
      </c>
      <c r="Q81" s="1275">
        <v>150</v>
      </c>
      <c r="R81" s="1274" t="s">
        <v>634</v>
      </c>
      <c r="S81" s="1277">
        <v>350</v>
      </c>
    </row>
    <row r="82" spans="2:19" ht="14.25" x14ac:dyDescent="0.15">
      <c r="B82" s="1317" t="s">
        <v>140</v>
      </c>
      <c r="C82" s="1307" t="s">
        <v>698</v>
      </c>
      <c r="D82" s="1307" t="s">
        <v>82</v>
      </c>
      <c r="E82" s="1308">
        <v>110</v>
      </c>
      <c r="F82" s="1307" t="s">
        <v>634</v>
      </c>
      <c r="G82" s="1308">
        <v>315</v>
      </c>
      <c r="H82" s="1271"/>
      <c r="I82" s="1262"/>
      <c r="J82" s="1262"/>
      <c r="K82" s="1272"/>
      <c r="L82" s="1262"/>
      <c r="M82" s="1280"/>
      <c r="N82" s="1264"/>
      <c r="O82" s="1265"/>
      <c r="P82" s="1265"/>
      <c r="Q82" s="1266"/>
      <c r="R82" s="1265"/>
      <c r="S82" s="1279"/>
    </row>
    <row r="83" spans="2:19" ht="15" thickBot="1" x14ac:dyDescent="0.2">
      <c r="B83" s="1321" t="s">
        <v>179</v>
      </c>
      <c r="C83" s="1322" t="s">
        <v>699</v>
      </c>
      <c r="D83" s="1322" t="s">
        <v>82</v>
      </c>
      <c r="E83" s="1323">
        <v>90</v>
      </c>
      <c r="F83" s="1322" t="s">
        <v>634</v>
      </c>
      <c r="G83" s="1323">
        <v>315</v>
      </c>
      <c r="H83" s="1294"/>
      <c r="I83" s="1296"/>
      <c r="J83" s="1296"/>
      <c r="K83" s="1297"/>
      <c r="L83" s="1296"/>
      <c r="M83" s="1298"/>
      <c r="N83" s="1271"/>
      <c r="O83" s="1262"/>
      <c r="P83" s="1262"/>
      <c r="Q83" s="1272"/>
      <c r="R83" s="1262"/>
      <c r="S83" s="1280"/>
    </row>
    <row r="84" spans="2:19" ht="15" thickBot="1" x14ac:dyDescent="0.2">
      <c r="B84" s="1309"/>
      <c r="C84" s="1310"/>
      <c r="D84" s="1310"/>
      <c r="E84" s="1311"/>
      <c r="F84" s="1310"/>
      <c r="G84" s="1311"/>
      <c r="H84" s="1271"/>
      <c r="I84" s="1262"/>
      <c r="J84" s="1262"/>
      <c r="K84" s="1272"/>
      <c r="L84" s="1262"/>
      <c r="M84" s="1273"/>
      <c r="S84" s="1377"/>
    </row>
    <row r="85" spans="2:19" ht="14.25" x14ac:dyDescent="0.15">
      <c r="B85" s="1313"/>
      <c r="C85" s="1314"/>
      <c r="D85" s="1314"/>
      <c r="E85" s="1315"/>
      <c r="F85" s="1314"/>
      <c r="G85" s="1332"/>
      <c r="H85" s="1300" t="s">
        <v>716</v>
      </c>
      <c r="I85" s="1274"/>
      <c r="J85" s="1274"/>
      <c r="K85" s="1275"/>
      <c r="L85" s="1274"/>
      <c r="M85" s="1287"/>
      <c r="N85" s="1300" t="s">
        <v>716</v>
      </c>
      <c r="O85" s="1274"/>
      <c r="P85" s="1274"/>
      <c r="Q85" s="1275"/>
      <c r="R85" s="1274"/>
      <c r="S85" s="1287"/>
    </row>
    <row r="86" spans="2:19" ht="15" thickBot="1" x14ac:dyDescent="0.2">
      <c r="B86" s="1333" t="s">
        <v>143</v>
      </c>
      <c r="C86" s="1322" t="s">
        <v>672</v>
      </c>
      <c r="D86" s="1322" t="s">
        <v>700</v>
      </c>
      <c r="E86" s="1323">
        <v>1960</v>
      </c>
      <c r="F86" s="1322" t="s">
        <v>634</v>
      </c>
      <c r="G86" s="1323">
        <v>515</v>
      </c>
      <c r="H86" s="1288" t="s">
        <v>635</v>
      </c>
      <c r="I86" s="1281" t="s">
        <v>672</v>
      </c>
      <c r="J86" s="1281" t="s">
        <v>714</v>
      </c>
      <c r="K86" s="1282">
        <v>150</v>
      </c>
      <c r="L86" s="1281" t="s">
        <v>634</v>
      </c>
      <c r="M86" s="1285">
        <v>550</v>
      </c>
      <c r="N86" s="1288" t="s">
        <v>635</v>
      </c>
      <c r="O86" s="1373" t="s">
        <v>672</v>
      </c>
      <c r="P86" s="1281" t="s">
        <v>714</v>
      </c>
      <c r="Q86" s="1282">
        <v>150</v>
      </c>
      <c r="R86" s="1281" t="s">
        <v>634</v>
      </c>
      <c r="S86" s="1285">
        <v>550</v>
      </c>
    </row>
    <row r="87" spans="2:19" ht="14.25" x14ac:dyDescent="0.15">
      <c r="B87" s="1334"/>
      <c r="C87" s="1310"/>
      <c r="D87" s="1310"/>
      <c r="E87" s="1311"/>
      <c r="F87" s="1310"/>
      <c r="G87" s="1312"/>
      <c r="H87" s="1271"/>
      <c r="I87" s="1262"/>
      <c r="J87" s="1262"/>
      <c r="K87" s="1272"/>
      <c r="L87" s="1262"/>
      <c r="M87" s="1273"/>
      <c r="S87" s="1377"/>
    </row>
    <row r="88" spans="2:19" ht="14.25" x14ac:dyDescent="0.15">
      <c r="B88" s="1335" t="s">
        <v>312</v>
      </c>
      <c r="C88" s="1307" t="s">
        <v>673</v>
      </c>
      <c r="D88" s="1307" t="s">
        <v>116</v>
      </c>
      <c r="E88" s="1308">
        <v>175</v>
      </c>
      <c r="F88" s="1307" t="s">
        <v>634</v>
      </c>
      <c r="G88" s="1308">
        <v>705</v>
      </c>
      <c r="H88" s="1264" t="s">
        <v>312</v>
      </c>
      <c r="I88" s="1265" t="s">
        <v>673</v>
      </c>
      <c r="J88" s="1265" t="s">
        <v>116</v>
      </c>
      <c r="K88" s="1266">
        <v>300</v>
      </c>
      <c r="L88" s="1265" t="s">
        <v>634</v>
      </c>
      <c r="M88" s="1266">
        <v>725</v>
      </c>
      <c r="N88" s="1264" t="s">
        <v>312</v>
      </c>
      <c r="O88" s="1265" t="s">
        <v>673</v>
      </c>
      <c r="P88" s="1265" t="s">
        <v>116</v>
      </c>
      <c r="Q88" s="1266">
        <v>300</v>
      </c>
      <c r="R88" s="1265" t="s">
        <v>634</v>
      </c>
      <c r="S88" s="1278">
        <v>725</v>
      </c>
    </row>
    <row r="89" spans="2:19" ht="15" thickBot="1" x14ac:dyDescent="0.2">
      <c r="B89" s="1334"/>
      <c r="C89" s="1310"/>
      <c r="D89" s="1310"/>
      <c r="E89" s="1311"/>
      <c r="F89" s="1310"/>
      <c r="G89" s="1312"/>
      <c r="H89" s="1271"/>
      <c r="I89" s="1262"/>
      <c r="J89" s="1262"/>
      <c r="K89" s="1272"/>
      <c r="L89" s="1262"/>
      <c r="M89" s="1273"/>
      <c r="N89" s="1294"/>
      <c r="O89" s="1296"/>
      <c r="P89" s="1296"/>
      <c r="Q89" s="1297"/>
      <c r="R89" s="1296"/>
      <c r="S89" s="1298"/>
    </row>
    <row r="90" spans="2:19" ht="14.25" x14ac:dyDescent="0.15">
      <c r="B90" s="1335" t="s">
        <v>313</v>
      </c>
      <c r="C90" s="1307" t="s">
        <v>108</v>
      </c>
      <c r="D90" s="1307" t="s">
        <v>82</v>
      </c>
      <c r="E90" s="1308">
        <v>325</v>
      </c>
      <c r="F90" s="1307" t="s">
        <v>634</v>
      </c>
      <c r="G90" s="1308">
        <v>1120</v>
      </c>
      <c r="H90" s="1264" t="s">
        <v>313</v>
      </c>
      <c r="I90" s="1265" t="s">
        <v>108</v>
      </c>
      <c r="J90" s="1265" t="s">
        <v>82</v>
      </c>
      <c r="K90" s="1266">
        <v>400</v>
      </c>
      <c r="L90" s="1265" t="s">
        <v>634</v>
      </c>
      <c r="M90" s="1266">
        <v>1150</v>
      </c>
      <c r="N90" s="1264" t="s">
        <v>313</v>
      </c>
      <c r="O90" s="1265" t="s">
        <v>108</v>
      </c>
      <c r="P90" s="1265" t="s">
        <v>82</v>
      </c>
      <c r="Q90" s="1266">
        <v>400</v>
      </c>
      <c r="R90" s="1265" t="s">
        <v>634</v>
      </c>
      <c r="S90" s="1278">
        <v>1150</v>
      </c>
    </row>
  </sheetData>
  <mergeCells count="4">
    <mergeCell ref="B4:G4"/>
    <mergeCell ref="H4:M4"/>
    <mergeCell ref="N4:S4"/>
    <mergeCell ref="B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14</vt:i4>
      </vt:variant>
      <vt:variant>
        <vt:lpstr>Named Ranges</vt:lpstr>
      </vt:variant>
      <vt:variant>
        <vt:i4>15</vt:i4>
      </vt:variant>
    </vt:vector>
  </HeadingPairs>
  <TitlesOfParts>
    <vt:vector size="29" baseType="lpstr">
      <vt:lpstr>BESCOM D-22(Current Tariff)</vt:lpstr>
      <vt:lpstr>BESCOM D-22(A) KERC (2)</vt:lpstr>
      <vt:lpstr>Abstract</vt:lpstr>
      <vt:lpstr>D-20 </vt:lpstr>
      <vt:lpstr>Sales_FY24</vt:lpstr>
      <vt:lpstr>BESCOM</vt:lpstr>
      <vt:lpstr>BESCOM1</vt:lpstr>
      <vt:lpstr>MESCOM</vt:lpstr>
      <vt:lpstr>Sheet2</vt:lpstr>
      <vt:lpstr>Tariff Comparison (2)</vt:lpstr>
      <vt:lpstr>Urban Rural Impact calculations</vt:lpstr>
      <vt:lpstr>Comparison Ur_Ru</vt:lpstr>
      <vt:lpstr>Equating with BBMP</vt:lpstr>
      <vt:lpstr>Equating with BBMP comparison</vt:lpstr>
      <vt:lpstr>BESCOM!Print_Area</vt:lpstr>
      <vt:lpstr>BESCOM D-22(A) KERC (2)!Print_Area</vt:lpstr>
      <vt:lpstr>BESCOM D-22(Current Tariff)!Print_Area</vt:lpstr>
      <vt:lpstr>Comparison Ur_Ru!Print_Area</vt:lpstr>
      <vt:lpstr>D-20 !Print_Area</vt:lpstr>
      <vt:lpstr>Equating with BBMP comparison!Print_Area</vt:lpstr>
      <vt:lpstr>Tariff Comparison (2)!Print_Area</vt:lpstr>
      <vt:lpstr>Print_Area</vt:lpstr>
      <vt:lpstr>BESCOM!Print_Titles</vt:lpstr>
      <vt:lpstr>BESCOM D-22(Current Tariff)!Print_Titles</vt:lpstr>
      <vt:lpstr>BESCOM1!Print_Titles</vt:lpstr>
      <vt:lpstr>Comparison Ur_Ru!Print_Titles</vt:lpstr>
      <vt:lpstr>D-20 !Print_Titles</vt:lpstr>
      <vt:lpstr>Equating with BBMP comparison!Print_Titles</vt:lpstr>
      <vt:lpstr>Tariff Comparison (2)!Print_Titles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Bescom</dc:creator>
  <cp:lastModifiedBy>acer</cp:lastModifiedBy>
  <cp:lastPrinted>2023-05-20T05:55:48Z</cp:lastPrinted>
  <dcterms:created xsi:type="dcterms:W3CDTF">2009-06-27T09:19:20Z</dcterms:created>
  <dcterms:modified xsi:type="dcterms:W3CDTF">2023-06-01T10:09:15Z</dcterms:modified>
</cp:coreProperties>
</file>