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n490\surfdrive\My research articles\Article 2 multi-hazard analysis\Vulnerability\"/>
    </mc:Choice>
  </mc:AlternateContent>
  <bookViews>
    <workbookView xWindow="0" yWindow="0" windowWidth="23040" windowHeight="9060" activeTab="3"/>
  </bookViews>
  <sheets>
    <sheet name="flooding_curves" sheetId="2" r:id="rId1"/>
    <sheet name="correction_reference_year" sheetId="5" r:id="rId2"/>
    <sheet name="power_points" sheetId="4" r:id="rId3"/>
    <sheet name="Waste" sheetId="6" r:id="rId4"/>
    <sheet name="Transport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7" l="1"/>
  <c r="AB6" i="7"/>
  <c r="Z6" i="7"/>
  <c r="S28" i="7" l="1"/>
  <c r="P28" i="7"/>
  <c r="N28" i="7"/>
  <c r="J28" i="7"/>
  <c r="B4" i="2" l="1"/>
  <c r="AS6" i="2" l="1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5" i="2"/>
  <c r="A6" i="2"/>
  <c r="A4" i="2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B49" i="5"/>
  <c r="B48" i="5"/>
  <c r="B47" i="5"/>
  <c r="A49" i="5"/>
  <c r="A47" i="5" l="1"/>
  <c r="A48" i="5"/>
  <c r="B46" i="5"/>
  <c r="C46" i="5"/>
  <c r="D46" i="5"/>
  <c r="E46" i="5"/>
  <c r="F46" i="5"/>
  <c r="G46" i="5"/>
  <c r="H46" i="5"/>
  <c r="I46" i="5"/>
  <c r="J46" i="5"/>
  <c r="K46" i="5"/>
  <c r="L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46" i="5"/>
  <c r="F29" i="7" l="1"/>
  <c r="F30" i="7"/>
  <c r="F28" i="7"/>
  <c r="D29" i="7"/>
  <c r="E29" i="7"/>
  <c r="D30" i="7"/>
  <c r="E30" i="7"/>
  <c r="E28" i="7"/>
  <c r="D28" i="7"/>
  <c r="X14" i="2"/>
  <c r="X11" i="2"/>
  <c r="X12" i="2"/>
  <c r="X13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10" i="2"/>
  <c r="Y18" i="5"/>
  <c r="Y17" i="5"/>
  <c r="Y16" i="5"/>
  <c r="K18" i="7"/>
  <c r="K17" i="7"/>
  <c r="H17" i="7" l="1"/>
  <c r="N17" i="7" s="1"/>
  <c r="E18" i="7"/>
  <c r="E17" i="7"/>
  <c r="H8" i="7"/>
  <c r="H7" i="7"/>
  <c r="K7" i="7" s="1"/>
  <c r="Q34" i="5" s="1"/>
  <c r="H9" i="7"/>
  <c r="L9" i="7" s="1"/>
  <c r="O9" i="7" s="1"/>
  <c r="H10" i="7"/>
  <c r="E28" i="5"/>
  <c r="E7" i="7"/>
  <c r="E8" i="7"/>
  <c r="E9" i="7"/>
  <c r="E10" i="7"/>
  <c r="E6" i="7"/>
  <c r="G16" i="5"/>
  <c r="E3" i="6"/>
  <c r="H6" i="7" l="1"/>
  <c r="K6" i="7" s="1"/>
  <c r="J29" i="7"/>
  <c r="K30" i="7"/>
  <c r="K29" i="7"/>
  <c r="J30" i="7"/>
  <c r="K28" i="7"/>
  <c r="Y32" i="5"/>
  <c r="H18" i="7"/>
  <c r="N18" i="7" s="1"/>
  <c r="Q12" i="2"/>
  <c r="Q11" i="2"/>
  <c r="Q33" i="5" l="1"/>
  <c r="M7" i="7"/>
  <c r="Y34" i="5"/>
  <c r="Y33" i="5"/>
  <c r="Q28" i="7"/>
  <c r="O28" i="7"/>
  <c r="Q29" i="7"/>
  <c r="O29" i="7"/>
  <c r="O30" i="7"/>
  <c r="Q30" i="7"/>
  <c r="N29" i="7"/>
  <c r="P29" i="7"/>
  <c r="N30" i="7"/>
  <c r="P30" i="7"/>
  <c r="S30" i="7" s="1"/>
  <c r="S29" i="7" l="1"/>
  <c r="S31" i="7" l="1"/>
  <c r="AQ32" i="5"/>
  <c r="AQ34" i="5" s="1"/>
  <c r="AS32" i="5"/>
  <c r="AS33" i="5" s="1"/>
  <c r="AB34" i="5"/>
  <c r="AB33" i="5"/>
  <c r="P34" i="5"/>
  <c r="P16" i="5"/>
  <c r="P32" i="5" s="1"/>
  <c r="O32" i="5"/>
  <c r="O33" i="5" s="1"/>
  <c r="N32" i="5"/>
  <c r="N33" i="5" s="1"/>
  <c r="G32" i="5"/>
  <c r="K32" i="5"/>
  <c r="G34" i="5"/>
  <c r="C34" i="5"/>
  <c r="B33" i="5"/>
  <c r="X18" i="5"/>
  <c r="X17" i="5"/>
  <c r="X16" i="5"/>
  <c r="AD15" i="5"/>
  <c r="AD16" i="5" s="1"/>
  <c r="AE32" i="5" s="1"/>
  <c r="AE33" i="5" s="1"/>
  <c r="AE15" i="5"/>
  <c r="AE16" i="5" s="1"/>
  <c r="AF32" i="5" s="1"/>
  <c r="AF34" i="5" s="1"/>
  <c r="AF15" i="5"/>
  <c r="AF16" i="5" s="1"/>
  <c r="AG32" i="5" s="1"/>
  <c r="AG33" i="5" s="1"/>
  <c r="AG15" i="5"/>
  <c r="AG16" i="5" s="1"/>
  <c r="AH32" i="5" s="1"/>
  <c r="AH34" i="5" s="1"/>
  <c r="AH15" i="5"/>
  <c r="AH16" i="5" s="1"/>
  <c r="AI32" i="5" s="1"/>
  <c r="AI33" i="5" s="1"/>
  <c r="AI15" i="5"/>
  <c r="AI16" i="5" s="1"/>
  <c r="AJ32" i="5" s="1"/>
  <c r="AJ33" i="5" s="1"/>
  <c r="AJ15" i="5"/>
  <c r="AJ16" i="5" s="1"/>
  <c r="AK32" i="5" s="1"/>
  <c r="AK33" i="5" s="1"/>
  <c r="AK15" i="5"/>
  <c r="AK16" i="5" s="1"/>
  <c r="AL32" i="5" s="1"/>
  <c r="AL33" i="5" s="1"/>
  <c r="AL15" i="5"/>
  <c r="AL16" i="5" s="1"/>
  <c r="AM32" i="5" s="1"/>
  <c r="AM33" i="5" s="1"/>
  <c r="AM15" i="5"/>
  <c r="AM16" i="5" s="1"/>
  <c r="AN32" i="5" s="1"/>
  <c r="AN34" i="5" s="1"/>
  <c r="AN15" i="5"/>
  <c r="AN16" i="5" s="1"/>
  <c r="AO32" i="5" s="1"/>
  <c r="AO33" i="5" s="1"/>
  <c r="AO15" i="5"/>
  <c r="AO16" i="5" s="1"/>
  <c r="AP32" i="5" s="1"/>
  <c r="AP34" i="5" s="1"/>
  <c r="AP15" i="5"/>
  <c r="AP16" i="5" s="1"/>
  <c r="AQ15" i="5"/>
  <c r="AQ16" i="5" s="1"/>
  <c r="AR32" i="5" s="1"/>
  <c r="AR34" i="5" s="1"/>
  <c r="AR15" i="5"/>
  <c r="AR16" i="5" s="1"/>
  <c r="AS15" i="5"/>
  <c r="AS16" i="5" s="1"/>
  <c r="AC15" i="5"/>
  <c r="AC16" i="5" s="1"/>
  <c r="AC32" i="5" s="1"/>
  <c r="O15" i="5"/>
  <c r="O16" i="5" s="1"/>
  <c r="N15" i="5"/>
  <c r="N16" i="5" s="1"/>
  <c r="R17" i="5"/>
  <c r="S17" i="5"/>
  <c r="T17" i="5"/>
  <c r="U17" i="5"/>
  <c r="V17" i="5"/>
  <c r="W17" i="5"/>
  <c r="R18" i="5"/>
  <c r="S18" i="5"/>
  <c r="T18" i="5"/>
  <c r="U18" i="5"/>
  <c r="V18" i="5"/>
  <c r="W18" i="5"/>
  <c r="S16" i="5"/>
  <c r="S32" i="5" s="1"/>
  <c r="S33" i="5" s="1"/>
  <c r="T16" i="5"/>
  <c r="T32" i="5" s="1"/>
  <c r="T33" i="5" s="1"/>
  <c r="U16" i="5"/>
  <c r="U32" i="5" s="1"/>
  <c r="U33" i="5" s="1"/>
  <c r="V16" i="5"/>
  <c r="V32" i="5" s="1"/>
  <c r="V34" i="5" s="1"/>
  <c r="W16" i="5"/>
  <c r="W32" i="5" s="1"/>
  <c r="W34" i="5" s="1"/>
  <c r="R16" i="5"/>
  <c r="R32" i="5" s="1"/>
  <c r="R34" i="5" s="1"/>
  <c r="AB16" i="5"/>
  <c r="AB32" i="5" s="1"/>
  <c r="AA16" i="5"/>
  <c r="AA32" i="5" s="1"/>
  <c r="AA34" i="5" s="1"/>
  <c r="P17" i="5"/>
  <c r="P33" i="5" s="1"/>
  <c r="P18" i="5"/>
  <c r="B17" i="5"/>
  <c r="C17" i="5"/>
  <c r="C33" i="5" s="1"/>
  <c r="D17" i="5"/>
  <c r="D33" i="5" s="1"/>
  <c r="E17" i="5"/>
  <c r="E33" i="5" s="1"/>
  <c r="F17" i="5"/>
  <c r="F33" i="5" s="1"/>
  <c r="G17" i="5"/>
  <c r="G33" i="5" s="1"/>
  <c r="K17" i="5"/>
  <c r="K33" i="5" s="1"/>
  <c r="L17" i="5"/>
  <c r="L33" i="5" s="1"/>
  <c r="B18" i="5"/>
  <c r="B34" i="5" s="1"/>
  <c r="C18" i="5"/>
  <c r="D18" i="5"/>
  <c r="D34" i="5" s="1"/>
  <c r="E18" i="5"/>
  <c r="E34" i="5" s="1"/>
  <c r="F18" i="5"/>
  <c r="F34" i="5" s="1"/>
  <c r="G18" i="5"/>
  <c r="K18" i="5"/>
  <c r="K34" i="5" s="1"/>
  <c r="L18" i="5"/>
  <c r="L34" i="5" s="1"/>
  <c r="L16" i="5"/>
  <c r="L32" i="5" s="1"/>
  <c r="K16" i="5"/>
  <c r="J16" i="5"/>
  <c r="J32" i="5" s="1"/>
  <c r="J33" i="5" s="1"/>
  <c r="I16" i="5"/>
  <c r="I32" i="5" s="1"/>
  <c r="I33" i="5" s="1"/>
  <c r="H16" i="5"/>
  <c r="H32" i="5" s="1"/>
  <c r="D16" i="5"/>
  <c r="D32" i="5" s="1"/>
  <c r="C16" i="5"/>
  <c r="C32" i="5" s="1"/>
  <c r="X32" i="5"/>
  <c r="X34" i="5" s="1"/>
  <c r="H5" i="5"/>
  <c r="H18" i="5" s="1"/>
  <c r="H34" i="5" s="1"/>
  <c r="H4" i="5"/>
  <c r="H17" i="5" s="1"/>
  <c r="H33" i="5" s="1"/>
  <c r="F3" i="5"/>
  <c r="E3" i="5"/>
  <c r="B3" i="5"/>
  <c r="N34" i="5" l="1"/>
  <c r="O34" i="5"/>
  <c r="AC34" i="5"/>
  <c r="AC33" i="5"/>
  <c r="AD32" i="5"/>
  <c r="AD33" i="5" s="1"/>
  <c r="I34" i="5"/>
  <c r="J34" i="5"/>
  <c r="F16" i="5"/>
  <c r="F32" i="5" s="1"/>
  <c r="B16" i="5"/>
  <c r="B32" i="5" s="1"/>
  <c r="E16" i="5"/>
  <c r="E32" i="5" s="1"/>
  <c r="W33" i="5"/>
  <c r="AQ33" i="5"/>
  <c r="AI34" i="5"/>
  <c r="AH33" i="5"/>
  <c r="AG34" i="5"/>
  <c r="AP33" i="5"/>
  <c r="AF33" i="5"/>
  <c r="AR33" i="5"/>
  <c r="R33" i="5"/>
  <c r="V33" i="5"/>
  <c r="AJ34" i="5"/>
  <c r="X33" i="5"/>
  <c r="AN33" i="5"/>
  <c r="AO34" i="5"/>
  <c r="AA33" i="5"/>
  <c r="S34" i="5"/>
  <c r="AK34" i="5"/>
  <c r="AS34" i="5"/>
  <c r="T34" i="5"/>
  <c r="AD34" i="5"/>
  <c r="AL34" i="5"/>
  <c r="U34" i="5"/>
  <c r="AE34" i="5"/>
  <c r="AM34" i="5"/>
  <c r="K17" i="4"/>
  <c r="K18" i="4"/>
  <c r="K19" i="4"/>
  <c r="H19" i="4"/>
  <c r="H18" i="4"/>
  <c r="H17" i="4"/>
  <c r="H16" i="4"/>
  <c r="G19" i="4"/>
  <c r="G18" i="4"/>
  <c r="G17" i="4"/>
  <c r="G16" i="4"/>
  <c r="F19" i="4"/>
  <c r="F18" i="4"/>
  <c r="F17" i="4"/>
  <c r="F16" i="4"/>
  <c r="E19" i="4"/>
  <c r="E18" i="4"/>
  <c r="E17" i="4"/>
  <c r="E16" i="4"/>
  <c r="D19" i="4"/>
  <c r="D18" i="4"/>
  <c r="D17" i="4"/>
  <c r="D16" i="4"/>
  <c r="C19" i="4"/>
  <c r="C18" i="4"/>
  <c r="C17" i="4"/>
  <c r="G6" i="4"/>
  <c r="C16" i="4"/>
  <c r="D6" i="4"/>
  <c r="D5" i="4"/>
  <c r="D4" i="4"/>
  <c r="C6" i="4"/>
  <c r="C5" i="4"/>
  <c r="C4" i="4"/>
  <c r="AB11" i="2" l="1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10" i="2"/>
</calcChain>
</file>

<file path=xl/comments1.xml><?xml version="1.0" encoding="utf-8"?>
<comments xmlns="http://schemas.openxmlformats.org/spreadsheetml/2006/main">
  <authors>
    <author>Nirandjan, S.</author>
  </authors>
  <commentList>
    <comment ref="AB15" authorId="0" shapeId="0">
      <text>
        <r>
          <rPr>
            <b/>
            <sz val="9"/>
            <color indexed="81"/>
            <rFont val="Tahoma"/>
            <family val="2"/>
          </rPr>
          <t xml:space="preserve">Nirandjan, S.:for 2018, apply only on maxdam, not ranges
</t>
        </r>
      </text>
    </comment>
  </commentList>
</comments>
</file>

<file path=xl/comments2.xml><?xml version="1.0" encoding="utf-8"?>
<comments xmlns="http://schemas.openxmlformats.org/spreadsheetml/2006/main">
  <authors>
    <author>Nirandjan, S.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Nirandjan, S.:</t>
        </r>
        <r>
          <rPr>
            <sz val="9"/>
            <color indexed="81"/>
            <rFont val="Tahoma"/>
            <charset val="1"/>
          </rPr>
          <t xml:space="preserve">
3000m * kosten per m slaat op kosten per 3000 
m2??
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Nirandjan, S.:</t>
        </r>
        <r>
          <rPr>
            <sz val="9"/>
            <color indexed="81"/>
            <rFont val="Tahoma"/>
            <charset val="1"/>
          </rPr>
          <t xml:space="preserve">
Break down of costs can be found in ETSAP 2011
</t>
        </r>
      </text>
    </comment>
  </commentList>
</comments>
</file>

<file path=xl/sharedStrings.xml><?xml version="1.0" encoding="utf-8"?>
<sst xmlns="http://schemas.openxmlformats.org/spreadsheetml/2006/main" count="613" uniqueCount="183">
  <si>
    <t>cable</t>
  </si>
  <si>
    <t>line</t>
  </si>
  <si>
    <t>reservoir</t>
  </si>
  <si>
    <t>landfill</t>
  </si>
  <si>
    <t>railway</t>
  </si>
  <si>
    <t>primary</t>
  </si>
  <si>
    <t>secondary</t>
  </si>
  <si>
    <t>tertiary</t>
  </si>
  <si>
    <t>doctors</t>
  </si>
  <si>
    <t>hospital</t>
  </si>
  <si>
    <t>dentist</t>
  </si>
  <si>
    <t>pharmacy</t>
  </si>
  <si>
    <t>physiotherapist</t>
  </si>
  <si>
    <t>alternative</t>
  </si>
  <si>
    <t>laboratory</t>
  </si>
  <si>
    <t>optometrist</t>
  </si>
  <si>
    <t>rehabilitation</t>
  </si>
  <si>
    <t>college</t>
  </si>
  <si>
    <t>kindergarten</t>
  </si>
  <si>
    <t>library</t>
  </si>
  <si>
    <t>school</t>
  </si>
  <si>
    <t>university</t>
  </si>
  <si>
    <t>clinic</t>
  </si>
  <si>
    <t>plant</t>
  </si>
  <si>
    <t>substation</t>
  </si>
  <si>
    <t>Infrastructure type</t>
  </si>
  <si>
    <t>n/a</t>
  </si>
  <si>
    <t>Unit</t>
  </si>
  <si>
    <t>MaxDam</t>
  </si>
  <si>
    <t>LowerDam</t>
  </si>
  <si>
    <t>UpperDam</t>
  </si>
  <si>
    <t>Depth (cm)\factor</t>
  </si>
  <si>
    <t>million euro/km</t>
  </si>
  <si>
    <t>Type vulnerability data</t>
  </si>
  <si>
    <t>curve</t>
  </si>
  <si>
    <t>threshold</t>
  </si>
  <si>
    <t>USD/plant</t>
  </si>
  <si>
    <t>USD/station</t>
  </si>
  <si>
    <t>USD/water tower</t>
  </si>
  <si>
    <t>USD/well</t>
  </si>
  <si>
    <t>USD/storage tank</t>
  </si>
  <si>
    <t>USD/water work</t>
  </si>
  <si>
    <t>euro/m2</t>
  </si>
  <si>
    <t>minor_line</t>
  </si>
  <si>
    <t>power_tower</t>
  </si>
  <si>
    <t>power_pole</t>
  </si>
  <si>
    <t>water_tower</t>
  </si>
  <si>
    <t>water_well</t>
  </si>
  <si>
    <t>reservoir_covered</t>
  </si>
  <si>
    <t>water_works</t>
  </si>
  <si>
    <t>waste_transfer_station</t>
  </si>
  <si>
    <t>wastewater_treatment_plant</t>
  </si>
  <si>
    <t>airports</t>
  </si>
  <si>
    <t>birthing_center</t>
  </si>
  <si>
    <t>blood_donation</t>
  </si>
  <si>
    <t>communication_tower</t>
  </si>
  <si>
    <t>mast</t>
  </si>
  <si>
    <t>Year</t>
  </si>
  <si>
    <t>Country</t>
  </si>
  <si>
    <t>USA</t>
  </si>
  <si>
    <t>A/C Transmission – Wood Pole – Single circuit</t>
  </si>
  <si>
    <t>average</t>
  </si>
  <si>
    <t>A/C Transmission – Wood Pole – Double circuit</t>
  </si>
  <si>
    <t>Source: MISO (2021)</t>
  </si>
  <si>
    <t>Construction costs towers</t>
  </si>
  <si>
    <t>tangent structure</t>
  </si>
  <si>
    <t>running angle structure</t>
  </si>
  <si>
    <t>angled deadend structure</t>
  </si>
  <si>
    <t>non-angled deadend structure</t>
  </si>
  <si>
    <t>Construction costs poles - 69 kV</t>
  </si>
  <si>
    <t xml:space="preserve">A/C Transmission – Steel Tower – Single circuit - 69 kV </t>
  </si>
  <si>
    <t xml:space="preserve">A/C Transmission – Steel Tower – Single circuit - 500 kV </t>
  </si>
  <si>
    <t>A/C Transmission – Steel Tower – Double circuit - 69 kV</t>
  </si>
  <si>
    <t>A/C Transmission – Steel Tower – Double circuit - 500 kV</t>
  </si>
  <si>
    <t>HVDC Transmission – Steel Tower – Single circuit - 250kV</t>
  </si>
  <si>
    <t>HVDC Transmission – Steel Tower – Single circuit - 600kV</t>
  </si>
  <si>
    <t>min</t>
  </si>
  <si>
    <t>max</t>
  </si>
  <si>
    <t>USD/tower</t>
  </si>
  <si>
    <t>USD/pole</t>
  </si>
  <si>
    <t>USD/WWTP</t>
  </si>
  <si>
    <t>Global average</t>
  </si>
  <si>
    <t>motorway</t>
  </si>
  <si>
    <t>trunk</t>
  </si>
  <si>
    <t>other</t>
  </si>
  <si>
    <t>Europe</t>
  </si>
  <si>
    <t>Netherlands</t>
  </si>
  <si>
    <t>USD/mast</t>
  </si>
  <si>
    <t>USD/communication tower</t>
  </si>
  <si>
    <t>euro/m</t>
  </si>
  <si>
    <t>Correct to reference year of 2015</t>
  </si>
  <si>
    <t>Upperdam</t>
  </si>
  <si>
    <t>euro/facility</t>
  </si>
  <si>
    <t>Correction unit + 25% range in cases of absent LowerDam and UpperDam</t>
  </si>
  <si>
    <t>USD/mile</t>
  </si>
  <si>
    <t>m</t>
  </si>
  <si>
    <t>1 mile =</t>
  </si>
  <si>
    <t>exchange rates extracted from: https://www.ofx.com/en-gb/forex-news/historical-exchange-rates/yearly-average-rates/</t>
  </si>
  <si>
    <t>Euro to dollar exchange rates (average/year)</t>
  </si>
  <si>
    <t>2018 max.dam. - 2015 for ranges</t>
  </si>
  <si>
    <t>List of constants</t>
  </si>
  <si>
    <t>Inflation rate (%)</t>
  </si>
  <si>
    <t>Source for USA inflation rates: https://www.usinflationcalculator.com/</t>
  </si>
  <si>
    <t>Source for global average: https://www.macrotrends.net/countries/WLD/world/inflation-rate-cpi</t>
  </si>
  <si>
    <t>Source for Netherlands: https://inflatie.info/?amount=1&amp;currency=0&amp;year-from=2000&amp;year-to=2015</t>
  </si>
  <si>
    <t>Source for Austria: https://www.worlddata.info/europe/austria/inflation-rates.php</t>
  </si>
  <si>
    <t>//</t>
  </si>
  <si>
    <t>STEP 1</t>
  </si>
  <si>
    <t>STEP 2</t>
  </si>
  <si>
    <t>Misschien toch aanpassen naar zelfde vulnerability curve for lines --&gt; in FEMA zeggen ze wel iets over cables (p360)</t>
  </si>
  <si>
    <t>Tebodin, 1998. Waste systems</t>
  </si>
  <si>
    <t>gulden/ha</t>
  </si>
  <si>
    <t>euro/ha</t>
  </si>
  <si>
    <t>inundatie</t>
  </si>
  <si>
    <t>Huizinga et al., 2017</t>
  </si>
  <si>
    <t>Damage factor</t>
  </si>
  <si>
    <t>Carruthers, 2013</t>
  </si>
  <si>
    <t>Reference year</t>
  </si>
  <si>
    <t>Railway single track, 25t axle load, diesel</t>
  </si>
  <si>
    <t>Railway single track, 25t axle load, electrified</t>
  </si>
  <si>
    <t>usd/km</t>
  </si>
  <si>
    <t>Railway signalling</t>
  </si>
  <si>
    <t>Airport terminal</t>
  </si>
  <si>
    <t>usd/m2</t>
  </si>
  <si>
    <t>usd/m</t>
  </si>
  <si>
    <t>Airport runway, 3000m</t>
  </si>
  <si>
    <t>Inflation rate</t>
  </si>
  <si>
    <t>unit correction</t>
  </si>
  <si>
    <t>correction for reference year</t>
  </si>
  <si>
    <t xml:space="preserve">airport runway </t>
  </si>
  <si>
    <t>euro/3000m2</t>
  </si>
  <si>
    <t>Overview of unit costs for new infrastructure</t>
  </si>
  <si>
    <t>Overview of unit costs for upgrading infrastructure</t>
  </si>
  <si>
    <t>Railway axle load to 25 tons</t>
  </si>
  <si>
    <t>Non-electrified to electrified railway</t>
  </si>
  <si>
    <t>Single track to double track diesel</t>
  </si>
  <si>
    <t>1,524 paved runway to 3,000 m runway</t>
  </si>
  <si>
    <t>1,000 paved runway to 1,524 m runway</t>
  </si>
  <si>
    <t>Gravel runway to paved runway</t>
  </si>
  <si>
    <t>usd/per linear m</t>
  </si>
  <si>
    <t>usd/runway</t>
  </si>
  <si>
    <t>euro/runway</t>
  </si>
  <si>
    <t>m2</t>
  </si>
  <si>
    <t>terminal</t>
  </si>
  <si>
    <t>runway</t>
  </si>
  <si>
    <t>USD/m2</t>
  </si>
  <si>
    <t>Total construction costs terminal</t>
  </si>
  <si>
    <t>ETSAP, 2011</t>
  </si>
  <si>
    <t>Total cost of runway construction by runway type</t>
  </si>
  <si>
    <t xml:space="preserve">General aviation </t>
  </si>
  <si>
    <t>Reliever</t>
  </si>
  <si>
    <t>Commercial</t>
  </si>
  <si>
    <t>typical length (ft)</t>
  </si>
  <si>
    <t>typical width (ft)</t>
  </si>
  <si>
    <t xml:space="preserve">Concrete </t>
  </si>
  <si>
    <t>Asphalt</t>
  </si>
  <si>
    <t>reference year</t>
  </si>
  <si>
    <t>inflation rate</t>
  </si>
  <si>
    <t>typical length (m)</t>
  </si>
  <si>
    <t>typical width (m)</t>
  </si>
  <si>
    <t xml:space="preserve">1 ft = </t>
  </si>
  <si>
    <t>Concrete (USD)</t>
  </si>
  <si>
    <t>Asphalt (USD)</t>
  </si>
  <si>
    <t>surface (m2)</t>
  </si>
  <si>
    <t>correction for reference year + to euros</t>
  </si>
  <si>
    <t>costs per unit</t>
  </si>
  <si>
    <t>see 'transport tab'</t>
  </si>
  <si>
    <t>STEP 3</t>
  </si>
  <si>
    <t xml:space="preserve">Adjust construction costs </t>
  </si>
  <si>
    <t>factor * construction costs = rehabilitation costs</t>
  </si>
  <si>
    <t>factor</t>
  </si>
  <si>
    <t>construction costs?</t>
  </si>
  <si>
    <t>yes</t>
  </si>
  <si>
    <t>no - replacement costs</t>
  </si>
  <si>
    <t xml:space="preserve">yes - construction costs for ways were used </t>
  </si>
  <si>
    <t>no - Huizinga already adjusted for this (+ also adjusted for depreciated value)</t>
  </si>
  <si>
    <t>Concrete (euros)</t>
  </si>
  <si>
    <t>Asphalt (euros)</t>
  </si>
  <si>
    <t>Railways Kellermann et al. (2015)</t>
  </si>
  <si>
    <t>Damage states</t>
  </si>
  <si>
    <t>Class 1</t>
  </si>
  <si>
    <t>Class 3</t>
  </si>
  <si>
    <t>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</si>
</sst>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0.000"/>
    <numFmt numFmtId="166" formatCode="_-* #,##0.00_-;\-* #,##0.00_-;_-* &quot;-&quot;??_-;_-@_-"/>
    <numFmt numFmtId="167" formatCode="#,##0.000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166" fontId="3" fillId="0" borderId="0" applyFont="0" applyFill="0" applyBorder="0" applyAlignment="0" applyProtection="0"/>
    <xf numFmtId="0" fontId="4" fillId="0" borderId="0"/>
    <xf numFmtId="0" fontId="5" fillId="0" borderId="0"/>
  </cellStyleXfs>
  <cellXfs count="93">
    <xf numFmtId="0" fontId="0" fillId="0" borderId="0" xfId="0"/>
    <xf numFmtId="0" fontId="0" fillId="6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7" borderId="3" xfId="0" applyFont="1" applyFill="1" applyBorder="1"/>
    <xf numFmtId="0" fontId="0" fillId="8" borderId="1" xfId="0" applyFont="1" applyFill="1" applyBorder="1"/>
    <xf numFmtId="0" fontId="0" fillId="6" borderId="2" xfId="0" applyFill="1" applyBorder="1"/>
    <xf numFmtId="0" fontId="0" fillId="0" borderId="1" xfId="0" applyFont="1" applyBorder="1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Protection="1">
      <protection locked="0"/>
    </xf>
    <xf numFmtId="165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Alignme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7" fontId="0" fillId="0" borderId="4" xfId="0" applyNumberFormat="1" applyBorder="1"/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/>
    <xf numFmtId="165" fontId="0" fillId="0" borderId="7" xfId="0" applyNumberFormat="1" applyBorder="1"/>
    <xf numFmtId="165" fontId="0" fillId="0" borderId="4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6" xfId="0" applyNumberFormat="1" applyBorder="1" applyProtection="1">
      <protection locked="0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2" fillId="0" borderId="12" xfId="0" applyFont="1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1" fillId="0" borderId="9" xfId="0" applyFont="1" applyBorder="1"/>
    <xf numFmtId="0" fontId="2" fillId="0" borderId="0" xfId="0" applyFont="1" applyBorder="1"/>
    <xf numFmtId="0" fontId="6" fillId="0" borderId="0" xfId="0" applyFont="1" applyBorder="1"/>
    <xf numFmtId="0" fontId="0" fillId="0" borderId="0" xfId="0" applyFill="1" applyBorder="1"/>
    <xf numFmtId="3" fontId="7" fillId="0" borderId="0" xfId="0" applyNumberFormat="1" applyFont="1"/>
    <xf numFmtId="4" fontId="7" fillId="0" borderId="0" xfId="0" applyNumberFormat="1" applyFont="1"/>
    <xf numFmtId="167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 applyFill="1"/>
    <xf numFmtId="168" fontId="7" fillId="0" borderId="0" xfId="0" applyNumberFormat="1" applyFont="1"/>
    <xf numFmtId="168" fontId="0" fillId="0" borderId="0" xfId="0" applyNumberFormat="1"/>
    <xf numFmtId="0" fontId="7" fillId="0" borderId="5" xfId="0" applyFont="1" applyBorder="1"/>
    <xf numFmtId="0" fontId="7" fillId="0" borderId="7" xfId="0" applyFont="1" applyBorder="1"/>
    <xf numFmtId="0" fontId="7" fillId="0" borderId="6" xfId="0" applyFont="1" applyBorder="1"/>
    <xf numFmtId="9" fontId="0" fillId="0" borderId="0" xfId="0" applyNumberFormat="1"/>
    <xf numFmtId="0" fontId="0" fillId="8" borderId="9" xfId="0" applyFill="1" applyBorder="1"/>
    <xf numFmtId="0" fontId="0" fillId="8" borderId="14" xfId="0" applyFill="1" applyBorder="1"/>
    <xf numFmtId="0" fontId="0" fillId="8" borderId="14" xfId="0" applyFill="1" applyBorder="1" applyAlignment="1"/>
    <xf numFmtId="0" fontId="1" fillId="8" borderId="12" xfId="0" applyFont="1" applyFill="1" applyBorder="1"/>
    <xf numFmtId="0" fontId="0" fillId="8" borderId="0" xfId="0" applyFill="1" applyBorder="1"/>
    <xf numFmtId="0" fontId="9" fillId="8" borderId="12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6" xfId="0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0" fillId="8" borderId="1" xfId="0" applyFill="1" applyBorder="1"/>
    <xf numFmtId="167" fontId="0" fillId="8" borderId="1" xfId="0" applyNumberFormat="1" applyFill="1" applyBorder="1"/>
    <xf numFmtId="168" fontId="0" fillId="8" borderId="1" xfId="0" applyNumberFormat="1" applyFill="1" applyBorder="1"/>
    <xf numFmtId="0" fontId="1" fillId="8" borderId="9" xfId="0" applyFont="1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17" xfId="0" applyFill="1" applyBorder="1"/>
    <xf numFmtId="0" fontId="1" fillId="8" borderId="1" xfId="0" applyFont="1" applyFill="1" applyBorder="1"/>
    <xf numFmtId="2" fontId="0" fillId="8" borderId="1" xfId="0" applyNumberFormat="1" applyFill="1" applyBorder="1"/>
    <xf numFmtId="10" fontId="0" fillId="0" borderId="0" xfId="0" applyNumberFormat="1"/>
    <xf numFmtId="0" fontId="7" fillId="0" borderId="0" xfId="0" applyFont="1"/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165" fontId="0" fillId="0" borderId="12" xfId="0" applyNumberFormat="1" applyBorder="1"/>
    <xf numFmtId="0" fontId="0" fillId="9" borderId="0" xfId="0" applyFill="1"/>
    <xf numFmtId="0" fontId="0" fillId="0" borderId="0" xfId="0" applyFill="1" applyBorder="1" applyAlignment="1"/>
    <xf numFmtId="9" fontId="0" fillId="8" borderId="14" xfId="0" applyNumberFormat="1" applyFill="1" applyBorder="1"/>
    <xf numFmtId="9" fontId="0" fillId="8" borderId="0" xfId="0" applyNumberFormat="1" applyFill="1" applyBorder="1"/>
    <xf numFmtId="0" fontId="1" fillId="8" borderId="18" xfId="0" applyFont="1" applyFill="1" applyBorder="1"/>
    <xf numFmtId="0" fontId="0" fillId="8" borderId="18" xfId="0" applyFill="1" applyBorder="1"/>
    <xf numFmtId="0" fontId="0" fillId="8" borderId="19" xfId="0" applyFill="1" applyBorder="1"/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 fragility</a:t>
            </a:r>
            <a:r>
              <a:rPr lang="en-US" baseline="0"/>
              <a:t>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v>Tebodin, 1998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Waste!$A$6:$A$14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Waste!$B$6:$B$14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1E-4183-9F18-B6934570C29E}"/>
            </c:ext>
          </c:extLst>
        </c:ser>
        <c:ser>
          <c:idx val="8"/>
          <c:order val="1"/>
          <c:tx>
            <c:v>Huizinga et al., 2017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Waste!$A$6:$A$14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Waste!$K$6:$K$14</c:f>
              <c:numCache>
                <c:formatCode>0.00</c:formatCode>
                <c:ptCount val="9"/>
                <c:pt idx="0">
                  <c:v>0</c:v>
                </c:pt>
                <c:pt idx="1">
                  <c:v>0.2971480219894268</c:v>
                </c:pt>
                <c:pt idx="2">
                  <c:v>0.47979055854907787</c:v>
                </c:pt>
                <c:pt idx="3">
                  <c:v>0.60328578958373713</c:v>
                </c:pt>
                <c:pt idx="4">
                  <c:v>0.69434584412800904</c:v>
                </c:pt>
                <c:pt idx="5">
                  <c:v>0.82026548371148122</c:v>
                </c:pt>
                <c:pt idx="6">
                  <c:v>0.92286192938836609</c:v>
                </c:pt>
                <c:pt idx="7">
                  <c:v>0.9870654926044935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21E-4183-9F18-B6934570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975"/>
        <c:axId val="16514559"/>
      </c:scatterChart>
      <c:valAx>
        <c:axId val="165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559"/>
        <c:crosses val="autoZero"/>
        <c:crossBetween val="midCat"/>
      </c:valAx>
      <c:valAx>
        <c:axId val="165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</xdr:row>
      <xdr:rowOff>104775</xdr:rowOff>
    </xdr:from>
    <xdr:to>
      <xdr:col>9</xdr:col>
      <xdr:colOff>457200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zoomScale="115" zoomScaleNormal="115" workbookViewId="0">
      <selection sqref="A1:Q20"/>
    </sheetView>
  </sheetViews>
  <sheetFormatPr defaultRowHeight="15" x14ac:dyDescent="0.25"/>
  <cols>
    <col min="1" max="1" width="23.85546875" customWidth="1"/>
    <col min="2" max="2" width="12.85546875" bestFit="1" customWidth="1"/>
    <col min="3" max="4" width="11.7109375" bestFit="1" customWidth="1"/>
    <col min="5" max="5" width="17.42578125" bestFit="1" customWidth="1"/>
    <col min="6" max="6" width="16.28515625" style="18" bestFit="1" customWidth="1"/>
    <col min="7" max="7" width="14" bestFit="1" customWidth="1"/>
    <col min="8" max="8" width="12.85546875" bestFit="1" customWidth="1"/>
    <col min="9" max="9" width="15.140625" bestFit="1" customWidth="1"/>
    <col min="10" max="10" width="14" bestFit="1" customWidth="1"/>
    <col min="11" max="11" width="15.140625" bestFit="1" customWidth="1"/>
    <col min="12" max="12" width="17.42578125" bestFit="1" customWidth="1"/>
    <col min="14" max="15" width="10.5703125" bestFit="1" customWidth="1"/>
    <col min="16" max="16" width="17.42578125" bestFit="1" customWidth="1"/>
    <col min="17" max="17" width="12.85546875" bestFit="1" customWidth="1"/>
    <col min="18" max="18" width="11.7109375" style="18" bestFit="1" customWidth="1"/>
    <col min="19" max="19" width="10.5703125" style="18" bestFit="1" customWidth="1"/>
    <col min="20" max="22" width="10.5703125" bestFit="1" customWidth="1"/>
    <col min="23" max="23" width="9.42578125" style="18" bestFit="1" customWidth="1"/>
    <col min="24" max="24" width="11.7109375" bestFit="1" customWidth="1"/>
    <col min="25" max="26" width="11.7109375" style="81" customWidth="1"/>
    <col min="27" max="27" width="15.140625" bestFit="1" customWidth="1"/>
    <col min="28" max="29" width="14" bestFit="1" customWidth="1"/>
    <col min="30" max="45" width="10.5703125" bestFit="1" customWidth="1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43</v>
      </c>
      <c r="E1" s="1" t="s">
        <v>23</v>
      </c>
      <c r="F1" s="1" t="s">
        <v>24</v>
      </c>
      <c r="G1" s="1" t="s">
        <v>44</v>
      </c>
      <c r="H1" s="1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2</v>
      </c>
      <c r="N1" s="3" t="s">
        <v>3</v>
      </c>
      <c r="O1" s="3" t="s">
        <v>50</v>
      </c>
      <c r="P1" s="3" t="s">
        <v>51</v>
      </c>
      <c r="Q1" s="4" t="s">
        <v>4</v>
      </c>
      <c r="R1" s="4" t="s">
        <v>82</v>
      </c>
      <c r="S1" s="4" t="s">
        <v>83</v>
      </c>
      <c r="T1" s="4" t="s">
        <v>5</v>
      </c>
      <c r="U1" s="4" t="s">
        <v>6</v>
      </c>
      <c r="V1" s="4" t="s">
        <v>7</v>
      </c>
      <c r="W1" s="4" t="s">
        <v>84</v>
      </c>
      <c r="X1" s="4" t="s">
        <v>52</v>
      </c>
      <c r="Y1" s="4" t="s">
        <v>143</v>
      </c>
      <c r="Z1" s="4" t="s">
        <v>144</v>
      </c>
      <c r="AA1" s="5" t="s">
        <v>55</v>
      </c>
      <c r="AB1" s="5" t="s">
        <v>56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54</v>
      </c>
      <c r="AN1" s="6" t="s">
        <v>53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s="18" customFormat="1" x14ac:dyDescent="0.25">
      <c r="A2" s="11" t="s">
        <v>33</v>
      </c>
      <c r="B2" s="18" t="s">
        <v>34</v>
      </c>
      <c r="C2" s="18" t="s">
        <v>34</v>
      </c>
      <c r="D2" s="18" t="s">
        <v>34</v>
      </c>
      <c r="E2" s="18" t="s">
        <v>34</v>
      </c>
      <c r="F2" s="18" t="s">
        <v>34</v>
      </c>
      <c r="G2" s="18" t="s">
        <v>34</v>
      </c>
      <c r="H2" s="18" t="s">
        <v>34</v>
      </c>
      <c r="I2" s="18" t="s">
        <v>34</v>
      </c>
      <c r="J2" s="18" t="s">
        <v>34</v>
      </c>
      <c r="K2" s="18" t="s">
        <v>34</v>
      </c>
      <c r="L2" s="18" t="s">
        <v>34</v>
      </c>
      <c r="N2" s="18" t="s">
        <v>34</v>
      </c>
      <c r="O2" s="18" t="s">
        <v>34</v>
      </c>
      <c r="P2" s="18" t="s">
        <v>34</v>
      </c>
      <c r="Q2" s="18" t="s">
        <v>35</v>
      </c>
      <c r="R2" s="18" t="s">
        <v>34</v>
      </c>
      <c r="S2" s="18" t="s">
        <v>34</v>
      </c>
      <c r="T2" s="18" t="s">
        <v>34</v>
      </c>
      <c r="U2" s="18" t="s">
        <v>34</v>
      </c>
      <c r="V2" s="18" t="s">
        <v>34</v>
      </c>
      <c r="W2" s="18" t="s">
        <v>34</v>
      </c>
      <c r="X2" s="18" t="s">
        <v>34</v>
      </c>
      <c r="Y2" s="81" t="s">
        <v>34</v>
      </c>
      <c r="Z2" s="81" t="s">
        <v>34</v>
      </c>
      <c r="AA2" s="18" t="s">
        <v>34</v>
      </c>
      <c r="AB2" s="18" t="s">
        <v>34</v>
      </c>
      <c r="AC2" s="18" t="s">
        <v>34</v>
      </c>
      <c r="AD2" s="18" t="s">
        <v>34</v>
      </c>
      <c r="AE2" s="18" t="s">
        <v>34</v>
      </c>
      <c r="AF2" s="18" t="s">
        <v>34</v>
      </c>
      <c r="AG2" s="18" t="s">
        <v>34</v>
      </c>
      <c r="AH2" s="18" t="s">
        <v>34</v>
      </c>
      <c r="AI2" s="18" t="s">
        <v>34</v>
      </c>
      <c r="AJ2" s="18" t="s">
        <v>34</v>
      </c>
      <c r="AK2" s="18" t="s">
        <v>34</v>
      </c>
      <c r="AL2" s="18" t="s">
        <v>34</v>
      </c>
      <c r="AM2" s="18" t="s">
        <v>34</v>
      </c>
      <c r="AN2" s="18" t="s">
        <v>34</v>
      </c>
      <c r="AO2" s="18" t="s">
        <v>34</v>
      </c>
      <c r="AP2" s="18" t="s">
        <v>34</v>
      </c>
      <c r="AQ2" s="18" t="s">
        <v>34</v>
      </c>
      <c r="AR2" s="18" t="s">
        <v>34</v>
      </c>
      <c r="AS2" s="18" t="s">
        <v>34</v>
      </c>
    </row>
    <row r="3" spans="1:45" x14ac:dyDescent="0.25">
      <c r="A3" s="11" t="s">
        <v>27</v>
      </c>
      <c r="B3" s="18" t="s">
        <v>89</v>
      </c>
      <c r="C3" s="18" t="s">
        <v>89</v>
      </c>
      <c r="D3" s="18" t="s">
        <v>89</v>
      </c>
      <c r="E3" s="18" t="s">
        <v>92</v>
      </c>
      <c r="F3" s="18" t="s">
        <v>92</v>
      </c>
      <c r="G3" s="18" t="s">
        <v>92</v>
      </c>
      <c r="H3" s="18" t="s">
        <v>92</v>
      </c>
      <c r="I3" t="s">
        <v>92</v>
      </c>
      <c r="J3" t="s">
        <v>92</v>
      </c>
      <c r="K3" s="18" t="s">
        <v>92</v>
      </c>
      <c r="L3" t="s">
        <v>92</v>
      </c>
      <c r="N3" t="s">
        <v>42</v>
      </c>
      <c r="O3" s="18" t="s">
        <v>42</v>
      </c>
      <c r="P3" s="18" t="s">
        <v>92</v>
      </c>
      <c r="Q3" t="s">
        <v>89</v>
      </c>
      <c r="R3" s="18" t="s">
        <v>89</v>
      </c>
      <c r="S3" s="18" t="s">
        <v>89</v>
      </c>
      <c r="T3" t="s">
        <v>89</v>
      </c>
      <c r="U3" t="s">
        <v>89</v>
      </c>
      <c r="V3" t="s">
        <v>89</v>
      </c>
      <c r="W3" s="18" t="s">
        <v>89</v>
      </c>
      <c r="X3" t="s">
        <v>42</v>
      </c>
      <c r="Y3" s="81" t="s">
        <v>42</v>
      </c>
      <c r="Z3" s="81" t="s">
        <v>89</v>
      </c>
      <c r="AA3" s="18" t="s">
        <v>92</v>
      </c>
      <c r="AB3" s="18" t="s">
        <v>92</v>
      </c>
      <c r="AC3" s="18" t="s">
        <v>42</v>
      </c>
      <c r="AD3" s="18" t="s">
        <v>42</v>
      </c>
      <c r="AE3" t="s">
        <v>42</v>
      </c>
      <c r="AF3" s="18" t="s">
        <v>42</v>
      </c>
      <c r="AG3" s="18" t="s">
        <v>42</v>
      </c>
      <c r="AH3" s="18" t="s">
        <v>42</v>
      </c>
      <c r="AI3" s="18" t="s">
        <v>42</v>
      </c>
      <c r="AJ3" s="18" t="s">
        <v>42</v>
      </c>
      <c r="AK3" s="18" t="s">
        <v>42</v>
      </c>
      <c r="AL3" s="18" t="s">
        <v>42</v>
      </c>
      <c r="AM3" s="18" t="s">
        <v>42</v>
      </c>
      <c r="AN3" s="18" t="s">
        <v>42</v>
      </c>
      <c r="AO3" s="18" t="s">
        <v>42</v>
      </c>
      <c r="AP3" s="18" t="s">
        <v>42</v>
      </c>
      <c r="AQ3" s="18" t="s">
        <v>42</v>
      </c>
      <c r="AR3" s="18" t="s">
        <v>42</v>
      </c>
      <c r="AS3" s="18" t="s">
        <v>42</v>
      </c>
    </row>
    <row r="4" spans="1:45" x14ac:dyDescent="0.25">
      <c r="A4" s="18" t="str">
        <f>correction_reference_year!A47</f>
        <v>MaxDam</v>
      </c>
      <c r="B4" s="14">
        <f>correction_reference_year!B47</f>
        <v>3205.8815281373586</v>
      </c>
      <c r="C4" s="14">
        <f>correction_reference_year!C47</f>
        <v>865.43809683089546</v>
      </c>
      <c r="D4" s="14">
        <f>correction_reference_year!D47</f>
        <v>480.56961662342638</v>
      </c>
      <c r="E4" s="14">
        <f>correction_reference_year!E47</f>
        <v>442420326.64431292</v>
      </c>
      <c r="F4" s="14">
        <f>correction_reference_year!F47</f>
        <v>32176023.755950026</v>
      </c>
      <c r="G4" s="14">
        <f>correction_reference_year!G47</f>
        <v>121054.65082015519</v>
      </c>
      <c r="H4" s="14">
        <f>correction_reference_year!H47</f>
        <v>21339.436204695023</v>
      </c>
      <c r="I4" s="14">
        <f>correction_reference_year!I47</f>
        <v>965280.7126785008</v>
      </c>
      <c r="J4" s="14">
        <f>correction_reference_year!J47</f>
        <v>482640.3563392504</v>
      </c>
      <c r="K4" s="14">
        <f>correction_reference_year!K47</f>
        <v>1117312.4249253648</v>
      </c>
      <c r="L4" s="14">
        <f>correction_reference_year!L47</f>
        <v>197078145.50519392</v>
      </c>
      <c r="M4" s="14">
        <f>correction_reference_year!M47</f>
        <v>0</v>
      </c>
      <c r="N4" s="14">
        <f>correction_reference_year!N47</f>
        <v>559.54340000000002</v>
      </c>
      <c r="O4" s="14">
        <f>correction_reference_year!O47</f>
        <v>559.54340000000002</v>
      </c>
      <c r="P4" s="14">
        <f>correction_reference_year!P47</f>
        <v>394156291.01038784</v>
      </c>
      <c r="Q4" s="14">
        <f>correction_reference_year!Q47</f>
        <v>662.89980000000003</v>
      </c>
      <c r="R4" s="14">
        <f>correction_reference_year!R47</f>
        <v>900</v>
      </c>
      <c r="S4" s="14">
        <f>correction_reference_year!S47</f>
        <v>600</v>
      </c>
      <c r="T4" s="14">
        <f>correction_reference_year!T47</f>
        <v>250</v>
      </c>
      <c r="U4" s="14">
        <f>correction_reference_year!U47</f>
        <v>225</v>
      </c>
      <c r="V4" s="14">
        <f>correction_reference_year!V47</f>
        <v>175</v>
      </c>
      <c r="W4" s="14">
        <f>correction_reference_year!W47</f>
        <v>75</v>
      </c>
      <c r="X4" s="14">
        <f>correction_reference_year!X47</f>
        <v>1197</v>
      </c>
      <c r="Y4" s="14">
        <f>correction_reference_year!Y47</f>
        <v>293.85552688989833</v>
      </c>
      <c r="Z4" s="14">
        <f>correction_reference_year!Z47</f>
        <v>4421.46602460141</v>
      </c>
      <c r="AA4" s="14">
        <f>correction_reference_year!AA47</f>
        <v>2413201.7816962521</v>
      </c>
      <c r="AB4" s="14">
        <f>correction_reference_year!AB47</f>
        <v>89319.10403350729</v>
      </c>
      <c r="AC4" s="14">
        <f>correction_reference_year!AC47</f>
        <v>658.46820000000002</v>
      </c>
      <c r="AD4" s="14">
        <f>correction_reference_year!AD47</f>
        <v>658.46820000000002</v>
      </c>
      <c r="AE4" s="14">
        <f>correction_reference_year!AE47</f>
        <v>658.46820000000002</v>
      </c>
      <c r="AF4" s="14">
        <f>correction_reference_year!AF47</f>
        <v>658.46820000000002</v>
      </c>
      <c r="AG4" s="14">
        <f>correction_reference_year!AG47</f>
        <v>658.46820000000002</v>
      </c>
      <c r="AH4" s="14">
        <f>correction_reference_year!AH47</f>
        <v>658.46820000000002</v>
      </c>
      <c r="AI4" s="14">
        <f>correction_reference_year!AI47</f>
        <v>658.46820000000002</v>
      </c>
      <c r="AJ4" s="14">
        <f>correction_reference_year!AJ47</f>
        <v>658.46820000000002</v>
      </c>
      <c r="AK4" s="14">
        <f>correction_reference_year!AK47</f>
        <v>658.46820000000002</v>
      </c>
      <c r="AL4" s="14">
        <f>correction_reference_year!AL47</f>
        <v>658.46820000000002</v>
      </c>
      <c r="AM4" s="14">
        <f>correction_reference_year!AM47</f>
        <v>658.46820000000002</v>
      </c>
      <c r="AN4" s="14">
        <f>correction_reference_year!AN47</f>
        <v>658.46820000000002</v>
      </c>
      <c r="AO4" s="14">
        <f>correction_reference_year!AO47</f>
        <v>658.46820000000002</v>
      </c>
      <c r="AP4" s="14">
        <f>correction_reference_year!AP47</f>
        <v>658.46820000000002</v>
      </c>
      <c r="AQ4" s="14">
        <f>correction_reference_year!AQ47</f>
        <v>658.46820000000002</v>
      </c>
      <c r="AR4" s="14">
        <f>correction_reference_year!AR47</f>
        <v>658.46820000000002</v>
      </c>
      <c r="AS4" s="14">
        <f>correction_reference_year!AS47</f>
        <v>658.46820000000002</v>
      </c>
    </row>
    <row r="5" spans="1:45" x14ac:dyDescent="0.25">
      <c r="A5" s="81" t="str">
        <f>correction_reference_year!A48</f>
        <v>LowerDam</v>
      </c>
      <c r="B5" s="14">
        <f>correction_reference_year!B48</f>
        <v>434.59571171603977</v>
      </c>
      <c r="C5" s="14">
        <f>correction_reference_year!C48</f>
        <v>128.40327846155722</v>
      </c>
      <c r="D5" s="14">
        <f>correction_reference_year!D48</f>
        <v>59.263051597641791</v>
      </c>
      <c r="E5" s="14">
        <f>correction_reference_year!E48</f>
        <v>120660089.0848126</v>
      </c>
      <c r="F5" s="14">
        <f>correction_reference_year!F48</f>
        <v>12066008.908481261</v>
      </c>
      <c r="G5" s="14">
        <f>correction_reference_year!G48</f>
        <v>21293.311069639523</v>
      </c>
      <c r="H5" s="14">
        <f>correction_reference_year!H48</f>
        <v>10154.916020037326</v>
      </c>
      <c r="I5" s="14">
        <f>correction_reference_year!I48</f>
        <v>723960.53450887557</v>
      </c>
      <c r="J5" s="14">
        <f>correction_reference_year!J48</f>
        <v>361980.26725443779</v>
      </c>
      <c r="K5" s="14">
        <f>correction_reference_year!K48</f>
        <v>36198.026725443779</v>
      </c>
      <c r="L5" s="14">
        <f>correction_reference_year!L48</f>
        <v>36198026.72544378</v>
      </c>
      <c r="M5" s="14">
        <f>correction_reference_year!M48</f>
        <v>0</v>
      </c>
      <c r="N5" s="14">
        <f>correction_reference_year!N48</f>
        <v>419.65755000000001</v>
      </c>
      <c r="O5" s="14">
        <f>correction_reference_year!O48</f>
        <v>419.65755000000001</v>
      </c>
      <c r="P5" s="14">
        <f>correction_reference_year!P48</f>
        <v>72396053.450887561</v>
      </c>
      <c r="Q5" s="14">
        <f>correction_reference_year!Q48</f>
        <v>595.25722045652594</v>
      </c>
      <c r="R5" s="14">
        <f>correction_reference_year!R48</f>
        <v>675</v>
      </c>
      <c r="S5" s="14">
        <f>correction_reference_year!S48</f>
        <v>450</v>
      </c>
      <c r="T5" s="14">
        <f>correction_reference_year!T48</f>
        <v>187.5</v>
      </c>
      <c r="U5" s="14">
        <f>correction_reference_year!U48</f>
        <v>168.75</v>
      </c>
      <c r="V5" s="14">
        <f>correction_reference_year!V48</f>
        <v>131.25</v>
      </c>
      <c r="W5" s="14">
        <f>correction_reference_year!W48</f>
        <v>56.25</v>
      </c>
      <c r="X5" s="14">
        <f>correction_reference_year!X48</f>
        <v>897.75</v>
      </c>
      <c r="Y5" s="14">
        <f>correction_reference_year!Y48</f>
        <v>220.39164516742377</v>
      </c>
      <c r="Z5" s="14">
        <f>correction_reference_year!Z48</f>
        <v>2383.8018252636739</v>
      </c>
      <c r="AA5" s="14">
        <f>correction_reference_year!AA48</f>
        <v>1809901.3362721889</v>
      </c>
      <c r="AB5" s="14">
        <f>correction_reference_year!AB48</f>
        <v>54067.254257570989</v>
      </c>
      <c r="AC5" s="14">
        <f>correction_reference_year!AC48</f>
        <v>493.85115000000002</v>
      </c>
      <c r="AD5" s="14">
        <f>correction_reference_year!AD48</f>
        <v>493.85115000000002</v>
      </c>
      <c r="AE5" s="14">
        <f>correction_reference_year!AE48</f>
        <v>493.85115000000002</v>
      </c>
      <c r="AF5" s="14">
        <f>correction_reference_year!AF48</f>
        <v>493.85115000000002</v>
      </c>
      <c r="AG5" s="14">
        <f>correction_reference_year!AG48</f>
        <v>493.85115000000002</v>
      </c>
      <c r="AH5" s="14">
        <f>correction_reference_year!AH48</f>
        <v>493.85115000000002</v>
      </c>
      <c r="AI5" s="14">
        <f>correction_reference_year!AI48</f>
        <v>493.85115000000002</v>
      </c>
      <c r="AJ5" s="14">
        <f>correction_reference_year!AJ48</f>
        <v>493.85115000000002</v>
      </c>
      <c r="AK5" s="14">
        <f>correction_reference_year!AK48</f>
        <v>493.85115000000002</v>
      </c>
      <c r="AL5" s="14">
        <f>correction_reference_year!AL48</f>
        <v>493.85115000000002</v>
      </c>
      <c r="AM5" s="14">
        <f>correction_reference_year!AM48</f>
        <v>493.85115000000002</v>
      </c>
      <c r="AN5" s="14">
        <f>correction_reference_year!AN48</f>
        <v>493.85115000000002</v>
      </c>
      <c r="AO5" s="14">
        <f>correction_reference_year!AO48</f>
        <v>493.85115000000002</v>
      </c>
      <c r="AP5" s="14">
        <f>correction_reference_year!AP48</f>
        <v>493.85115000000002</v>
      </c>
      <c r="AQ5" s="14">
        <f>correction_reference_year!AQ48</f>
        <v>493.85115000000002</v>
      </c>
      <c r="AR5" s="14">
        <f>correction_reference_year!AR48</f>
        <v>493.85115000000002</v>
      </c>
      <c r="AS5" s="14">
        <f>correction_reference_year!AS48</f>
        <v>493.85115000000002</v>
      </c>
    </row>
    <row r="6" spans="1:45" x14ac:dyDescent="0.25">
      <c r="A6" s="81" t="str">
        <f>correction_reference_year!A49</f>
        <v>Upperdam</v>
      </c>
      <c r="B6" s="14">
        <f>correction_reference_year!B49</f>
        <v>9087.0012449717415</v>
      </c>
      <c r="C6" s="14">
        <f>correction_reference_year!C49</f>
        <v>1975.4350532547264</v>
      </c>
      <c r="D6" s="14">
        <f>correction_reference_year!D49</f>
        <v>900.79838428415519</v>
      </c>
      <c r="E6" s="14">
        <f>correction_reference_year!E49</f>
        <v>603300445.42406297</v>
      </c>
      <c r="F6" s="14">
        <f>correction_reference_year!F49</f>
        <v>60330044.542406298</v>
      </c>
      <c r="G6" s="14">
        <f>correction_reference_year!G49</f>
        <v>411502.05284353206</v>
      </c>
      <c r="H6" s="14">
        <f>correction_reference_year!H49</f>
        <v>33675.434633140161</v>
      </c>
      <c r="I6" s="14">
        <f>correction_reference_year!I49</f>
        <v>1206600.890848126</v>
      </c>
      <c r="J6" s="14">
        <f>correction_reference_year!J49</f>
        <v>603300.44542406301</v>
      </c>
      <c r="K6" s="14">
        <f>correction_reference_year!K49</f>
        <v>1809901.3362721889</v>
      </c>
      <c r="L6" s="14">
        <f>correction_reference_year!L49</f>
        <v>434376320.70532537</v>
      </c>
      <c r="M6" s="14">
        <f>correction_reference_year!M49</f>
        <v>0</v>
      </c>
      <c r="N6" s="14">
        <f>correction_reference_year!N49</f>
        <v>699.42925000000002</v>
      </c>
      <c r="O6" s="14">
        <f>correction_reference_year!O49</f>
        <v>699.42925000000002</v>
      </c>
      <c r="P6" s="14">
        <f>correction_reference_year!P49</f>
        <v>868752641.41065073</v>
      </c>
      <c r="Q6" s="14">
        <f>correction_reference_year!Q49</f>
        <v>730.5429523784635</v>
      </c>
      <c r="R6" s="14">
        <f>correction_reference_year!R49</f>
        <v>1125</v>
      </c>
      <c r="S6" s="14">
        <f>correction_reference_year!S49</f>
        <v>750</v>
      </c>
      <c r="T6" s="14">
        <f>correction_reference_year!T49</f>
        <v>312.5</v>
      </c>
      <c r="U6" s="14">
        <f>correction_reference_year!U49</f>
        <v>281.25</v>
      </c>
      <c r="V6" s="14">
        <f>correction_reference_year!V49</f>
        <v>218.75</v>
      </c>
      <c r="W6" s="14">
        <f>correction_reference_year!W49</f>
        <v>93.75</v>
      </c>
      <c r="X6" s="14">
        <f>correction_reference_year!X49</f>
        <v>1496.25</v>
      </c>
      <c r="Y6" s="14">
        <f>correction_reference_year!Y49</f>
        <v>367.31940861237291</v>
      </c>
      <c r="Z6" s="14">
        <f>correction_reference_year!Z49</f>
        <v>13794.973996756393</v>
      </c>
      <c r="AA6" s="14">
        <f>correction_reference_year!AA49</f>
        <v>3016502.2271203152</v>
      </c>
      <c r="AB6" s="14">
        <f>correction_reference_year!AB49</f>
        <v>162201.762772713</v>
      </c>
      <c r="AC6" s="14">
        <f>correction_reference_year!AC49</f>
        <v>823.08525000000009</v>
      </c>
      <c r="AD6" s="14">
        <f>correction_reference_year!AD49</f>
        <v>823.08525000000009</v>
      </c>
      <c r="AE6" s="14">
        <f>correction_reference_year!AE49</f>
        <v>823.08525000000009</v>
      </c>
      <c r="AF6" s="14">
        <f>correction_reference_year!AF49</f>
        <v>823.08525000000009</v>
      </c>
      <c r="AG6" s="14">
        <f>correction_reference_year!AG49</f>
        <v>823.08525000000009</v>
      </c>
      <c r="AH6" s="14">
        <f>correction_reference_year!AH49</f>
        <v>823.08525000000009</v>
      </c>
      <c r="AI6" s="14">
        <f>correction_reference_year!AI49</f>
        <v>823.08525000000009</v>
      </c>
      <c r="AJ6" s="14">
        <f>correction_reference_year!AJ49</f>
        <v>823.08525000000009</v>
      </c>
      <c r="AK6" s="14">
        <f>correction_reference_year!AK49</f>
        <v>823.08525000000009</v>
      </c>
      <c r="AL6" s="14">
        <f>correction_reference_year!AL49</f>
        <v>823.08525000000009</v>
      </c>
      <c r="AM6" s="14">
        <f>correction_reference_year!AM49</f>
        <v>823.08525000000009</v>
      </c>
      <c r="AN6" s="14">
        <f>correction_reference_year!AN49</f>
        <v>823.08525000000009</v>
      </c>
      <c r="AO6" s="14">
        <f>correction_reference_year!AO49</f>
        <v>823.08525000000009</v>
      </c>
      <c r="AP6" s="14">
        <f>correction_reference_year!AP49</f>
        <v>823.08525000000009</v>
      </c>
      <c r="AQ6" s="14">
        <f>correction_reference_year!AQ49</f>
        <v>823.08525000000009</v>
      </c>
      <c r="AR6" s="14">
        <f>correction_reference_year!AR49</f>
        <v>823.08525000000009</v>
      </c>
      <c r="AS6" s="14">
        <f>correction_reference_year!AS49</f>
        <v>823.08525000000009</v>
      </c>
    </row>
    <row r="7" spans="1:45" s="18" customFormat="1" x14ac:dyDescent="0.25">
      <c r="B7" s="18" t="s">
        <v>109</v>
      </c>
      <c r="T7" s="20"/>
      <c r="U7" s="20"/>
      <c r="V7" s="20"/>
      <c r="W7" s="20"/>
      <c r="X7" s="20"/>
      <c r="Y7" s="81"/>
      <c r="Z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25">
      <c r="H8" s="17"/>
      <c r="I8" s="58"/>
      <c r="R8" s="19"/>
      <c r="S8" s="19"/>
      <c r="T8" s="45"/>
      <c r="U8" s="19"/>
      <c r="V8" s="19"/>
      <c r="W8" s="19"/>
    </row>
    <row r="9" spans="1:45" ht="15.75" thickBot="1" x14ac:dyDescent="0.3">
      <c r="A9" t="s">
        <v>31</v>
      </c>
      <c r="K9" s="18"/>
      <c r="R9" s="19"/>
      <c r="S9" s="19"/>
      <c r="T9" s="19"/>
      <c r="U9" s="19"/>
      <c r="V9" s="19"/>
      <c r="W9" s="19"/>
    </row>
    <row r="10" spans="1:45" ht="15.75" thickBot="1" x14ac:dyDescent="0.3">
      <c r="A10">
        <v>0</v>
      </c>
      <c r="B10" s="22">
        <v>0</v>
      </c>
      <c r="C10" s="34">
        <v>0</v>
      </c>
      <c r="D10" s="21">
        <v>0</v>
      </c>
      <c r="E10" s="21">
        <v>0</v>
      </c>
      <c r="F10" s="21">
        <v>0</v>
      </c>
      <c r="G10" s="21">
        <v>0</v>
      </c>
      <c r="H10" s="32">
        <v>0</v>
      </c>
      <c r="I10" s="22">
        <v>0</v>
      </c>
      <c r="J10" s="21">
        <v>0</v>
      </c>
      <c r="K10" s="29">
        <v>0</v>
      </c>
      <c r="L10" s="29">
        <v>0</v>
      </c>
      <c r="N10" s="21">
        <v>0</v>
      </c>
      <c r="O10" s="21">
        <v>0</v>
      </c>
      <c r="Q10" s="12">
        <v>0</v>
      </c>
      <c r="R10" s="21">
        <v>0</v>
      </c>
      <c r="S10" s="21">
        <v>0</v>
      </c>
      <c r="T10" s="32">
        <v>0</v>
      </c>
      <c r="U10" s="21">
        <v>0</v>
      </c>
      <c r="V10" s="21">
        <v>0</v>
      </c>
      <c r="W10" s="32">
        <v>0</v>
      </c>
      <c r="X10" s="22">
        <f>MIN($A$10/100, 0.24*$A$10/100 + 0.4, 0.07*$A$10/100 + 0.75, 1)</f>
        <v>0</v>
      </c>
      <c r="Y10" s="22">
        <v>0</v>
      </c>
      <c r="Z10" s="21">
        <v>0</v>
      </c>
      <c r="AA10" s="21">
        <v>0</v>
      </c>
      <c r="AB10" s="55">
        <f>MIN(0.8*A10/100, 0.34*A10/100 + 0.15, 1)</f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</row>
    <row r="11" spans="1:45" ht="15.75" thickBot="1" x14ac:dyDescent="0.3">
      <c r="A11">
        <v>1</v>
      </c>
      <c r="B11" s="28">
        <v>0</v>
      </c>
      <c r="C11" s="16"/>
      <c r="D11" s="16"/>
      <c r="E11" s="16"/>
      <c r="F11" s="26"/>
      <c r="G11" s="16"/>
      <c r="H11" s="16"/>
      <c r="I11" s="28">
        <v>0</v>
      </c>
      <c r="K11" s="15"/>
      <c r="L11" s="15"/>
      <c r="M11" s="18"/>
      <c r="N11" s="16"/>
      <c r="O11" s="16"/>
      <c r="Q11" s="24">
        <f>11700/702200</f>
        <v>1.6661919681002564E-2</v>
      </c>
      <c r="R11" s="16"/>
      <c r="S11" s="16"/>
      <c r="T11" s="16"/>
      <c r="U11" s="16"/>
      <c r="V11" s="16"/>
      <c r="W11" s="16"/>
      <c r="X11" s="28">
        <f>MIN(A11/100, 0.24*A11/100 + 0.4, 0.07*A11/100 + 0.75, 1)</f>
        <v>0.01</v>
      </c>
      <c r="Y11" s="28">
        <v>0.01</v>
      </c>
      <c r="Z11" s="16"/>
      <c r="AA11" s="16"/>
      <c r="AB11" s="56">
        <f t="shared" ref="AB11:AB51" si="0">MIN(0.8*A11/100, 0.34*A11/100 + 0.15, 1)</f>
        <v>8.0000000000000002E-3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ht="15.75" thickBot="1" x14ac:dyDescent="0.3">
      <c r="A12">
        <v>20</v>
      </c>
      <c r="B12" s="28">
        <v>0</v>
      </c>
      <c r="C12" s="16"/>
      <c r="D12" s="16"/>
      <c r="E12" s="16"/>
      <c r="F12" s="26"/>
      <c r="G12" s="16"/>
      <c r="H12" s="16"/>
      <c r="I12" s="28">
        <v>0</v>
      </c>
      <c r="K12" s="15"/>
      <c r="L12" s="15"/>
      <c r="M12" s="18"/>
      <c r="N12" s="16"/>
      <c r="O12" s="16"/>
      <c r="Q12" s="24">
        <f>135550/702200</f>
        <v>0.19303617203076046</v>
      </c>
      <c r="R12" s="16"/>
      <c r="S12" s="16"/>
      <c r="T12" s="16"/>
      <c r="U12" s="16"/>
      <c r="V12" s="16"/>
      <c r="W12" s="16"/>
      <c r="X12" s="28">
        <f t="shared" ref="X12:X51" si="1">MIN(A12/100, 0.24*A12/100 + 0.4, 0.07*A12/100 + 0.75, 1)</f>
        <v>0.2</v>
      </c>
      <c r="Y12" s="28">
        <v>0.2</v>
      </c>
      <c r="Z12" s="16"/>
      <c r="AA12" s="16"/>
      <c r="AB12" s="56">
        <f t="shared" si="0"/>
        <v>0.16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 s="18" customFormat="1" ht="15.75" thickBot="1" x14ac:dyDescent="0.3">
      <c r="A13" s="18">
        <v>30</v>
      </c>
      <c r="B13" s="28">
        <v>0</v>
      </c>
      <c r="C13" s="34">
        <v>0</v>
      </c>
      <c r="D13" s="21">
        <v>0</v>
      </c>
      <c r="E13" s="21">
        <v>2.5000000000000001E-2</v>
      </c>
      <c r="F13" s="21">
        <v>0.02</v>
      </c>
      <c r="G13" s="21">
        <v>0</v>
      </c>
      <c r="H13" s="32">
        <v>0</v>
      </c>
      <c r="I13" s="28">
        <v>0</v>
      </c>
      <c r="J13" s="34">
        <v>0.01</v>
      </c>
      <c r="K13" s="29">
        <v>0</v>
      </c>
      <c r="L13" s="29">
        <v>0.03</v>
      </c>
      <c r="N13" s="16"/>
      <c r="O13" s="16"/>
      <c r="P13" s="29">
        <v>0</v>
      </c>
      <c r="Q13" s="27"/>
      <c r="R13" s="16"/>
      <c r="S13" s="16"/>
      <c r="T13" s="16"/>
      <c r="U13" s="16"/>
      <c r="V13" s="16"/>
      <c r="W13" s="16"/>
      <c r="X13" s="28">
        <f>MIN(A13/100, 0.24*A13/100 + 0.4, 0.07*A13/100 + 0.75, 1)</f>
        <v>0.3</v>
      </c>
      <c r="Y13" s="28">
        <v>0.3</v>
      </c>
      <c r="Z13" s="16"/>
      <c r="AA13" s="21">
        <v>0</v>
      </c>
      <c r="AB13" s="56">
        <f t="shared" si="0"/>
        <v>0.24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</row>
    <row r="14" spans="1:45" ht="15.75" thickBot="1" x14ac:dyDescent="0.3">
      <c r="A14">
        <v>50</v>
      </c>
      <c r="B14" s="28">
        <v>0</v>
      </c>
      <c r="C14" s="16"/>
      <c r="D14" s="16"/>
      <c r="E14" s="16"/>
      <c r="F14" s="26"/>
      <c r="G14" s="16"/>
      <c r="H14" s="16"/>
      <c r="I14" s="28">
        <v>0</v>
      </c>
      <c r="J14" s="16"/>
      <c r="K14" s="30"/>
      <c r="L14" s="30"/>
      <c r="M14" s="18"/>
      <c r="N14" s="21">
        <v>0.3</v>
      </c>
      <c r="O14" s="21">
        <v>0.3</v>
      </c>
      <c r="P14" s="30"/>
      <c r="Q14" s="25"/>
      <c r="R14" s="21">
        <v>0.23</v>
      </c>
      <c r="S14" s="21">
        <v>0.23</v>
      </c>
      <c r="T14" s="32">
        <v>0.23</v>
      </c>
      <c r="U14" s="21">
        <v>0.23</v>
      </c>
      <c r="V14" s="21">
        <v>0.23</v>
      </c>
      <c r="W14" s="32">
        <v>0.23</v>
      </c>
      <c r="X14" s="28">
        <f>MIN(A14/100, 0.24*A14/100 + 0.4, 0.07*A14/100 + 0.75, 1)</f>
        <v>0.5</v>
      </c>
      <c r="Y14" s="28">
        <v>0.5</v>
      </c>
      <c r="Z14" s="21">
        <v>0.23</v>
      </c>
      <c r="AA14" s="16"/>
      <c r="AB14" s="56">
        <f t="shared" si="0"/>
        <v>0.32</v>
      </c>
      <c r="AC14" s="21">
        <v>0.32</v>
      </c>
      <c r="AD14" s="21">
        <v>0.32</v>
      </c>
      <c r="AE14" s="21">
        <v>0.32</v>
      </c>
      <c r="AF14" s="21">
        <v>0.32</v>
      </c>
      <c r="AG14" s="21">
        <v>0.32</v>
      </c>
      <c r="AH14" s="21">
        <v>0.32</v>
      </c>
      <c r="AI14" s="21">
        <v>0.32</v>
      </c>
      <c r="AJ14" s="21">
        <v>0.32</v>
      </c>
      <c r="AK14" s="21">
        <v>0.32</v>
      </c>
      <c r="AL14" s="21">
        <v>0.32</v>
      </c>
      <c r="AM14" s="21">
        <v>0.32</v>
      </c>
      <c r="AN14" s="21">
        <v>0.32</v>
      </c>
      <c r="AO14" s="21">
        <v>0.32</v>
      </c>
      <c r="AP14" s="21">
        <v>0.32</v>
      </c>
      <c r="AQ14" s="21">
        <v>0.32</v>
      </c>
      <c r="AR14" s="21">
        <v>0.32</v>
      </c>
      <c r="AS14" s="21">
        <v>0.32</v>
      </c>
    </row>
    <row r="15" spans="1:45" ht="15.75" thickBot="1" x14ac:dyDescent="0.3">
      <c r="A15">
        <v>60</v>
      </c>
      <c r="B15" s="28">
        <v>0</v>
      </c>
      <c r="C15" s="16"/>
      <c r="D15" s="16"/>
      <c r="E15" s="16"/>
      <c r="F15" s="26"/>
      <c r="G15" s="16"/>
      <c r="H15" s="16"/>
      <c r="I15" s="28">
        <v>0</v>
      </c>
      <c r="J15" s="16"/>
      <c r="K15" s="30"/>
      <c r="L15" s="30"/>
      <c r="M15" s="18"/>
      <c r="N15" s="16"/>
      <c r="O15" s="16"/>
      <c r="P15" s="30"/>
      <c r="Q15" s="25"/>
      <c r="R15" s="16"/>
      <c r="S15" s="16"/>
      <c r="T15" s="16"/>
      <c r="U15" s="16"/>
      <c r="V15" s="16"/>
      <c r="W15" s="16"/>
      <c r="X15" s="28">
        <f t="shared" si="1"/>
        <v>0.54400000000000004</v>
      </c>
      <c r="Y15" s="28">
        <v>0.54400000000000004</v>
      </c>
      <c r="Z15" s="16"/>
      <c r="AA15" s="16"/>
      <c r="AB15" s="56">
        <f t="shared" si="0"/>
        <v>0.35399999999999998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s="18" customFormat="1" ht="15.75" thickBot="1" x14ac:dyDescent="0.3">
      <c r="A16" s="18">
        <v>61</v>
      </c>
      <c r="B16" s="28">
        <v>0</v>
      </c>
      <c r="C16" s="35">
        <v>0</v>
      </c>
      <c r="D16" s="22">
        <v>0</v>
      </c>
      <c r="E16" s="22">
        <v>0.05</v>
      </c>
      <c r="F16" s="21">
        <v>0.04</v>
      </c>
      <c r="G16" s="22">
        <v>0</v>
      </c>
      <c r="H16" s="33">
        <v>0</v>
      </c>
      <c r="I16" s="28">
        <v>0</v>
      </c>
      <c r="J16" s="34">
        <v>0.02</v>
      </c>
      <c r="K16" s="29">
        <v>0</v>
      </c>
      <c r="L16" s="29">
        <v>0.05</v>
      </c>
      <c r="N16" s="16"/>
      <c r="O16" s="16"/>
      <c r="P16" s="29">
        <v>0.05</v>
      </c>
      <c r="Q16" s="25"/>
      <c r="R16" s="16"/>
      <c r="S16" s="16"/>
      <c r="T16" s="16"/>
      <c r="U16" s="16"/>
      <c r="V16" s="16"/>
      <c r="W16" s="16"/>
      <c r="X16" s="28">
        <f t="shared" si="1"/>
        <v>0.5464</v>
      </c>
      <c r="Y16" s="28">
        <v>0.5464</v>
      </c>
      <c r="Z16" s="16"/>
      <c r="AA16" s="22">
        <v>0</v>
      </c>
      <c r="AB16" s="56">
        <f t="shared" si="0"/>
        <v>0.35740000000000005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s="18" customFormat="1" ht="15.75" thickBot="1" x14ac:dyDescent="0.3">
      <c r="A17" s="18">
        <v>91</v>
      </c>
      <c r="B17" s="28">
        <v>0</v>
      </c>
      <c r="C17" s="21">
        <v>0.01</v>
      </c>
      <c r="D17" s="21">
        <v>0.01</v>
      </c>
      <c r="E17" s="21">
        <v>7.4999999999999997E-2</v>
      </c>
      <c r="F17" s="21">
        <v>0.06</v>
      </c>
      <c r="G17" s="21">
        <v>0.01</v>
      </c>
      <c r="H17" s="21">
        <v>0.01</v>
      </c>
      <c r="I17" s="28">
        <v>0</v>
      </c>
      <c r="J17" s="34">
        <v>0.05</v>
      </c>
      <c r="K17" s="29">
        <v>1.2500000000000001E-2</v>
      </c>
      <c r="L17" s="31">
        <v>7.4999999999999997E-2</v>
      </c>
      <c r="N17" s="16"/>
      <c r="O17" s="16"/>
      <c r="P17" s="31">
        <v>0.08</v>
      </c>
      <c r="Q17" s="25"/>
      <c r="R17" s="16"/>
      <c r="S17" s="16"/>
      <c r="T17" s="16"/>
      <c r="U17" s="16"/>
      <c r="V17" s="16"/>
      <c r="W17" s="16"/>
      <c r="X17" s="28">
        <f t="shared" si="1"/>
        <v>0.61840000000000006</v>
      </c>
      <c r="Y17" s="28">
        <v>0.61840000000000006</v>
      </c>
      <c r="Z17" s="16"/>
      <c r="AA17" s="21">
        <v>0.01</v>
      </c>
      <c r="AB17" s="56">
        <f t="shared" si="0"/>
        <v>0.45940000000000003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ht="15.75" thickBot="1" x14ac:dyDescent="0.3">
      <c r="A18">
        <v>100</v>
      </c>
      <c r="B18" s="28">
        <v>0</v>
      </c>
      <c r="C18" s="16"/>
      <c r="D18" s="16"/>
      <c r="E18" s="16"/>
      <c r="F18" s="26"/>
      <c r="G18" s="16"/>
      <c r="H18" s="16"/>
      <c r="I18" s="28">
        <v>0</v>
      </c>
      <c r="J18" s="16"/>
      <c r="K18" s="30"/>
      <c r="L18" s="30"/>
      <c r="M18" s="18"/>
      <c r="N18" s="21">
        <v>0.48</v>
      </c>
      <c r="O18" s="21">
        <v>0.48</v>
      </c>
      <c r="P18" s="30"/>
      <c r="Q18" s="25"/>
      <c r="R18" s="21">
        <v>0.4</v>
      </c>
      <c r="S18" s="21">
        <v>0.4</v>
      </c>
      <c r="T18" s="32">
        <v>0.4</v>
      </c>
      <c r="U18" s="21">
        <v>0.4</v>
      </c>
      <c r="V18" s="21">
        <v>0.4</v>
      </c>
      <c r="W18" s="32">
        <v>0.4</v>
      </c>
      <c r="X18" s="28">
        <f t="shared" si="1"/>
        <v>0.64</v>
      </c>
      <c r="Y18" s="28">
        <v>0.64</v>
      </c>
      <c r="Z18" s="21">
        <v>0.4</v>
      </c>
      <c r="AA18" s="16"/>
      <c r="AB18" s="56">
        <f t="shared" si="0"/>
        <v>0.49</v>
      </c>
      <c r="AC18" s="21">
        <v>0.51</v>
      </c>
      <c r="AD18" s="21">
        <v>0.51</v>
      </c>
      <c r="AE18" s="21">
        <v>0.51</v>
      </c>
      <c r="AF18" s="21">
        <v>0.51</v>
      </c>
      <c r="AG18" s="21">
        <v>0.51</v>
      </c>
      <c r="AH18" s="21">
        <v>0.51</v>
      </c>
      <c r="AI18" s="21">
        <v>0.51</v>
      </c>
      <c r="AJ18" s="21">
        <v>0.51</v>
      </c>
      <c r="AK18" s="21">
        <v>0.51</v>
      </c>
      <c r="AL18" s="21">
        <v>0.51</v>
      </c>
      <c r="AM18" s="21">
        <v>0.51</v>
      </c>
      <c r="AN18" s="21">
        <v>0.51</v>
      </c>
      <c r="AO18" s="21">
        <v>0.51</v>
      </c>
      <c r="AP18" s="21">
        <v>0.51</v>
      </c>
      <c r="AQ18" s="21">
        <v>0.51</v>
      </c>
      <c r="AR18" s="21">
        <v>0.51</v>
      </c>
      <c r="AS18" s="21">
        <v>0.51</v>
      </c>
    </row>
    <row r="19" spans="1:45" s="18" customFormat="1" ht="15.75" thickBot="1" x14ac:dyDescent="0.3">
      <c r="A19" s="18">
        <v>122</v>
      </c>
      <c r="B19" s="28">
        <v>0</v>
      </c>
      <c r="C19" s="34">
        <v>0.01</v>
      </c>
      <c r="D19" s="21">
        <v>0.01</v>
      </c>
      <c r="E19" s="21">
        <v>0.1</v>
      </c>
      <c r="F19" s="21">
        <v>7.0000000000000007E-2</v>
      </c>
      <c r="G19" s="21">
        <v>0.01</v>
      </c>
      <c r="H19" s="32">
        <v>0.01</v>
      </c>
      <c r="I19" s="28">
        <v>0</v>
      </c>
      <c r="J19" s="34">
        <v>0.2</v>
      </c>
      <c r="K19" s="29">
        <v>1.2500000000000001E-2</v>
      </c>
      <c r="L19" s="29">
        <v>0.16</v>
      </c>
      <c r="N19" s="16"/>
      <c r="O19" s="16"/>
      <c r="P19" s="29">
        <v>0.1</v>
      </c>
      <c r="Q19" s="25"/>
      <c r="R19" s="26"/>
      <c r="S19" s="26"/>
      <c r="T19" s="26"/>
      <c r="U19" s="26"/>
      <c r="V19" s="26"/>
      <c r="W19" s="26"/>
      <c r="X19" s="28">
        <f t="shared" si="1"/>
        <v>0.69279999999999997</v>
      </c>
      <c r="Y19" s="28">
        <v>0.69279999999999997</v>
      </c>
      <c r="Z19" s="26"/>
      <c r="AA19" s="21">
        <v>0.01</v>
      </c>
      <c r="AB19" s="56">
        <f t="shared" si="0"/>
        <v>0.56480000000000008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5.75" thickBot="1" x14ac:dyDescent="0.3">
      <c r="A20">
        <v>140</v>
      </c>
      <c r="B20" s="28">
        <v>0</v>
      </c>
      <c r="C20" s="16"/>
      <c r="D20" s="16"/>
      <c r="E20" s="16"/>
      <c r="F20" s="26"/>
      <c r="G20" s="16"/>
      <c r="H20" s="16"/>
      <c r="I20" s="28">
        <v>0</v>
      </c>
      <c r="J20" s="16"/>
      <c r="K20" s="30"/>
      <c r="L20" s="30"/>
      <c r="M20" s="18"/>
      <c r="N20" s="16"/>
      <c r="O20" s="16"/>
      <c r="P20" s="30"/>
      <c r="Q20" s="24">
        <v>1</v>
      </c>
      <c r="R20" s="16"/>
      <c r="S20" s="16"/>
      <c r="T20" s="16"/>
      <c r="U20" s="16"/>
      <c r="V20" s="16"/>
      <c r="W20" s="16"/>
      <c r="X20" s="28">
        <f t="shared" si="1"/>
        <v>0.73599999999999999</v>
      </c>
      <c r="Y20" s="28">
        <v>0.73599999999999999</v>
      </c>
      <c r="Z20" s="16"/>
      <c r="AA20" s="16"/>
      <c r="AB20" s="56">
        <f t="shared" si="0"/>
        <v>0.626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45" ht="15.75" thickBot="1" x14ac:dyDescent="0.3">
      <c r="A21">
        <v>146</v>
      </c>
      <c r="B21" s="28">
        <v>0</v>
      </c>
      <c r="C21" s="16"/>
      <c r="D21" s="16"/>
      <c r="E21" s="16"/>
      <c r="F21" s="26"/>
      <c r="G21" s="16"/>
      <c r="H21" s="16"/>
      <c r="I21" s="28">
        <v>0</v>
      </c>
      <c r="J21" s="16"/>
      <c r="K21" s="30"/>
      <c r="L21" s="30"/>
      <c r="M21" s="18"/>
      <c r="N21" s="16"/>
      <c r="O21" s="16"/>
      <c r="P21" s="30"/>
      <c r="Q21" s="13"/>
      <c r="R21" s="16"/>
      <c r="S21" s="16"/>
      <c r="T21" s="16"/>
      <c r="U21" s="16"/>
      <c r="V21" s="16"/>
      <c r="W21" s="16"/>
      <c r="X21" s="28">
        <f t="shared" si="1"/>
        <v>0.75039999999999996</v>
      </c>
      <c r="Y21" s="28">
        <v>0.75039999999999996</v>
      </c>
      <c r="Z21" s="16"/>
      <c r="AA21" s="16"/>
      <c r="AB21" s="56">
        <f t="shared" si="0"/>
        <v>0.64639999999999997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ht="15.75" thickBot="1" x14ac:dyDescent="0.3">
      <c r="A22">
        <v>150</v>
      </c>
      <c r="B22" s="28">
        <v>0</v>
      </c>
      <c r="C22" s="16"/>
      <c r="D22" s="16"/>
      <c r="E22" s="16"/>
      <c r="F22" s="26"/>
      <c r="G22" s="16"/>
      <c r="H22" s="16"/>
      <c r="I22" s="28">
        <v>0</v>
      </c>
      <c r="J22" s="16"/>
      <c r="K22" s="30"/>
      <c r="L22" s="30"/>
      <c r="M22" s="18"/>
      <c r="N22" s="21">
        <v>0.6</v>
      </c>
      <c r="O22" s="21">
        <v>0.6</v>
      </c>
      <c r="P22" s="30"/>
      <c r="Q22" s="13"/>
      <c r="R22" s="21">
        <v>0.57999999999999996</v>
      </c>
      <c r="S22" s="21">
        <v>0.57999999999999996</v>
      </c>
      <c r="T22" s="32">
        <v>0.57999999999999996</v>
      </c>
      <c r="U22" s="21">
        <v>0.57999999999999996</v>
      </c>
      <c r="V22" s="21">
        <v>0.57999999999999996</v>
      </c>
      <c r="W22" s="32">
        <v>0.57999999999999996</v>
      </c>
      <c r="X22" s="28">
        <f t="shared" si="1"/>
        <v>0.76</v>
      </c>
      <c r="Y22" s="28">
        <v>0.76</v>
      </c>
      <c r="Z22" s="21">
        <v>0.57999999999999996</v>
      </c>
      <c r="AA22" s="16"/>
      <c r="AB22" s="56">
        <f t="shared" si="0"/>
        <v>0.66000000000000014</v>
      </c>
      <c r="AC22" s="21">
        <v>0.63</v>
      </c>
      <c r="AD22" s="21">
        <v>0.63</v>
      </c>
      <c r="AE22" s="21">
        <v>0.63</v>
      </c>
      <c r="AF22" s="21">
        <v>0.63</v>
      </c>
      <c r="AG22" s="21">
        <v>0.63</v>
      </c>
      <c r="AH22" s="21">
        <v>0.63</v>
      </c>
      <c r="AI22" s="21">
        <v>0.63</v>
      </c>
      <c r="AJ22" s="21">
        <v>0.63</v>
      </c>
      <c r="AK22" s="21">
        <v>0.63</v>
      </c>
      <c r="AL22" s="21">
        <v>0.63</v>
      </c>
      <c r="AM22" s="21">
        <v>0.63</v>
      </c>
      <c r="AN22" s="21">
        <v>0.63</v>
      </c>
      <c r="AO22" s="21">
        <v>0.63</v>
      </c>
      <c r="AP22" s="21">
        <v>0.63</v>
      </c>
      <c r="AQ22" s="21">
        <v>0.63</v>
      </c>
      <c r="AR22" s="21">
        <v>0.63</v>
      </c>
      <c r="AS22" s="21">
        <v>0.63</v>
      </c>
    </row>
    <row r="23" spans="1:45" s="18" customFormat="1" ht="15.75" thickBot="1" x14ac:dyDescent="0.3">
      <c r="A23" s="18">
        <v>152</v>
      </c>
      <c r="B23" s="28">
        <v>0</v>
      </c>
      <c r="C23" s="35">
        <v>0.01</v>
      </c>
      <c r="D23" s="22">
        <v>0.01</v>
      </c>
      <c r="E23" s="22">
        <v>0.125</v>
      </c>
      <c r="F23" s="21">
        <v>0.08</v>
      </c>
      <c r="G23" s="22">
        <v>0.01</v>
      </c>
      <c r="H23" s="33">
        <v>0.01</v>
      </c>
      <c r="I23" s="28">
        <v>0</v>
      </c>
      <c r="J23" s="34">
        <v>0.25</v>
      </c>
      <c r="K23" s="29">
        <v>1.2500000000000001E-2</v>
      </c>
      <c r="L23" s="29">
        <v>0.27</v>
      </c>
      <c r="N23" s="16"/>
      <c r="O23" s="16"/>
      <c r="P23" s="29">
        <v>0.17</v>
      </c>
      <c r="Q23" s="13"/>
      <c r="R23" s="26"/>
      <c r="S23" s="26"/>
      <c r="T23" s="26"/>
      <c r="U23" s="26"/>
      <c r="V23" s="26"/>
      <c r="W23" s="26"/>
      <c r="X23" s="28">
        <f t="shared" si="1"/>
        <v>0.76479999999999992</v>
      </c>
      <c r="Y23" s="28">
        <v>0.76479999999999992</v>
      </c>
      <c r="Z23" s="26"/>
      <c r="AA23" s="22">
        <v>0.01</v>
      </c>
      <c r="AB23" s="56">
        <f t="shared" si="0"/>
        <v>0.66680000000000006</v>
      </c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s="18" customFormat="1" ht="15.75" thickBot="1" x14ac:dyDescent="0.3">
      <c r="A24" s="18">
        <v>183</v>
      </c>
      <c r="B24" s="28">
        <v>0</v>
      </c>
      <c r="C24" s="21">
        <v>0.01</v>
      </c>
      <c r="D24" s="21">
        <v>0.01</v>
      </c>
      <c r="E24" s="21">
        <v>0.15</v>
      </c>
      <c r="F24" s="21">
        <v>0.09</v>
      </c>
      <c r="G24" s="21">
        <v>0.01</v>
      </c>
      <c r="H24" s="21">
        <v>0.01</v>
      </c>
      <c r="I24" s="28">
        <v>0</v>
      </c>
      <c r="J24" s="34">
        <v>0.3</v>
      </c>
      <c r="K24" s="29">
        <v>1.2500000000000001E-2</v>
      </c>
      <c r="L24" s="31">
        <v>0.35</v>
      </c>
      <c r="N24" s="16"/>
      <c r="O24" s="16"/>
      <c r="P24" s="31">
        <v>0.24</v>
      </c>
      <c r="Q24" s="13"/>
      <c r="R24" s="26"/>
      <c r="S24" s="26"/>
      <c r="T24" s="26"/>
      <c r="U24" s="26"/>
      <c r="V24" s="26"/>
      <c r="W24" s="26"/>
      <c r="X24" s="28">
        <f t="shared" si="1"/>
        <v>0.83920000000000006</v>
      </c>
      <c r="Y24" s="28">
        <v>0.83920000000000006</v>
      </c>
      <c r="Z24" s="26"/>
      <c r="AA24" s="21">
        <v>0.01</v>
      </c>
      <c r="AB24" s="56">
        <f t="shared" si="0"/>
        <v>0.77220000000000011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ht="15.75" thickBot="1" x14ac:dyDescent="0.3">
      <c r="A25">
        <v>200</v>
      </c>
      <c r="B25" s="28">
        <v>0</v>
      </c>
      <c r="C25" s="16"/>
      <c r="D25" s="16"/>
      <c r="E25" s="16"/>
      <c r="F25" s="26"/>
      <c r="G25" s="16"/>
      <c r="H25" s="16"/>
      <c r="I25" s="28">
        <v>0</v>
      </c>
      <c r="J25" s="16"/>
      <c r="K25" s="30"/>
      <c r="L25" s="30"/>
      <c r="M25" s="18"/>
      <c r="N25" s="21">
        <v>0.69</v>
      </c>
      <c r="O25" s="21">
        <v>0.69</v>
      </c>
      <c r="P25" s="30"/>
      <c r="Q25" s="13"/>
      <c r="R25" s="21">
        <v>0.68</v>
      </c>
      <c r="S25" s="21">
        <v>0.68</v>
      </c>
      <c r="T25" s="32">
        <v>0.68</v>
      </c>
      <c r="U25" s="21">
        <v>0.68</v>
      </c>
      <c r="V25" s="21">
        <v>0.68</v>
      </c>
      <c r="W25" s="32">
        <v>0.68</v>
      </c>
      <c r="X25" s="28">
        <f t="shared" si="1"/>
        <v>0.88</v>
      </c>
      <c r="Y25" s="28">
        <v>0.88</v>
      </c>
      <c r="Z25" s="21">
        <v>0.68</v>
      </c>
      <c r="AA25" s="16"/>
      <c r="AB25" s="56">
        <f t="shared" si="0"/>
        <v>0.83000000000000007</v>
      </c>
      <c r="AC25" s="21">
        <v>0.74</v>
      </c>
      <c r="AD25" s="21">
        <v>0.74</v>
      </c>
      <c r="AE25" s="21">
        <v>0.74</v>
      </c>
      <c r="AF25" s="21">
        <v>0.74</v>
      </c>
      <c r="AG25" s="21">
        <v>0.74</v>
      </c>
      <c r="AH25" s="21">
        <v>0.74</v>
      </c>
      <c r="AI25" s="21">
        <v>0.74</v>
      </c>
      <c r="AJ25" s="21">
        <v>0.74</v>
      </c>
      <c r="AK25" s="21">
        <v>0.74</v>
      </c>
      <c r="AL25" s="21">
        <v>0.74</v>
      </c>
      <c r="AM25" s="21">
        <v>0.74</v>
      </c>
      <c r="AN25" s="21">
        <v>0.74</v>
      </c>
      <c r="AO25" s="21">
        <v>0.74</v>
      </c>
      <c r="AP25" s="21">
        <v>0.74</v>
      </c>
      <c r="AQ25" s="21">
        <v>0.74</v>
      </c>
      <c r="AR25" s="21">
        <v>0.74</v>
      </c>
      <c r="AS25" s="21">
        <v>0.74</v>
      </c>
    </row>
    <row r="26" spans="1:45" ht="15.75" thickBot="1" x14ac:dyDescent="0.3">
      <c r="A26">
        <v>212</v>
      </c>
      <c r="B26" s="28">
        <v>0</v>
      </c>
      <c r="C26" s="16"/>
      <c r="D26" s="16"/>
      <c r="E26" s="16"/>
      <c r="F26" s="26"/>
      <c r="G26" s="16"/>
      <c r="H26" s="16"/>
      <c r="I26" s="28">
        <v>0</v>
      </c>
      <c r="J26" s="16"/>
      <c r="K26" s="30"/>
      <c r="L26" s="30"/>
      <c r="M26" s="18"/>
      <c r="N26" s="16"/>
      <c r="O26" s="16"/>
      <c r="P26" s="30"/>
      <c r="Q26" s="13"/>
      <c r="R26" s="16"/>
      <c r="S26" s="16"/>
      <c r="T26" s="16"/>
      <c r="U26" s="16"/>
      <c r="V26" s="16"/>
      <c r="W26" s="16"/>
      <c r="X26" s="28">
        <f t="shared" si="1"/>
        <v>0.89839999999999998</v>
      </c>
      <c r="Y26" s="28">
        <v>0.89839999999999998</v>
      </c>
      <c r="Z26" s="16"/>
      <c r="AA26" s="16"/>
      <c r="AB26" s="56">
        <f t="shared" si="0"/>
        <v>0.87080000000000002</v>
      </c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s="18" customFormat="1" ht="15.75" thickBot="1" x14ac:dyDescent="0.3">
      <c r="A27" s="18">
        <v>213</v>
      </c>
      <c r="B27" s="28">
        <v>0</v>
      </c>
      <c r="C27" s="35">
        <v>0.02</v>
      </c>
      <c r="D27" s="22">
        <v>0.02</v>
      </c>
      <c r="E27" s="22">
        <v>0.17499999999999999</v>
      </c>
      <c r="F27" s="21">
        <v>0.1</v>
      </c>
      <c r="G27" s="22">
        <v>0.02</v>
      </c>
      <c r="H27" s="33">
        <v>0.02</v>
      </c>
      <c r="I27" s="28">
        <v>0</v>
      </c>
      <c r="J27" s="34">
        <v>0.3</v>
      </c>
      <c r="K27" s="29">
        <v>1.2500000000000001E-2</v>
      </c>
      <c r="L27" s="29">
        <v>0.35</v>
      </c>
      <c r="N27" s="16"/>
      <c r="O27" s="16"/>
      <c r="P27" s="29">
        <v>0.3</v>
      </c>
      <c r="Q27" s="13"/>
      <c r="R27" s="16"/>
      <c r="S27" s="16"/>
      <c r="T27" s="16"/>
      <c r="U27" s="16"/>
      <c r="V27" s="16"/>
      <c r="W27" s="16"/>
      <c r="X27" s="28">
        <f t="shared" si="1"/>
        <v>0.89910000000000001</v>
      </c>
      <c r="Y27" s="28">
        <v>0.89910000000000001</v>
      </c>
      <c r="Z27" s="16"/>
      <c r="AA27" s="22">
        <v>0.02</v>
      </c>
      <c r="AB27" s="56">
        <f t="shared" si="0"/>
        <v>0.87420000000000009</v>
      </c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s="18" customFormat="1" ht="15.75" thickBot="1" x14ac:dyDescent="0.3">
      <c r="A28" s="18">
        <v>244</v>
      </c>
      <c r="B28" s="28">
        <v>0</v>
      </c>
      <c r="C28" s="21">
        <v>0.02</v>
      </c>
      <c r="D28" s="21">
        <v>0.02</v>
      </c>
      <c r="E28" s="21">
        <v>0.2</v>
      </c>
      <c r="F28" s="21">
        <v>0.12</v>
      </c>
      <c r="G28" s="21">
        <v>0.02</v>
      </c>
      <c r="H28" s="21">
        <v>0.02</v>
      </c>
      <c r="I28" s="28">
        <v>0</v>
      </c>
      <c r="J28" s="34">
        <v>0.3</v>
      </c>
      <c r="K28" s="29">
        <v>1.2500000000000001E-2</v>
      </c>
      <c r="L28" s="31">
        <v>0.35</v>
      </c>
      <c r="N28" s="16"/>
      <c r="O28" s="16"/>
      <c r="P28" s="31">
        <v>0.3</v>
      </c>
      <c r="Q28" s="13"/>
      <c r="R28" s="16"/>
      <c r="S28" s="16"/>
      <c r="T28" s="16"/>
      <c r="U28" s="16"/>
      <c r="V28" s="16"/>
      <c r="W28" s="16"/>
      <c r="X28" s="28">
        <f t="shared" si="1"/>
        <v>0.92080000000000006</v>
      </c>
      <c r="Y28" s="28">
        <v>0.92080000000000006</v>
      </c>
      <c r="Z28" s="16"/>
      <c r="AA28" s="21">
        <v>0.02</v>
      </c>
      <c r="AB28" s="56">
        <f t="shared" si="0"/>
        <v>0.97960000000000014</v>
      </c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</row>
    <row r="29" spans="1:45" x14ac:dyDescent="0.25">
      <c r="A29">
        <v>248</v>
      </c>
      <c r="B29" s="28">
        <v>0</v>
      </c>
      <c r="C29" s="16"/>
      <c r="D29" s="16"/>
      <c r="E29" s="16"/>
      <c r="F29" s="26"/>
      <c r="G29" s="16"/>
      <c r="H29" s="16"/>
      <c r="I29" s="28">
        <v>0</v>
      </c>
      <c r="J29" s="16"/>
      <c r="K29" s="30"/>
      <c r="L29" s="30"/>
      <c r="M29" s="18"/>
      <c r="N29" s="16"/>
      <c r="O29" s="16"/>
      <c r="P29" s="30"/>
      <c r="Q29" s="13"/>
      <c r="R29" s="16"/>
      <c r="S29" s="16"/>
      <c r="T29" s="16"/>
      <c r="U29" s="16"/>
      <c r="V29" s="16"/>
      <c r="W29" s="16"/>
      <c r="X29" s="28">
        <f t="shared" si="1"/>
        <v>0.92359999999999998</v>
      </c>
      <c r="Y29" s="28">
        <v>0.92359999999999998</v>
      </c>
      <c r="Z29" s="16"/>
      <c r="AA29" s="16"/>
      <c r="AB29" s="56">
        <f t="shared" si="0"/>
        <v>0.99320000000000008</v>
      </c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ht="15.75" thickBot="1" x14ac:dyDescent="0.3">
      <c r="A30">
        <v>250</v>
      </c>
      <c r="B30" s="28">
        <v>0</v>
      </c>
      <c r="C30" s="16"/>
      <c r="D30" s="16"/>
      <c r="E30" s="16"/>
      <c r="F30" s="26"/>
      <c r="G30" s="16"/>
      <c r="H30" s="16"/>
      <c r="I30" s="28">
        <v>0</v>
      </c>
      <c r="J30" s="16"/>
      <c r="K30" s="30"/>
      <c r="L30" s="30"/>
      <c r="M30" s="18"/>
      <c r="N30" s="16"/>
      <c r="O30" s="16"/>
      <c r="P30" s="30"/>
      <c r="Q30" s="13"/>
      <c r="R30" s="16"/>
      <c r="S30" s="16"/>
      <c r="T30" s="16"/>
      <c r="U30" s="16"/>
      <c r="V30" s="16"/>
      <c r="W30" s="16"/>
      <c r="X30" s="28">
        <f t="shared" si="1"/>
        <v>0.92500000000000004</v>
      </c>
      <c r="Y30" s="28">
        <v>0.92500000000000004</v>
      </c>
      <c r="Z30" s="16"/>
      <c r="AA30" s="16"/>
      <c r="AB30" s="56">
        <f t="shared" si="0"/>
        <v>1</v>
      </c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s="18" customFormat="1" ht="15.75" thickBot="1" x14ac:dyDescent="0.3">
      <c r="A31" s="18">
        <v>274</v>
      </c>
      <c r="B31" s="28">
        <v>0</v>
      </c>
      <c r="C31" s="34">
        <v>0.02</v>
      </c>
      <c r="D31" s="21">
        <v>0.02</v>
      </c>
      <c r="E31" s="21">
        <v>0.25</v>
      </c>
      <c r="F31" s="21">
        <v>0.14000000000000001</v>
      </c>
      <c r="G31" s="21">
        <v>0.02</v>
      </c>
      <c r="H31" s="32">
        <v>0.02</v>
      </c>
      <c r="I31" s="28">
        <v>0</v>
      </c>
      <c r="J31" s="34">
        <v>0.3</v>
      </c>
      <c r="K31" s="29">
        <v>1.2500000000000001E-2</v>
      </c>
      <c r="L31" s="29">
        <v>0.35</v>
      </c>
      <c r="N31" s="16"/>
      <c r="O31" s="16"/>
      <c r="P31" s="29">
        <v>0.3</v>
      </c>
      <c r="Q31" s="13"/>
      <c r="R31" s="16"/>
      <c r="S31" s="16"/>
      <c r="T31" s="16"/>
      <c r="U31" s="16"/>
      <c r="V31" s="16"/>
      <c r="W31" s="16"/>
      <c r="X31" s="28">
        <f t="shared" si="1"/>
        <v>0.94179999999999997</v>
      </c>
      <c r="Y31" s="28">
        <v>0.94179999999999997</v>
      </c>
      <c r="Z31" s="16"/>
      <c r="AA31" s="21">
        <v>0.02</v>
      </c>
      <c r="AB31" s="56">
        <f t="shared" si="0"/>
        <v>1</v>
      </c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5.75" thickBot="1" x14ac:dyDescent="0.3">
      <c r="A32">
        <v>300</v>
      </c>
      <c r="B32" s="28">
        <v>0</v>
      </c>
      <c r="C32" s="16"/>
      <c r="D32" s="16"/>
      <c r="E32" s="16"/>
      <c r="F32" s="26"/>
      <c r="G32" s="16"/>
      <c r="H32" s="16"/>
      <c r="I32" s="28">
        <v>0</v>
      </c>
      <c r="J32" s="16"/>
      <c r="K32" s="16"/>
      <c r="L32" s="16"/>
      <c r="N32" s="21">
        <v>0.82</v>
      </c>
      <c r="O32" s="21">
        <v>0.82</v>
      </c>
      <c r="P32" s="16"/>
      <c r="Q32" s="13"/>
      <c r="R32" s="21">
        <v>0.8</v>
      </c>
      <c r="S32" s="21">
        <v>0.8</v>
      </c>
      <c r="T32" s="32">
        <v>0.8</v>
      </c>
      <c r="U32" s="21">
        <v>0.8</v>
      </c>
      <c r="V32" s="21">
        <v>0.8</v>
      </c>
      <c r="W32" s="32">
        <v>0.8</v>
      </c>
      <c r="X32" s="28">
        <f t="shared" si="1"/>
        <v>0.96000000000000008</v>
      </c>
      <c r="Y32" s="28">
        <v>0.96000000000000008</v>
      </c>
      <c r="Z32" s="21">
        <v>0.8</v>
      </c>
      <c r="AA32" s="16"/>
      <c r="AB32" s="56">
        <f t="shared" si="0"/>
        <v>1</v>
      </c>
      <c r="AC32" s="21">
        <v>0.86</v>
      </c>
      <c r="AD32" s="21">
        <v>0.86</v>
      </c>
      <c r="AE32" s="21">
        <v>0.86</v>
      </c>
      <c r="AF32" s="21">
        <v>0.86</v>
      </c>
      <c r="AG32" s="21">
        <v>0.86</v>
      </c>
      <c r="AH32" s="21">
        <v>0.86</v>
      </c>
      <c r="AI32" s="21">
        <v>0.86</v>
      </c>
      <c r="AJ32" s="21">
        <v>0.86</v>
      </c>
      <c r="AK32" s="21">
        <v>0.86</v>
      </c>
      <c r="AL32" s="21">
        <v>0.86</v>
      </c>
      <c r="AM32" s="21">
        <v>0.86</v>
      </c>
      <c r="AN32" s="21">
        <v>0.86</v>
      </c>
      <c r="AO32" s="21">
        <v>0.86</v>
      </c>
      <c r="AP32" s="21">
        <v>0.86</v>
      </c>
      <c r="AQ32" s="21">
        <v>0.86</v>
      </c>
      <c r="AR32" s="21">
        <v>0.86</v>
      </c>
      <c r="AS32" s="21">
        <v>0.86</v>
      </c>
    </row>
    <row r="33" spans="1:45" s="18" customFormat="1" ht="15.75" thickBot="1" x14ac:dyDescent="0.3">
      <c r="A33" s="18">
        <v>305</v>
      </c>
      <c r="B33" s="28">
        <v>0</v>
      </c>
      <c r="C33" s="34">
        <v>0.02</v>
      </c>
      <c r="D33" s="21">
        <v>0.02</v>
      </c>
      <c r="E33" s="21">
        <v>0.3</v>
      </c>
      <c r="F33" s="21">
        <v>0.15</v>
      </c>
      <c r="G33" s="21">
        <v>0.02</v>
      </c>
      <c r="H33" s="32">
        <v>0.02</v>
      </c>
      <c r="I33" s="28">
        <v>0</v>
      </c>
      <c r="J33" s="34">
        <v>0.3</v>
      </c>
      <c r="K33" s="29">
        <v>1.2500000000000001E-2</v>
      </c>
      <c r="L33" s="21">
        <v>0.4</v>
      </c>
      <c r="N33" s="16"/>
      <c r="O33" s="16"/>
      <c r="P33" s="21">
        <v>0.4</v>
      </c>
      <c r="Q33" s="13"/>
      <c r="R33" s="26"/>
      <c r="S33" s="26"/>
      <c r="T33" s="26"/>
      <c r="U33" s="26"/>
      <c r="V33" s="26"/>
      <c r="W33" s="26"/>
      <c r="X33" s="28">
        <f t="shared" si="1"/>
        <v>0.96350000000000002</v>
      </c>
      <c r="Y33" s="28">
        <v>0.96350000000000002</v>
      </c>
      <c r="Z33" s="26"/>
      <c r="AA33" s="21">
        <v>0.02</v>
      </c>
      <c r="AB33" s="56">
        <f t="shared" si="0"/>
        <v>1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spans="1:45" x14ac:dyDescent="0.25">
      <c r="A34">
        <v>329</v>
      </c>
      <c r="B34" s="28">
        <v>0</v>
      </c>
      <c r="C34" s="16"/>
      <c r="D34" s="16"/>
      <c r="F34" s="26"/>
      <c r="G34" s="16"/>
      <c r="H34" s="16"/>
      <c r="I34" s="28">
        <v>0</v>
      </c>
      <c r="K34" s="18"/>
      <c r="N34" s="16"/>
      <c r="O34" s="16"/>
      <c r="Q34" s="13"/>
      <c r="R34" s="16"/>
      <c r="S34" s="16"/>
      <c r="T34" s="16"/>
      <c r="U34" s="16"/>
      <c r="V34" s="16"/>
      <c r="W34" s="16"/>
      <c r="X34" s="28">
        <f t="shared" si="1"/>
        <v>0.98029999999999995</v>
      </c>
      <c r="Y34" s="28">
        <v>0.98029999999999995</v>
      </c>
      <c r="Z34" s="16"/>
      <c r="AA34" s="36"/>
      <c r="AB34" s="56">
        <f t="shared" si="0"/>
        <v>1</v>
      </c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 ht="15.75" thickBot="1" x14ac:dyDescent="0.3">
      <c r="A35">
        <v>350</v>
      </c>
      <c r="B35" s="28">
        <v>0</v>
      </c>
      <c r="C35" s="16"/>
      <c r="D35" s="16"/>
      <c r="F35" s="26"/>
      <c r="G35" s="16"/>
      <c r="H35" s="16"/>
      <c r="I35" s="28">
        <v>0</v>
      </c>
      <c r="K35" s="18"/>
      <c r="N35" s="16"/>
      <c r="O35" s="16"/>
      <c r="Q35" s="13"/>
      <c r="R35" s="16"/>
      <c r="S35" s="16"/>
      <c r="T35" s="16"/>
      <c r="U35" s="16"/>
      <c r="V35" s="16"/>
      <c r="W35" s="16"/>
      <c r="X35" s="28">
        <f t="shared" si="1"/>
        <v>0.995</v>
      </c>
      <c r="Y35" s="28">
        <v>0.995</v>
      </c>
      <c r="Z35" s="16"/>
      <c r="AA35" s="36"/>
      <c r="AB35" s="56">
        <f t="shared" si="0"/>
        <v>1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5" ht="15.75" thickBot="1" x14ac:dyDescent="0.3">
      <c r="A36">
        <v>400</v>
      </c>
      <c r="B36" s="28">
        <v>0</v>
      </c>
      <c r="C36" s="16"/>
      <c r="D36" s="16"/>
      <c r="F36" s="26"/>
      <c r="G36" s="16"/>
      <c r="H36" s="16"/>
      <c r="I36" s="28">
        <v>0</v>
      </c>
      <c r="K36" s="18"/>
      <c r="N36" s="21">
        <v>0.92</v>
      </c>
      <c r="O36" s="21">
        <v>0.92</v>
      </c>
      <c r="Q36" s="13"/>
      <c r="R36" s="21">
        <v>0.89</v>
      </c>
      <c r="S36" s="21">
        <v>0.89</v>
      </c>
      <c r="T36" s="32">
        <v>0.89</v>
      </c>
      <c r="U36" s="21">
        <v>0.89</v>
      </c>
      <c r="V36" s="21">
        <v>0.89</v>
      </c>
      <c r="W36" s="32">
        <v>0.89</v>
      </c>
      <c r="X36" s="28">
        <f t="shared" si="1"/>
        <v>1</v>
      </c>
      <c r="Y36" s="28">
        <v>1</v>
      </c>
      <c r="Z36" s="21">
        <v>0.89</v>
      </c>
      <c r="AA36" s="36"/>
      <c r="AB36" s="56">
        <f t="shared" si="0"/>
        <v>1</v>
      </c>
      <c r="AC36" s="21">
        <v>0.93</v>
      </c>
      <c r="AD36" s="21">
        <v>0.93</v>
      </c>
      <c r="AE36" s="21">
        <v>0.93</v>
      </c>
      <c r="AF36" s="21">
        <v>0.93</v>
      </c>
      <c r="AG36" s="21">
        <v>0.93</v>
      </c>
      <c r="AH36" s="21">
        <v>0.93</v>
      </c>
      <c r="AI36" s="21">
        <v>0.93</v>
      </c>
      <c r="AJ36" s="21">
        <v>0.93</v>
      </c>
      <c r="AK36" s="21">
        <v>0.93</v>
      </c>
      <c r="AL36" s="21">
        <v>0.93</v>
      </c>
      <c r="AM36" s="21">
        <v>0.93</v>
      </c>
      <c r="AN36" s="21">
        <v>0.93</v>
      </c>
      <c r="AO36" s="21">
        <v>0.93</v>
      </c>
      <c r="AP36" s="21">
        <v>0.93</v>
      </c>
      <c r="AQ36" s="21">
        <v>0.93</v>
      </c>
      <c r="AR36" s="21">
        <v>0.93</v>
      </c>
      <c r="AS36" s="21">
        <v>0.93</v>
      </c>
    </row>
    <row r="37" spans="1:45" x14ac:dyDescent="0.25">
      <c r="A37">
        <v>402</v>
      </c>
      <c r="B37" s="28">
        <v>0</v>
      </c>
      <c r="C37" s="16"/>
      <c r="D37" s="16"/>
      <c r="F37" s="26"/>
      <c r="G37" s="16"/>
      <c r="H37" s="16"/>
      <c r="I37" s="28">
        <v>0</v>
      </c>
      <c r="K37" s="18"/>
      <c r="N37" s="16"/>
      <c r="O37" s="16"/>
      <c r="Q37" s="13"/>
      <c r="R37" s="16"/>
      <c r="S37" s="16"/>
      <c r="T37" s="16"/>
      <c r="U37" s="16"/>
      <c r="V37" s="16"/>
      <c r="W37" s="16"/>
      <c r="X37" s="28">
        <f t="shared" si="1"/>
        <v>1</v>
      </c>
      <c r="Y37" s="28">
        <v>1</v>
      </c>
      <c r="Z37" s="16"/>
      <c r="AA37" s="36"/>
      <c r="AB37" s="56">
        <f t="shared" si="0"/>
        <v>1</v>
      </c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5" x14ac:dyDescent="0.25">
      <c r="A38">
        <v>421</v>
      </c>
      <c r="B38" s="28">
        <v>0</v>
      </c>
      <c r="C38" s="16"/>
      <c r="D38" s="16"/>
      <c r="F38" s="26"/>
      <c r="G38" s="16"/>
      <c r="H38" s="16"/>
      <c r="I38" s="28">
        <v>0</v>
      </c>
      <c r="K38" s="18"/>
      <c r="N38" s="16"/>
      <c r="O38" s="16"/>
      <c r="Q38" s="13"/>
      <c r="R38" s="16"/>
      <c r="S38" s="16"/>
      <c r="T38" s="16"/>
      <c r="U38" s="16"/>
      <c r="V38" s="16"/>
      <c r="W38" s="16"/>
      <c r="X38" s="28">
        <f t="shared" si="1"/>
        <v>1</v>
      </c>
      <c r="Y38" s="28">
        <v>1</v>
      </c>
      <c r="Z38" s="16"/>
      <c r="AA38" s="36"/>
      <c r="AB38" s="56">
        <f t="shared" si="0"/>
        <v>1</v>
      </c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</row>
    <row r="39" spans="1:45" x14ac:dyDescent="0.25">
      <c r="A39">
        <v>450</v>
      </c>
      <c r="B39" s="28">
        <v>0</v>
      </c>
      <c r="C39" s="16"/>
      <c r="D39" s="16"/>
      <c r="F39" s="26"/>
      <c r="G39" s="16"/>
      <c r="H39" s="16"/>
      <c r="I39" s="28">
        <v>0</v>
      </c>
      <c r="K39" s="18"/>
      <c r="N39" s="16"/>
      <c r="O39" s="16"/>
      <c r="Q39" s="13"/>
      <c r="R39" s="16"/>
      <c r="S39" s="16"/>
      <c r="T39" s="16"/>
      <c r="U39" s="16"/>
      <c r="V39" s="16"/>
      <c r="W39" s="16"/>
      <c r="X39" s="28">
        <f t="shared" si="1"/>
        <v>1</v>
      </c>
      <c r="Y39" s="28">
        <v>1</v>
      </c>
      <c r="Z39" s="16"/>
      <c r="AA39" s="36"/>
      <c r="AB39" s="56">
        <f t="shared" si="0"/>
        <v>1</v>
      </c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</row>
    <row r="40" spans="1:45" ht="15.75" thickBot="1" x14ac:dyDescent="0.3">
      <c r="A40">
        <v>487</v>
      </c>
      <c r="B40" s="28">
        <v>0</v>
      </c>
      <c r="C40" s="16"/>
      <c r="D40" s="16"/>
      <c r="F40" s="26"/>
      <c r="G40" s="16"/>
      <c r="H40" s="16"/>
      <c r="I40" s="28">
        <v>0</v>
      </c>
      <c r="K40" s="18"/>
      <c r="N40" s="16"/>
      <c r="O40" s="16"/>
      <c r="Q40" s="13"/>
      <c r="R40" s="16"/>
      <c r="S40" s="16"/>
      <c r="T40" s="16"/>
      <c r="U40" s="16"/>
      <c r="V40" s="16"/>
      <c r="W40" s="16"/>
      <c r="X40" s="28">
        <f t="shared" si="1"/>
        <v>1</v>
      </c>
      <c r="Y40" s="28">
        <v>1</v>
      </c>
      <c r="Z40" s="16"/>
      <c r="AA40" s="36"/>
      <c r="AB40" s="56">
        <f t="shared" si="0"/>
        <v>1</v>
      </c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</row>
    <row r="41" spans="1:45" ht="15.75" thickBot="1" x14ac:dyDescent="0.3">
      <c r="A41">
        <v>500</v>
      </c>
      <c r="B41" s="28">
        <v>0</v>
      </c>
      <c r="C41" s="16"/>
      <c r="D41" s="16"/>
      <c r="F41" s="26"/>
      <c r="G41" s="16"/>
      <c r="H41" s="16"/>
      <c r="I41" s="28">
        <v>0</v>
      </c>
      <c r="K41" s="18"/>
      <c r="N41" s="21">
        <v>0.99</v>
      </c>
      <c r="O41" s="21">
        <v>0.99</v>
      </c>
      <c r="Q41" s="13"/>
      <c r="R41" s="21">
        <v>0.89</v>
      </c>
      <c r="S41" s="21">
        <v>0.89</v>
      </c>
      <c r="T41" s="32">
        <v>0.89</v>
      </c>
      <c r="U41" s="21">
        <v>0.89</v>
      </c>
      <c r="V41" s="21">
        <v>0.89</v>
      </c>
      <c r="W41" s="32">
        <v>0.89</v>
      </c>
      <c r="X41" s="28">
        <f t="shared" si="1"/>
        <v>1</v>
      </c>
      <c r="Y41" s="28">
        <v>1</v>
      </c>
      <c r="Z41" s="21">
        <v>0.89</v>
      </c>
      <c r="AA41" s="36"/>
      <c r="AB41" s="56">
        <f t="shared" si="0"/>
        <v>1</v>
      </c>
      <c r="AC41" s="21">
        <v>0.98</v>
      </c>
      <c r="AD41" s="21">
        <v>0.98</v>
      </c>
      <c r="AE41" s="21">
        <v>0.98</v>
      </c>
      <c r="AF41" s="21">
        <v>0.98</v>
      </c>
      <c r="AG41" s="21">
        <v>0.98</v>
      </c>
      <c r="AH41" s="21">
        <v>0.98</v>
      </c>
      <c r="AI41" s="21">
        <v>0.98</v>
      </c>
      <c r="AJ41" s="21">
        <v>0.98</v>
      </c>
      <c r="AK41" s="21">
        <v>0.98</v>
      </c>
      <c r="AL41" s="21">
        <v>0.98</v>
      </c>
      <c r="AM41" s="21">
        <v>0.98</v>
      </c>
      <c r="AN41" s="21">
        <v>0.98</v>
      </c>
      <c r="AO41" s="21">
        <v>0.98</v>
      </c>
      <c r="AP41" s="21">
        <v>0.98</v>
      </c>
      <c r="AQ41" s="21">
        <v>0.98</v>
      </c>
      <c r="AR41" s="21">
        <v>0.98</v>
      </c>
      <c r="AS41" s="21">
        <v>0.98</v>
      </c>
    </row>
    <row r="42" spans="1:45" ht="15.75" thickBot="1" x14ac:dyDescent="0.3">
      <c r="A42">
        <v>560</v>
      </c>
      <c r="B42" s="28">
        <v>0</v>
      </c>
      <c r="C42" s="16"/>
      <c r="D42" s="16"/>
      <c r="F42" s="26"/>
      <c r="G42" s="16"/>
      <c r="H42" s="16"/>
      <c r="I42" s="28">
        <v>0</v>
      </c>
      <c r="K42" s="18"/>
      <c r="N42" s="16"/>
      <c r="O42" s="16"/>
      <c r="Q42" s="13"/>
      <c r="R42" s="16"/>
      <c r="S42" s="16"/>
      <c r="T42" s="16"/>
      <c r="U42" s="16"/>
      <c r="V42" s="16"/>
      <c r="W42" s="16"/>
      <c r="X42" s="28">
        <f t="shared" si="1"/>
        <v>1</v>
      </c>
      <c r="Y42" s="28">
        <v>1</v>
      </c>
      <c r="Z42" s="16"/>
      <c r="AA42" s="36"/>
      <c r="AB42" s="56">
        <f t="shared" si="0"/>
        <v>1</v>
      </c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</row>
    <row r="43" spans="1:45" ht="15.75" thickBot="1" x14ac:dyDescent="0.3">
      <c r="A43">
        <v>600</v>
      </c>
      <c r="B43" s="28">
        <v>0</v>
      </c>
      <c r="C43" s="16"/>
      <c r="D43" s="16"/>
      <c r="F43" s="26"/>
      <c r="G43" s="16"/>
      <c r="H43" s="16"/>
      <c r="I43" s="28">
        <v>0</v>
      </c>
      <c r="K43" s="18"/>
      <c r="N43" s="21">
        <v>1</v>
      </c>
      <c r="O43" s="21">
        <v>1</v>
      </c>
      <c r="Q43" s="13"/>
      <c r="R43" s="21">
        <v>1</v>
      </c>
      <c r="S43" s="21">
        <v>1</v>
      </c>
      <c r="T43" s="32">
        <v>1</v>
      </c>
      <c r="U43" s="21">
        <v>1</v>
      </c>
      <c r="V43" s="21">
        <v>1</v>
      </c>
      <c r="W43" s="32">
        <v>1</v>
      </c>
      <c r="X43" s="28">
        <f t="shared" si="1"/>
        <v>1</v>
      </c>
      <c r="Y43" s="28">
        <v>1</v>
      </c>
      <c r="Z43" s="21">
        <v>1</v>
      </c>
      <c r="AA43" s="36"/>
      <c r="AB43" s="56">
        <f t="shared" si="0"/>
        <v>1</v>
      </c>
      <c r="AC43" s="21">
        <v>1</v>
      </c>
      <c r="AD43" s="21">
        <v>1</v>
      </c>
      <c r="AE43" s="21">
        <v>1</v>
      </c>
      <c r="AF43" s="21">
        <v>1</v>
      </c>
      <c r="AG43" s="21">
        <v>1</v>
      </c>
      <c r="AH43" s="21">
        <v>1</v>
      </c>
      <c r="AI43" s="21">
        <v>1</v>
      </c>
      <c r="AJ43" s="21">
        <v>1</v>
      </c>
      <c r="AK43" s="21">
        <v>1</v>
      </c>
      <c r="AL43" s="21">
        <v>1</v>
      </c>
      <c r="AM43" s="21">
        <v>1</v>
      </c>
      <c r="AN43" s="21">
        <v>1</v>
      </c>
      <c r="AO43" s="21">
        <v>1</v>
      </c>
      <c r="AP43" s="21">
        <v>1</v>
      </c>
      <c r="AQ43" s="21">
        <v>1</v>
      </c>
      <c r="AR43" s="21">
        <v>1</v>
      </c>
      <c r="AS43" s="21">
        <v>1</v>
      </c>
    </row>
    <row r="44" spans="1:45" x14ac:dyDescent="0.25">
      <c r="A44">
        <v>627</v>
      </c>
      <c r="B44" s="28">
        <v>0</v>
      </c>
      <c r="C44" s="16"/>
      <c r="D44" s="16"/>
      <c r="F44" s="19"/>
      <c r="G44" s="16"/>
      <c r="H44" s="16"/>
      <c r="I44" s="28">
        <v>0</v>
      </c>
      <c r="K44" s="18"/>
      <c r="Q44" s="13"/>
      <c r="T44" s="18"/>
      <c r="U44" s="18"/>
      <c r="V44" s="18"/>
      <c r="X44" s="28">
        <f t="shared" si="1"/>
        <v>1</v>
      </c>
      <c r="Y44" s="28">
        <v>1</v>
      </c>
      <c r="Z44" s="85"/>
      <c r="AA44" s="36"/>
      <c r="AB44" s="56">
        <f t="shared" si="0"/>
        <v>1</v>
      </c>
    </row>
    <row r="45" spans="1:45" x14ac:dyDescent="0.25">
      <c r="A45">
        <v>628</v>
      </c>
      <c r="B45" s="28">
        <v>0</v>
      </c>
      <c r="C45" s="16"/>
      <c r="D45" s="16"/>
      <c r="F45" s="19"/>
      <c r="G45" s="16"/>
      <c r="H45" s="16"/>
      <c r="I45" s="28">
        <v>0</v>
      </c>
      <c r="K45" s="18"/>
      <c r="Q45" s="13"/>
      <c r="R45" s="13"/>
      <c r="S45" s="13"/>
      <c r="X45" s="28">
        <f t="shared" si="1"/>
        <v>1</v>
      </c>
      <c r="Y45" s="28">
        <v>1</v>
      </c>
      <c r="Z45" s="85"/>
      <c r="AA45" s="36"/>
      <c r="AB45" s="56">
        <f t="shared" si="0"/>
        <v>1</v>
      </c>
    </row>
    <row r="46" spans="1:45" x14ac:dyDescent="0.25">
      <c r="A46">
        <v>715</v>
      </c>
      <c r="B46" s="28">
        <v>0</v>
      </c>
      <c r="C46" s="16"/>
      <c r="D46" s="16"/>
      <c r="F46" s="19"/>
      <c r="G46" s="16"/>
      <c r="H46" s="16"/>
      <c r="I46" s="28">
        <v>0</v>
      </c>
      <c r="K46" s="18"/>
      <c r="Q46" s="13"/>
      <c r="R46" s="13"/>
      <c r="S46" s="13"/>
      <c r="X46" s="28">
        <f t="shared" si="1"/>
        <v>1</v>
      </c>
      <c r="Y46" s="28">
        <v>1</v>
      </c>
      <c r="Z46" s="85"/>
      <c r="AA46" s="36"/>
      <c r="AB46" s="56">
        <f t="shared" si="0"/>
        <v>1</v>
      </c>
    </row>
    <row r="47" spans="1:45" x14ac:dyDescent="0.25">
      <c r="A47">
        <v>779</v>
      </c>
      <c r="B47" s="28">
        <v>0</v>
      </c>
      <c r="C47" s="16"/>
      <c r="D47" s="16"/>
      <c r="F47" s="19"/>
      <c r="G47" s="16"/>
      <c r="H47" s="16"/>
      <c r="I47" s="28">
        <v>0</v>
      </c>
      <c r="K47" s="18"/>
      <c r="Q47" s="13"/>
      <c r="R47" s="13"/>
      <c r="S47" s="13"/>
      <c r="X47" s="28">
        <f t="shared" si="1"/>
        <v>1</v>
      </c>
      <c r="Y47" s="28">
        <v>1</v>
      </c>
      <c r="Z47" s="85"/>
      <c r="AA47" s="36"/>
      <c r="AB47" s="56">
        <f t="shared" si="0"/>
        <v>1</v>
      </c>
    </row>
    <row r="48" spans="1:45" x14ac:dyDescent="0.25">
      <c r="A48">
        <v>782</v>
      </c>
      <c r="B48" s="28">
        <v>0</v>
      </c>
      <c r="C48" s="16"/>
      <c r="D48" s="16"/>
      <c r="F48" s="19"/>
      <c r="G48" s="16"/>
      <c r="H48" s="16"/>
      <c r="I48" s="28">
        <v>0</v>
      </c>
      <c r="K48" s="18"/>
      <c r="Q48" s="13"/>
      <c r="R48" s="13"/>
      <c r="S48" s="13"/>
      <c r="X48" s="28">
        <f t="shared" si="1"/>
        <v>1</v>
      </c>
      <c r="Y48" s="28">
        <v>1</v>
      </c>
      <c r="Z48" s="85"/>
      <c r="AA48" s="36"/>
      <c r="AB48" s="56">
        <f t="shared" si="0"/>
        <v>1</v>
      </c>
    </row>
    <row r="49" spans="1:28" x14ac:dyDescent="0.25">
      <c r="A49">
        <v>877</v>
      </c>
      <c r="B49" s="28">
        <v>0</v>
      </c>
      <c r="C49" s="16"/>
      <c r="D49" s="16"/>
      <c r="F49" s="19"/>
      <c r="G49" s="16"/>
      <c r="H49" s="16"/>
      <c r="I49" s="28">
        <v>0</v>
      </c>
      <c r="K49" s="18"/>
      <c r="Q49" s="13"/>
      <c r="R49" s="13"/>
      <c r="S49" s="13"/>
      <c r="X49" s="28">
        <f t="shared" si="1"/>
        <v>1</v>
      </c>
      <c r="Y49" s="28">
        <v>1</v>
      </c>
      <c r="Z49" s="85"/>
      <c r="AA49" s="36"/>
      <c r="AB49" s="56">
        <f t="shared" si="0"/>
        <v>1</v>
      </c>
    </row>
    <row r="50" spans="1:28" x14ac:dyDescent="0.25">
      <c r="A50">
        <v>999</v>
      </c>
      <c r="B50" s="28">
        <v>0</v>
      </c>
      <c r="C50" s="16"/>
      <c r="D50" s="16"/>
      <c r="F50" s="19"/>
      <c r="G50" s="16"/>
      <c r="H50" s="16"/>
      <c r="I50" s="28">
        <v>0</v>
      </c>
      <c r="K50" s="18"/>
      <c r="Q50" s="13"/>
      <c r="R50" s="13"/>
      <c r="S50" s="13"/>
      <c r="X50" s="28">
        <f t="shared" si="1"/>
        <v>1</v>
      </c>
      <c r="Y50" s="28">
        <v>1</v>
      </c>
      <c r="Z50" s="85"/>
      <c r="AA50" s="36"/>
      <c r="AB50" s="56">
        <f t="shared" si="0"/>
        <v>1</v>
      </c>
    </row>
    <row r="51" spans="1:28" ht="15.75" thickBot="1" x14ac:dyDescent="0.3">
      <c r="A51">
        <v>1003</v>
      </c>
      <c r="B51" s="23">
        <v>0</v>
      </c>
      <c r="C51" s="16"/>
      <c r="D51" s="16"/>
      <c r="F51" s="19"/>
      <c r="G51" s="16"/>
      <c r="H51" s="16"/>
      <c r="I51" s="23">
        <v>0</v>
      </c>
      <c r="K51" s="18"/>
      <c r="Q51" s="13"/>
      <c r="R51" s="13"/>
      <c r="S51" s="13"/>
      <c r="X51" s="23">
        <f t="shared" si="1"/>
        <v>1</v>
      </c>
      <c r="Y51" s="23">
        <v>1</v>
      </c>
      <c r="Z51" s="85"/>
      <c r="AA51" s="36"/>
      <c r="AB51" s="57">
        <f t="shared" si="0"/>
        <v>1</v>
      </c>
    </row>
    <row r="52" spans="1:28" x14ac:dyDescent="0.25">
      <c r="F52" s="14"/>
      <c r="G52" s="14"/>
      <c r="AA52" s="19"/>
    </row>
    <row r="53" spans="1:28" x14ac:dyDescent="0.25">
      <c r="F53" s="15"/>
      <c r="G53" s="15"/>
    </row>
    <row r="54" spans="1:28" x14ac:dyDescent="0.25">
      <c r="B54" s="15"/>
      <c r="C54" s="15"/>
      <c r="F54" s="15"/>
      <c r="G54" s="15"/>
    </row>
    <row r="55" spans="1:28" x14ac:dyDescent="0.25">
      <c r="B55" s="15"/>
      <c r="C55" s="15"/>
      <c r="D55" s="15"/>
      <c r="F55" s="15"/>
      <c r="G55" s="15"/>
    </row>
    <row r="56" spans="1:28" x14ac:dyDescent="0.25">
      <c r="B56" s="15"/>
      <c r="C56" s="15"/>
      <c r="D56" s="15"/>
      <c r="F56" s="15"/>
      <c r="G56" s="15"/>
    </row>
    <row r="57" spans="1:28" x14ac:dyDescent="0.25">
      <c r="B57" s="15"/>
      <c r="C57" s="15"/>
      <c r="D57" s="15"/>
      <c r="F57" s="15"/>
      <c r="G57" s="15"/>
    </row>
    <row r="58" spans="1:28" x14ac:dyDescent="0.25">
      <c r="B58" s="15"/>
      <c r="C58" s="15"/>
      <c r="D58" s="15"/>
      <c r="F58" s="15"/>
      <c r="G58" s="15"/>
    </row>
    <row r="59" spans="1:28" x14ac:dyDescent="0.25">
      <c r="B59" s="15"/>
      <c r="C59" s="15"/>
      <c r="D59" s="15"/>
      <c r="E59" s="18"/>
      <c r="F59" s="15"/>
      <c r="G59" s="15"/>
    </row>
    <row r="60" spans="1:28" x14ac:dyDescent="0.25">
      <c r="B60" s="15"/>
      <c r="C60" s="15"/>
      <c r="D60" s="15"/>
      <c r="E60" s="18"/>
      <c r="F60" s="15"/>
      <c r="G60" s="15"/>
    </row>
    <row r="61" spans="1:28" x14ac:dyDescent="0.25">
      <c r="B61" s="15"/>
      <c r="C61" s="15"/>
      <c r="D61" s="15"/>
      <c r="E61" s="18"/>
      <c r="F61" s="15"/>
      <c r="G61" s="15"/>
      <c r="J61" s="18"/>
    </row>
    <row r="62" spans="1:28" x14ac:dyDescent="0.25">
      <c r="C62" s="15"/>
      <c r="D62" s="15"/>
      <c r="E62" s="18"/>
      <c r="F62" s="15"/>
      <c r="G62" s="15"/>
      <c r="J62" s="18"/>
    </row>
    <row r="63" spans="1:28" x14ac:dyDescent="0.25">
      <c r="D63" s="15"/>
      <c r="E63" s="18"/>
      <c r="F63" s="15"/>
      <c r="G63" s="15"/>
      <c r="J63" s="18"/>
    </row>
    <row r="64" spans="1:28" x14ac:dyDescent="0.25">
      <c r="D64" s="15"/>
      <c r="E64" s="18"/>
      <c r="F64" s="15"/>
      <c r="G64" s="15"/>
      <c r="J64" s="18"/>
    </row>
    <row r="65" spans="4:19" x14ac:dyDescent="0.25">
      <c r="D65" s="15"/>
      <c r="E65" s="18"/>
      <c r="F65" s="15"/>
      <c r="G65" s="15"/>
      <c r="J65" s="18"/>
      <c r="Q65" s="10"/>
      <c r="R65" s="10"/>
      <c r="S65" s="10"/>
    </row>
    <row r="66" spans="4:19" x14ac:dyDescent="0.25">
      <c r="D66" s="15"/>
      <c r="E66" s="18"/>
      <c r="F66" s="15"/>
      <c r="G66" s="15"/>
      <c r="J66" s="18"/>
    </row>
    <row r="67" spans="4:19" x14ac:dyDescent="0.25">
      <c r="J67" s="18"/>
    </row>
    <row r="68" spans="4:19" x14ac:dyDescent="0.25">
      <c r="J68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0"/>
  <sheetViews>
    <sheetView workbookViewId="0">
      <pane ySplit="1" topLeftCell="A20" activePane="bottomLeft" state="frozen"/>
      <selection pane="bottomLeft" activeCell="F18" sqref="F18"/>
    </sheetView>
  </sheetViews>
  <sheetFormatPr defaultRowHeight="15" x14ac:dyDescent="0.25"/>
  <cols>
    <col min="1" max="1" width="9.140625" style="18"/>
    <col min="2" max="2" width="10.28515625" style="18" bestFit="1" customWidth="1"/>
    <col min="3" max="4" width="9.28515625" style="18" bestFit="1" customWidth="1"/>
    <col min="5" max="5" width="14" style="18" bestFit="1" customWidth="1"/>
    <col min="6" max="6" width="12.85546875" style="18" bestFit="1" customWidth="1"/>
    <col min="7" max="7" width="10.5703125" style="18" bestFit="1" customWidth="1"/>
    <col min="8" max="8" width="10.140625" style="18" bestFit="1" customWidth="1"/>
    <col min="9" max="9" width="12.140625" style="18" bestFit="1" customWidth="1"/>
    <col min="10" max="10" width="10.5703125" style="18" bestFit="1" customWidth="1"/>
    <col min="11" max="11" width="11.5703125" style="18" bestFit="1" customWidth="1"/>
    <col min="12" max="12" width="13.7109375" style="18" bestFit="1" customWidth="1"/>
    <col min="13" max="15" width="9.140625" style="18"/>
    <col min="16" max="16" width="13.7109375" style="18" bestFit="1" customWidth="1"/>
    <col min="17" max="17" width="12.140625" style="18" bestFit="1" customWidth="1"/>
    <col min="18" max="19" width="12" style="18" customWidth="1"/>
    <col min="20" max="24" width="9.28515625" style="18" bestFit="1" customWidth="1"/>
    <col min="25" max="26" width="9.28515625" style="81" customWidth="1"/>
    <col min="27" max="27" width="11.5703125" style="18" bestFit="1" customWidth="1"/>
    <col min="28" max="28" width="10.7109375" style="18" bestFit="1" customWidth="1"/>
    <col min="29" max="29" width="9.5703125" style="18" bestFit="1" customWidth="1"/>
    <col min="30" max="45" width="9.28515625" style="18" bestFit="1" customWidth="1"/>
    <col min="46" max="16384" width="9.140625" style="18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43</v>
      </c>
      <c r="E1" s="1" t="s">
        <v>23</v>
      </c>
      <c r="F1" s="1" t="s">
        <v>24</v>
      </c>
      <c r="G1" s="1" t="s">
        <v>44</v>
      </c>
      <c r="H1" s="1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2</v>
      </c>
      <c r="N1" s="3" t="s">
        <v>3</v>
      </c>
      <c r="O1" s="3" t="s">
        <v>50</v>
      </c>
      <c r="P1" s="3" t="s">
        <v>51</v>
      </c>
      <c r="Q1" s="4" t="s">
        <v>4</v>
      </c>
      <c r="R1" s="4" t="s">
        <v>82</v>
      </c>
      <c r="S1" s="4" t="s">
        <v>83</v>
      </c>
      <c r="T1" s="4" t="s">
        <v>5</v>
      </c>
      <c r="U1" s="4" t="s">
        <v>6</v>
      </c>
      <c r="V1" s="4" t="s">
        <v>7</v>
      </c>
      <c r="W1" s="4" t="s">
        <v>84</v>
      </c>
      <c r="X1" s="4" t="s">
        <v>52</v>
      </c>
      <c r="Y1" s="4" t="s">
        <v>143</v>
      </c>
      <c r="Z1" s="4" t="s">
        <v>144</v>
      </c>
      <c r="AA1" s="5" t="s">
        <v>55</v>
      </c>
      <c r="AB1" s="5" t="s">
        <v>56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54</v>
      </c>
      <c r="AN1" s="6" t="s">
        <v>53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x14ac:dyDescent="0.25">
      <c r="A2" s="11" t="s">
        <v>27</v>
      </c>
      <c r="B2" s="18" t="s">
        <v>94</v>
      </c>
      <c r="C2" s="18" t="s">
        <v>94</v>
      </c>
      <c r="D2" s="18" t="s">
        <v>94</v>
      </c>
      <c r="E2" s="18" t="s">
        <v>36</v>
      </c>
      <c r="F2" s="18" t="s">
        <v>37</v>
      </c>
      <c r="G2" s="18" t="s">
        <v>78</v>
      </c>
      <c r="H2" s="18" t="s">
        <v>79</v>
      </c>
      <c r="I2" s="18" t="s">
        <v>38</v>
      </c>
      <c r="J2" s="18" t="s">
        <v>39</v>
      </c>
      <c r="K2" s="18" t="s">
        <v>40</v>
      </c>
      <c r="L2" s="18" t="s">
        <v>41</v>
      </c>
      <c r="N2" s="18" t="s">
        <v>42</v>
      </c>
      <c r="O2" s="18" t="s">
        <v>42</v>
      </c>
      <c r="P2" s="18" t="s">
        <v>80</v>
      </c>
      <c r="Q2" s="18" t="s">
        <v>166</v>
      </c>
      <c r="R2" s="18" t="s">
        <v>32</v>
      </c>
      <c r="S2" s="18" t="s">
        <v>32</v>
      </c>
      <c r="T2" s="18" t="s">
        <v>32</v>
      </c>
      <c r="U2" s="18" t="s">
        <v>32</v>
      </c>
      <c r="V2" s="18" t="s">
        <v>32</v>
      </c>
      <c r="W2" s="18" t="s">
        <v>32</v>
      </c>
      <c r="X2" s="18" t="s">
        <v>42</v>
      </c>
      <c r="Y2" s="81" t="s">
        <v>145</v>
      </c>
      <c r="Z2" s="81" t="s">
        <v>166</v>
      </c>
      <c r="AA2" s="18" t="s">
        <v>88</v>
      </c>
      <c r="AB2" s="18" t="s">
        <v>87</v>
      </c>
      <c r="AC2" s="18" t="s">
        <v>42</v>
      </c>
      <c r="AD2" s="18" t="s">
        <v>42</v>
      </c>
      <c r="AE2" s="18" t="s">
        <v>42</v>
      </c>
      <c r="AF2" s="18" t="s">
        <v>42</v>
      </c>
      <c r="AG2" s="18" t="s">
        <v>42</v>
      </c>
      <c r="AH2" s="18" t="s">
        <v>42</v>
      </c>
      <c r="AI2" s="18" t="s">
        <v>42</v>
      </c>
      <c r="AJ2" s="18" t="s">
        <v>42</v>
      </c>
      <c r="AK2" s="18" t="s">
        <v>42</v>
      </c>
      <c r="AL2" s="18" t="s">
        <v>42</v>
      </c>
      <c r="AM2" s="18" t="s">
        <v>42</v>
      </c>
      <c r="AN2" s="18" t="s">
        <v>42</v>
      </c>
      <c r="AO2" s="18" t="s">
        <v>42</v>
      </c>
      <c r="AP2" s="18" t="s">
        <v>42</v>
      </c>
      <c r="AQ2" s="18" t="s">
        <v>42</v>
      </c>
      <c r="AR2" s="18" t="s">
        <v>42</v>
      </c>
      <c r="AS2" s="18" t="s">
        <v>42</v>
      </c>
    </row>
    <row r="3" spans="1:45" x14ac:dyDescent="0.25">
      <c r="A3" s="18" t="s">
        <v>28</v>
      </c>
      <c r="B3" s="18">
        <f>(10464286+7528819+6350000)/3</f>
        <v>8114368.333333333</v>
      </c>
      <c r="C3" s="10">
        <v>2190500</v>
      </c>
      <c r="D3" s="10">
        <v>1216364</v>
      </c>
      <c r="E3" s="49">
        <f>(100000000+500000000+500000000)/3</f>
        <v>366666666.66666669</v>
      </c>
      <c r="F3" s="49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48">
        <v>163333333.33333334</v>
      </c>
      <c r="N3" s="10">
        <v>543</v>
      </c>
      <c r="O3" s="10">
        <v>543</v>
      </c>
      <c r="P3" s="10">
        <v>326666666.66666669</v>
      </c>
      <c r="Q3" s="10"/>
      <c r="R3" s="25">
        <v>0.9</v>
      </c>
      <c r="S3" s="50">
        <v>0.6</v>
      </c>
      <c r="T3" s="51">
        <v>0.25</v>
      </c>
      <c r="U3" s="51">
        <v>0.22500000000000001</v>
      </c>
      <c r="V3" s="51">
        <v>0.17499999999999999</v>
      </c>
      <c r="W3" s="51">
        <v>7.4999999999999997E-2</v>
      </c>
      <c r="X3" s="52">
        <v>1197</v>
      </c>
      <c r="Y3" s="52">
        <v>500</v>
      </c>
      <c r="Z3" s="52"/>
      <c r="AA3" s="51">
        <v>2000000</v>
      </c>
      <c r="AB3" s="53">
        <v>175000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  <c r="AR3" s="18">
        <v>639</v>
      </c>
      <c r="AS3" s="18">
        <v>639</v>
      </c>
    </row>
    <row r="4" spans="1:45" x14ac:dyDescent="0.25">
      <c r="A4" s="18" t="s">
        <v>29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W4" s="18" t="s">
        <v>26</v>
      </c>
      <c r="X4" s="18" t="s">
        <v>26</v>
      </c>
      <c r="Y4" s="81" t="s">
        <v>26</v>
      </c>
      <c r="AA4" s="18" t="s">
        <v>26</v>
      </c>
      <c r="AB4" s="54">
        <v>100000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  <c r="AR4" s="18" t="s">
        <v>26</v>
      </c>
      <c r="AS4" s="18" t="s">
        <v>26</v>
      </c>
    </row>
    <row r="5" spans="1:45" x14ac:dyDescent="0.25">
      <c r="A5" s="18" t="s">
        <v>30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W5" s="18" t="s">
        <v>26</v>
      </c>
      <c r="X5" s="18" t="s">
        <v>26</v>
      </c>
      <c r="Y5" s="81" t="s">
        <v>26</v>
      </c>
      <c r="AA5" s="18" t="s">
        <v>26</v>
      </c>
      <c r="AB5" s="54">
        <v>300000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  <c r="AR5" s="18" t="s">
        <v>26</v>
      </c>
      <c r="AS5" s="18" t="s">
        <v>26</v>
      </c>
    </row>
    <row r="6" spans="1:45" x14ac:dyDescent="0.25">
      <c r="A6" s="18" t="s">
        <v>57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47">
        <v>2021</v>
      </c>
      <c r="H6" s="47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2010</v>
      </c>
      <c r="Z6" s="87"/>
      <c r="AA6" s="20">
        <v>2001</v>
      </c>
      <c r="AB6" s="18" t="s">
        <v>99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  <c r="AR6" s="20">
        <v>2010</v>
      </c>
      <c r="AS6" s="20">
        <v>2010</v>
      </c>
    </row>
    <row r="7" spans="1:45" x14ac:dyDescent="0.25">
      <c r="A7" s="18" t="s">
        <v>58</v>
      </c>
      <c r="B7" s="18" t="s">
        <v>59</v>
      </c>
      <c r="C7" s="18" t="s">
        <v>59</v>
      </c>
      <c r="D7" s="18" t="s">
        <v>59</v>
      </c>
      <c r="E7" s="18" t="s">
        <v>59</v>
      </c>
      <c r="F7" s="18" t="s">
        <v>59</v>
      </c>
      <c r="G7" s="18" t="s">
        <v>59</v>
      </c>
      <c r="H7" s="18" t="s">
        <v>59</v>
      </c>
      <c r="I7" s="18" t="s">
        <v>59</v>
      </c>
      <c r="J7" s="18" t="s">
        <v>59</v>
      </c>
      <c r="K7" s="18" t="s">
        <v>59</v>
      </c>
      <c r="L7" s="18" t="s">
        <v>59</v>
      </c>
      <c r="N7" s="18" t="s">
        <v>81</v>
      </c>
      <c r="O7" s="18" t="s">
        <v>81</v>
      </c>
      <c r="P7" s="18" t="s">
        <v>59</v>
      </c>
      <c r="R7" s="18" t="s">
        <v>85</v>
      </c>
      <c r="S7" s="18" t="s">
        <v>85</v>
      </c>
      <c r="T7" s="18" t="s">
        <v>85</v>
      </c>
      <c r="U7" s="18" t="s">
        <v>85</v>
      </c>
      <c r="V7" s="18" t="s">
        <v>85</v>
      </c>
      <c r="W7" s="18" t="s">
        <v>85</v>
      </c>
      <c r="X7" s="20" t="s">
        <v>86</v>
      </c>
      <c r="Y7" s="20" t="s">
        <v>59</v>
      </c>
      <c r="Z7" s="20"/>
      <c r="AA7" s="20" t="s">
        <v>59</v>
      </c>
      <c r="AB7" s="18" t="s">
        <v>59</v>
      </c>
      <c r="AC7" s="20" t="s">
        <v>81</v>
      </c>
      <c r="AD7" s="20" t="s">
        <v>81</v>
      </c>
      <c r="AE7" s="20" t="s">
        <v>81</v>
      </c>
      <c r="AF7" s="20" t="s">
        <v>81</v>
      </c>
      <c r="AG7" s="20" t="s">
        <v>81</v>
      </c>
      <c r="AH7" s="20" t="s">
        <v>81</v>
      </c>
      <c r="AI7" s="20" t="s">
        <v>81</v>
      </c>
      <c r="AJ7" s="20" t="s">
        <v>81</v>
      </c>
      <c r="AK7" s="20" t="s">
        <v>81</v>
      </c>
      <c r="AL7" s="20" t="s">
        <v>81</v>
      </c>
      <c r="AM7" s="20" t="s">
        <v>81</v>
      </c>
      <c r="AN7" s="20" t="s">
        <v>81</v>
      </c>
      <c r="AO7" s="20" t="s">
        <v>81</v>
      </c>
      <c r="AP7" s="20" t="s">
        <v>81</v>
      </c>
      <c r="AQ7" s="20" t="s">
        <v>81</v>
      </c>
      <c r="AR7" s="20" t="s">
        <v>81</v>
      </c>
      <c r="AS7" s="20" t="s">
        <v>81</v>
      </c>
    </row>
    <row r="8" spans="1:45" ht="15.75" thickBot="1" x14ac:dyDescent="0.3">
      <c r="X8" s="20"/>
      <c r="Y8" s="20"/>
      <c r="Z8" s="20"/>
      <c r="AA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s="60" customFormat="1" x14ac:dyDescent="0.25">
      <c r="A9" s="59" t="s">
        <v>107</v>
      </c>
      <c r="X9" s="61"/>
      <c r="Y9" s="61"/>
      <c r="Z9" s="61"/>
      <c r="AA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</row>
    <row r="10" spans="1:45" s="63" customFormat="1" x14ac:dyDescent="0.25">
      <c r="A10" s="62" t="s">
        <v>90</v>
      </c>
    </row>
    <row r="11" spans="1:45" s="63" customFormat="1" x14ac:dyDescent="0.25">
      <c r="A11" s="64" t="s">
        <v>102</v>
      </c>
    </row>
    <row r="12" spans="1:45" s="63" customFormat="1" x14ac:dyDescent="0.25">
      <c r="A12" s="64" t="s">
        <v>103</v>
      </c>
    </row>
    <row r="13" spans="1:45" s="63" customFormat="1" x14ac:dyDescent="0.25">
      <c r="A13" s="64" t="s">
        <v>104</v>
      </c>
    </row>
    <row r="14" spans="1:45" s="63" customFormat="1" x14ac:dyDescent="0.25">
      <c r="A14" s="64" t="s">
        <v>105</v>
      </c>
    </row>
    <row r="15" spans="1:45" s="68" customFormat="1" x14ac:dyDescent="0.25">
      <c r="A15" s="68" t="s">
        <v>101</v>
      </c>
      <c r="B15" s="68">
        <v>17.600000000000001</v>
      </c>
      <c r="C15" s="68">
        <v>17.600000000000001</v>
      </c>
      <c r="D15" s="68">
        <v>17.600000000000001</v>
      </c>
      <c r="E15" s="69">
        <v>33.9</v>
      </c>
      <c r="F15" s="69">
        <v>33.9</v>
      </c>
      <c r="G15" s="69">
        <v>-12.8</v>
      </c>
      <c r="H15" s="69">
        <v>-12.8</v>
      </c>
      <c r="I15" s="69">
        <v>33.9</v>
      </c>
      <c r="J15" s="69">
        <v>33.9</v>
      </c>
      <c r="K15" s="69">
        <v>33.9</v>
      </c>
      <c r="L15" s="69">
        <v>33.9</v>
      </c>
      <c r="N15" s="68">
        <f>(3.34+4.82+3.73+2.61+2.35+1.43)/6</f>
        <v>3.0466666666666669</v>
      </c>
      <c r="O15" s="68">
        <f>(3.34+4.82+3.73+2.61+2.35+1.43)/6</f>
        <v>3.0466666666666669</v>
      </c>
      <c r="P15" s="69">
        <v>33.9</v>
      </c>
      <c r="R15" s="68" t="s">
        <v>106</v>
      </c>
      <c r="S15" s="68" t="s">
        <v>106</v>
      </c>
      <c r="T15" s="68" t="s">
        <v>106</v>
      </c>
      <c r="U15" s="68" t="s">
        <v>106</v>
      </c>
      <c r="V15" s="68" t="s">
        <v>106</v>
      </c>
      <c r="W15" s="68" t="s">
        <v>106</v>
      </c>
      <c r="X15" s="68">
        <v>34</v>
      </c>
      <c r="Y15" s="68">
        <v>8.6999999999999993</v>
      </c>
      <c r="AA15" s="69">
        <v>33.9</v>
      </c>
      <c r="AB15" s="68">
        <v>-5.6</v>
      </c>
      <c r="AC15" s="68">
        <f>(3.34+4.82+3.73+2.61+2.35+1.43)/6</f>
        <v>3.0466666666666669</v>
      </c>
      <c r="AD15" s="68">
        <f t="shared" ref="AD15:AS15" si="0">(3.34+4.82+3.73+2.61+2.35+1.43)/6</f>
        <v>3.0466666666666669</v>
      </c>
      <c r="AE15" s="68">
        <f t="shared" si="0"/>
        <v>3.0466666666666669</v>
      </c>
      <c r="AF15" s="68">
        <f t="shared" si="0"/>
        <v>3.0466666666666669</v>
      </c>
      <c r="AG15" s="68">
        <f t="shared" si="0"/>
        <v>3.0466666666666669</v>
      </c>
      <c r="AH15" s="68">
        <f t="shared" si="0"/>
        <v>3.0466666666666669</v>
      </c>
      <c r="AI15" s="68">
        <f t="shared" si="0"/>
        <v>3.0466666666666669</v>
      </c>
      <c r="AJ15" s="68">
        <f t="shared" si="0"/>
        <v>3.0466666666666669</v>
      </c>
      <c r="AK15" s="68">
        <f t="shared" si="0"/>
        <v>3.0466666666666669</v>
      </c>
      <c r="AL15" s="68">
        <f t="shared" si="0"/>
        <v>3.0466666666666669</v>
      </c>
      <c r="AM15" s="68">
        <f t="shared" si="0"/>
        <v>3.0466666666666669</v>
      </c>
      <c r="AN15" s="68">
        <f t="shared" si="0"/>
        <v>3.0466666666666669</v>
      </c>
      <c r="AO15" s="68">
        <f t="shared" si="0"/>
        <v>3.0466666666666669</v>
      </c>
      <c r="AP15" s="68">
        <f t="shared" si="0"/>
        <v>3.0466666666666669</v>
      </c>
      <c r="AQ15" s="68">
        <f t="shared" si="0"/>
        <v>3.0466666666666669</v>
      </c>
      <c r="AR15" s="68">
        <f t="shared" si="0"/>
        <v>3.0466666666666669</v>
      </c>
      <c r="AS15" s="68">
        <f t="shared" si="0"/>
        <v>3.0466666666666669</v>
      </c>
    </row>
    <row r="16" spans="1:45" s="70" customFormat="1" x14ac:dyDescent="0.25">
      <c r="A16" s="70" t="s">
        <v>28</v>
      </c>
      <c r="B16" s="70">
        <f>B3*(($B$15/100)+1)</f>
        <v>9542497.1599999983</v>
      </c>
      <c r="C16" s="70">
        <f>C3*(($C$15/100)+1)</f>
        <v>2576028</v>
      </c>
      <c r="D16" s="70">
        <f>D3*(($D$15/100)+1)</f>
        <v>1430444.064</v>
      </c>
      <c r="E16" s="70">
        <f>E3*(($E$15/100)+1)</f>
        <v>490966666.66666669</v>
      </c>
      <c r="F16" s="70">
        <f>F3*(($F$15/100)+1)</f>
        <v>35706666.666666664</v>
      </c>
      <c r="G16" s="70">
        <f>G3*(($G$15/100)+1)</f>
        <v>223896.42766666668</v>
      </c>
      <c r="H16" s="70">
        <f>H3*(($H$15/100)+1)</f>
        <v>39468.318666666666</v>
      </c>
      <c r="I16" s="70">
        <f>I3*(($I$15/100)+1)</f>
        <v>1071200</v>
      </c>
      <c r="J16" s="70">
        <f>J3*(($J$15/100)+1)</f>
        <v>535600</v>
      </c>
      <c r="K16" s="70">
        <f>K3*(($K$15/100)+1)</f>
        <v>1239914</v>
      </c>
      <c r="L16" s="70">
        <f>L3*(($L$15/100)+1)</f>
        <v>218703333.33333334</v>
      </c>
      <c r="N16" s="70">
        <f>N3*((N15/100)+1)</f>
        <v>559.54340000000002</v>
      </c>
      <c r="O16" s="70">
        <f>O3*((O15/100)+1)</f>
        <v>559.54340000000002</v>
      </c>
      <c r="P16" s="70">
        <f>P3*(($P$15/100)+1)</f>
        <v>437406666.66666669</v>
      </c>
      <c r="R16" s="71">
        <f t="shared" ref="R16:W18" si="1">R3</f>
        <v>0.9</v>
      </c>
      <c r="S16" s="71">
        <f t="shared" si="1"/>
        <v>0.6</v>
      </c>
      <c r="T16" s="71">
        <f t="shared" si="1"/>
        <v>0.25</v>
      </c>
      <c r="U16" s="71">
        <f t="shared" si="1"/>
        <v>0.22500000000000001</v>
      </c>
      <c r="V16" s="71">
        <f t="shared" si="1"/>
        <v>0.17499999999999999</v>
      </c>
      <c r="W16" s="71">
        <f t="shared" si="1"/>
        <v>7.4999999999999997E-2</v>
      </c>
      <c r="X16" s="70">
        <f>X3*((X15/100)+1)</f>
        <v>1603.98</v>
      </c>
      <c r="Y16" s="70">
        <f>Y3*(($Y$15/100)+1)</f>
        <v>543.5</v>
      </c>
      <c r="AA16" s="70">
        <f>AA3*(($AA$15/100)+1)</f>
        <v>2678000</v>
      </c>
      <c r="AB16" s="70">
        <f>AB3*(($AB$15/100)+1)</f>
        <v>165200</v>
      </c>
      <c r="AC16" s="70">
        <f>AC3*((AC15/100)+1)</f>
        <v>658.46820000000002</v>
      </c>
      <c r="AD16" s="70">
        <f t="shared" ref="AD16:AS16" si="2">AD3*((AD15/100)+1)</f>
        <v>658.46820000000002</v>
      </c>
      <c r="AE16" s="70">
        <f t="shared" si="2"/>
        <v>658.46820000000002</v>
      </c>
      <c r="AF16" s="70">
        <f t="shared" si="2"/>
        <v>658.46820000000002</v>
      </c>
      <c r="AG16" s="70">
        <f t="shared" si="2"/>
        <v>658.46820000000002</v>
      </c>
      <c r="AH16" s="70">
        <f t="shared" si="2"/>
        <v>658.46820000000002</v>
      </c>
      <c r="AI16" s="70">
        <f t="shared" si="2"/>
        <v>658.46820000000002</v>
      </c>
      <c r="AJ16" s="70">
        <f t="shared" si="2"/>
        <v>658.46820000000002</v>
      </c>
      <c r="AK16" s="70">
        <f t="shared" si="2"/>
        <v>658.46820000000002</v>
      </c>
      <c r="AL16" s="70">
        <f t="shared" si="2"/>
        <v>658.46820000000002</v>
      </c>
      <c r="AM16" s="70">
        <f t="shared" si="2"/>
        <v>658.46820000000002</v>
      </c>
      <c r="AN16" s="70">
        <f t="shared" si="2"/>
        <v>658.46820000000002</v>
      </c>
      <c r="AO16" s="70">
        <f t="shared" si="2"/>
        <v>658.46820000000002</v>
      </c>
      <c r="AP16" s="70">
        <f t="shared" si="2"/>
        <v>658.46820000000002</v>
      </c>
      <c r="AQ16" s="70">
        <f t="shared" si="2"/>
        <v>658.46820000000002</v>
      </c>
      <c r="AR16" s="70">
        <f t="shared" si="2"/>
        <v>658.46820000000002</v>
      </c>
      <c r="AS16" s="70">
        <f t="shared" si="2"/>
        <v>658.46820000000002</v>
      </c>
    </row>
    <row r="17" spans="1:45" s="70" customFormat="1" x14ac:dyDescent="0.25">
      <c r="A17" s="70" t="s">
        <v>29</v>
      </c>
      <c r="B17" s="70">
        <f>B4*(($B$15/100)+1)</f>
        <v>1293600</v>
      </c>
      <c r="C17" s="70">
        <f>C4*(($C$15/100)+1)</f>
        <v>382200</v>
      </c>
      <c r="D17" s="70">
        <f>D4*(($D$15/100)+1)</f>
        <v>176400</v>
      </c>
      <c r="E17" s="70">
        <f>E4*(($E$15/100)+1)</f>
        <v>133900000</v>
      </c>
      <c r="F17" s="70">
        <f>F4*(($F$15/100)+1)</f>
        <v>13390000</v>
      </c>
      <c r="G17" s="70">
        <f>G4*(($G$15/100)+1)</f>
        <v>39383.008000000002</v>
      </c>
      <c r="H17" s="70">
        <f>H4*(($H$15/100)+1)</f>
        <v>18782.008000000002</v>
      </c>
      <c r="I17" s="70" t="s">
        <v>26</v>
      </c>
      <c r="J17" s="70" t="s">
        <v>26</v>
      </c>
      <c r="K17" s="70">
        <f>K4*(($K$15/100)+1)</f>
        <v>40170</v>
      </c>
      <c r="L17" s="70">
        <f>L4*(($L$15/100)+1)</f>
        <v>40170000</v>
      </c>
      <c r="N17" s="70" t="s">
        <v>26</v>
      </c>
      <c r="O17" s="70" t="s">
        <v>26</v>
      </c>
      <c r="P17" s="70">
        <f>P4*(($P$15/100)+1)</f>
        <v>80340000</v>
      </c>
      <c r="Q17" s="71"/>
      <c r="R17" s="71" t="str">
        <f t="shared" si="1"/>
        <v>n/a</v>
      </c>
      <c r="S17" s="71" t="str">
        <f t="shared" si="1"/>
        <v>n/a</v>
      </c>
      <c r="T17" s="71" t="str">
        <f t="shared" si="1"/>
        <v>n/a</v>
      </c>
      <c r="U17" s="71" t="str">
        <f t="shared" si="1"/>
        <v>n/a</v>
      </c>
      <c r="V17" s="71" t="str">
        <f t="shared" si="1"/>
        <v>n/a</v>
      </c>
      <c r="W17" s="71" t="str">
        <f t="shared" si="1"/>
        <v>n/a</v>
      </c>
      <c r="X17" s="71" t="str">
        <f>X4</f>
        <v>n/a</v>
      </c>
      <c r="Y17" s="71" t="str">
        <f>Y4</f>
        <v>n/a</v>
      </c>
      <c r="Z17" s="71"/>
      <c r="AA17" s="70" t="s">
        <v>26</v>
      </c>
      <c r="AB17" s="72">
        <v>100000</v>
      </c>
      <c r="AC17" s="70" t="s">
        <v>26</v>
      </c>
      <c r="AD17" s="70" t="s">
        <v>26</v>
      </c>
      <c r="AE17" s="70" t="s">
        <v>26</v>
      </c>
      <c r="AF17" s="70" t="s">
        <v>26</v>
      </c>
      <c r="AG17" s="70" t="s">
        <v>26</v>
      </c>
      <c r="AH17" s="70" t="s">
        <v>26</v>
      </c>
      <c r="AI17" s="70" t="s">
        <v>26</v>
      </c>
      <c r="AJ17" s="70" t="s">
        <v>26</v>
      </c>
      <c r="AK17" s="70" t="s">
        <v>26</v>
      </c>
      <c r="AL17" s="70" t="s">
        <v>26</v>
      </c>
      <c r="AM17" s="70" t="s">
        <v>26</v>
      </c>
      <c r="AN17" s="70" t="s">
        <v>26</v>
      </c>
      <c r="AO17" s="70" t="s">
        <v>26</v>
      </c>
      <c r="AP17" s="70" t="s">
        <v>26</v>
      </c>
      <c r="AQ17" s="70" t="s">
        <v>26</v>
      </c>
      <c r="AR17" s="70" t="s">
        <v>26</v>
      </c>
      <c r="AS17" s="70" t="s">
        <v>26</v>
      </c>
    </row>
    <row r="18" spans="1:45" s="70" customFormat="1" x14ac:dyDescent="0.25">
      <c r="A18" s="70" t="s">
        <v>30</v>
      </c>
      <c r="B18" s="70">
        <f>B5*(($B$15/100)+1)</f>
        <v>27048000</v>
      </c>
      <c r="C18" s="70">
        <f>C5*(($C$15/100)+1)</f>
        <v>5880000</v>
      </c>
      <c r="D18" s="70">
        <f>D5*(($D$15/100)+1)</f>
        <v>2681280</v>
      </c>
      <c r="E18" s="70">
        <f>E5*(($E$15/100)+1)</f>
        <v>669500000</v>
      </c>
      <c r="F18" s="70">
        <f>F5*(($F$15/100)+1)</f>
        <v>66950000</v>
      </c>
      <c r="G18" s="70">
        <f>G5*(($G$15/100)+1)</f>
        <v>761092.93599999999</v>
      </c>
      <c r="H18" s="70">
        <f>H5*(($H$15/100)+1)</f>
        <v>62284.343999999997</v>
      </c>
      <c r="I18" s="70" t="s">
        <v>26</v>
      </c>
      <c r="J18" s="70" t="s">
        <v>26</v>
      </c>
      <c r="K18" s="70">
        <f>K5*(($K$15/100)+1)</f>
        <v>2008500</v>
      </c>
      <c r="L18" s="70">
        <f>L5*(($L$15/100)+1)</f>
        <v>482040000</v>
      </c>
      <c r="N18" s="70" t="s">
        <v>26</v>
      </c>
      <c r="O18" s="70" t="s">
        <v>26</v>
      </c>
      <c r="P18" s="70">
        <f>P5*(($P$15/100)+1)</f>
        <v>964080000</v>
      </c>
      <c r="Q18" s="71"/>
      <c r="R18" s="71" t="str">
        <f t="shared" si="1"/>
        <v>n/a</v>
      </c>
      <c r="S18" s="71" t="str">
        <f t="shared" si="1"/>
        <v>n/a</v>
      </c>
      <c r="T18" s="71" t="str">
        <f t="shared" si="1"/>
        <v>n/a</v>
      </c>
      <c r="U18" s="71" t="str">
        <f t="shared" si="1"/>
        <v>n/a</v>
      </c>
      <c r="V18" s="71" t="str">
        <f t="shared" si="1"/>
        <v>n/a</v>
      </c>
      <c r="W18" s="71" t="str">
        <f t="shared" si="1"/>
        <v>n/a</v>
      </c>
      <c r="X18" s="71" t="str">
        <f>X5</f>
        <v>n/a</v>
      </c>
      <c r="Y18" s="71" t="str">
        <f>Y5</f>
        <v>n/a</v>
      </c>
      <c r="Z18" s="71"/>
      <c r="AA18" s="70" t="s">
        <v>26</v>
      </c>
      <c r="AB18" s="72">
        <v>300000</v>
      </c>
      <c r="AC18" s="70" t="s">
        <v>26</v>
      </c>
      <c r="AD18" s="70" t="s">
        <v>26</v>
      </c>
      <c r="AE18" s="70" t="s">
        <v>26</v>
      </c>
      <c r="AF18" s="70" t="s">
        <v>26</v>
      </c>
      <c r="AG18" s="70" t="s">
        <v>26</v>
      </c>
      <c r="AH18" s="70" t="s">
        <v>26</v>
      </c>
      <c r="AI18" s="70" t="s">
        <v>26</v>
      </c>
      <c r="AJ18" s="70" t="s">
        <v>26</v>
      </c>
      <c r="AK18" s="70" t="s">
        <v>26</v>
      </c>
      <c r="AL18" s="70" t="s">
        <v>26</v>
      </c>
      <c r="AM18" s="70" t="s">
        <v>26</v>
      </c>
      <c r="AN18" s="70" t="s">
        <v>26</v>
      </c>
      <c r="AO18" s="70" t="s">
        <v>26</v>
      </c>
      <c r="AP18" s="70" t="s">
        <v>26</v>
      </c>
      <c r="AQ18" s="70" t="s">
        <v>26</v>
      </c>
      <c r="AR18" s="70" t="s">
        <v>26</v>
      </c>
      <c r="AS18" s="70" t="s">
        <v>26</v>
      </c>
    </row>
    <row r="19" spans="1:45" s="67" customFormat="1" ht="16.5" customHeight="1" thickBot="1" x14ac:dyDescent="0.3">
      <c r="A19" s="66"/>
    </row>
    <row r="21" spans="1:45" ht="15.75" thickBot="1" x14ac:dyDescent="0.3"/>
    <row r="22" spans="1:45" s="60" customFormat="1" x14ac:dyDescent="0.25">
      <c r="A22" s="59" t="s">
        <v>108</v>
      </c>
    </row>
    <row r="23" spans="1:45" s="63" customFormat="1" x14ac:dyDescent="0.25">
      <c r="A23" s="62" t="s">
        <v>93</v>
      </c>
    </row>
    <row r="24" spans="1:45" s="63" customFormat="1" ht="15.75" thickBot="1" x14ac:dyDescent="0.3">
      <c r="A24" s="65"/>
    </row>
    <row r="25" spans="1:45" s="63" customFormat="1" x14ac:dyDescent="0.25">
      <c r="A25" s="65"/>
      <c r="C25" s="73" t="s">
        <v>100</v>
      </c>
      <c r="D25" s="60"/>
      <c r="E25" s="60"/>
      <c r="F25" s="60"/>
      <c r="G25" s="60"/>
      <c r="H25" s="74"/>
    </row>
    <row r="26" spans="1:45" s="63" customFormat="1" x14ac:dyDescent="0.25">
      <c r="A26" s="65"/>
      <c r="C26" s="65"/>
      <c r="D26" s="63" t="s">
        <v>96</v>
      </c>
      <c r="E26" s="63">
        <v>1609.3440000000001</v>
      </c>
      <c r="F26" s="63" t="s">
        <v>95</v>
      </c>
      <c r="H26" s="75"/>
    </row>
    <row r="27" spans="1:45" s="63" customFormat="1" x14ac:dyDescent="0.25">
      <c r="A27" s="65"/>
      <c r="C27" s="65"/>
      <c r="D27" s="63" t="s">
        <v>98</v>
      </c>
      <c r="H27" s="75"/>
    </row>
    <row r="28" spans="1:45" s="63" customFormat="1" x14ac:dyDescent="0.25">
      <c r="A28" s="65"/>
      <c r="C28" s="65"/>
      <c r="D28" s="63">
        <v>2015</v>
      </c>
      <c r="E28" s="63">
        <f>1.109729</f>
        <v>1.109729</v>
      </c>
      <c r="H28" s="75"/>
    </row>
    <row r="29" spans="1:45" s="63" customFormat="1" ht="15.75" thickBot="1" x14ac:dyDescent="0.3">
      <c r="A29" s="65"/>
      <c r="C29" s="66"/>
      <c r="D29" s="76" t="s">
        <v>97</v>
      </c>
      <c r="E29" s="67"/>
      <c r="F29" s="67"/>
      <c r="G29" s="67"/>
      <c r="H29" s="76"/>
    </row>
    <row r="30" spans="1:45" s="63" customFormat="1" x14ac:dyDescent="0.25">
      <c r="A30" s="65"/>
    </row>
    <row r="31" spans="1:45" s="77" customFormat="1" x14ac:dyDescent="0.25">
      <c r="A31" s="77" t="s">
        <v>27</v>
      </c>
      <c r="B31" s="77" t="s">
        <v>89</v>
      </c>
      <c r="C31" s="77" t="s">
        <v>89</v>
      </c>
      <c r="D31" s="77" t="s">
        <v>89</v>
      </c>
      <c r="E31" s="77" t="s">
        <v>92</v>
      </c>
      <c r="F31" s="77" t="s">
        <v>92</v>
      </c>
      <c r="G31" s="77" t="s">
        <v>92</v>
      </c>
      <c r="H31" s="77" t="s">
        <v>92</v>
      </c>
      <c r="I31" s="77" t="s">
        <v>92</v>
      </c>
      <c r="J31" s="77" t="s">
        <v>92</v>
      </c>
      <c r="K31" s="77" t="s">
        <v>92</v>
      </c>
      <c r="L31" s="77" t="s">
        <v>92</v>
      </c>
      <c r="N31" s="77" t="s">
        <v>42</v>
      </c>
      <c r="O31" s="77" t="s">
        <v>42</v>
      </c>
      <c r="P31" s="77" t="s">
        <v>92</v>
      </c>
      <c r="Q31" s="77" t="s">
        <v>89</v>
      </c>
      <c r="R31" s="77" t="s">
        <v>89</v>
      </c>
      <c r="S31" s="77" t="s">
        <v>89</v>
      </c>
      <c r="T31" s="77" t="s">
        <v>89</v>
      </c>
      <c r="U31" s="77" t="s">
        <v>89</v>
      </c>
      <c r="V31" s="77" t="s">
        <v>89</v>
      </c>
      <c r="W31" s="77" t="s">
        <v>89</v>
      </c>
      <c r="X31" s="77" t="s">
        <v>42</v>
      </c>
      <c r="Y31" s="77" t="s">
        <v>42</v>
      </c>
      <c r="Z31" s="77" t="s">
        <v>89</v>
      </c>
      <c r="AA31" s="77" t="s">
        <v>92</v>
      </c>
      <c r="AB31" s="77" t="s">
        <v>92</v>
      </c>
      <c r="AC31" s="77" t="s">
        <v>42</v>
      </c>
      <c r="AD31" s="77" t="s">
        <v>42</v>
      </c>
      <c r="AE31" s="77" t="s">
        <v>42</v>
      </c>
      <c r="AF31" s="77" t="s">
        <v>42</v>
      </c>
      <c r="AG31" s="77" t="s">
        <v>42</v>
      </c>
      <c r="AH31" s="77" t="s">
        <v>42</v>
      </c>
      <c r="AI31" s="77" t="s">
        <v>42</v>
      </c>
      <c r="AJ31" s="77" t="s">
        <v>42</v>
      </c>
      <c r="AK31" s="77" t="s">
        <v>42</v>
      </c>
      <c r="AL31" s="77" t="s">
        <v>42</v>
      </c>
      <c r="AM31" s="77" t="s">
        <v>42</v>
      </c>
      <c r="AN31" s="77" t="s">
        <v>42</v>
      </c>
      <c r="AO31" s="77" t="s">
        <v>42</v>
      </c>
      <c r="AP31" s="77" t="s">
        <v>42</v>
      </c>
      <c r="AQ31" s="77" t="s">
        <v>42</v>
      </c>
      <c r="AR31" s="77" t="s">
        <v>42</v>
      </c>
      <c r="AS31" s="77" t="s">
        <v>42</v>
      </c>
    </row>
    <row r="32" spans="1:45" s="70" customFormat="1" x14ac:dyDescent="0.25">
      <c r="A32" s="70" t="s">
        <v>28</v>
      </c>
      <c r="B32" s="78">
        <f>(B16/$E$26)/$E$28</f>
        <v>5343.1358802289315</v>
      </c>
      <c r="C32" s="78">
        <f t="shared" ref="C32:D32" si="3">(C16/$E$26)/$E$28</f>
        <v>1442.3968280514925</v>
      </c>
      <c r="D32" s="78">
        <f t="shared" si="3"/>
        <v>800.94936103904399</v>
      </c>
      <c r="E32" s="78">
        <f>E16/$E$28</f>
        <v>442420326.64431292</v>
      </c>
      <c r="F32" s="78">
        <f>F16/$E$28</f>
        <v>32176023.755950026</v>
      </c>
      <c r="G32" s="78">
        <f t="shared" ref="G32:L32" si="4">G16/$E$28</f>
        <v>201757.75136692534</v>
      </c>
      <c r="H32" s="78">
        <f t="shared" si="4"/>
        <v>35565.727007825037</v>
      </c>
      <c r="I32" s="78">
        <f t="shared" si="4"/>
        <v>965280.7126785008</v>
      </c>
      <c r="J32" s="78">
        <f t="shared" si="4"/>
        <v>482640.3563392504</v>
      </c>
      <c r="K32" s="78">
        <f t="shared" si="4"/>
        <v>1117312.4249253648</v>
      </c>
      <c r="L32" s="78">
        <f t="shared" si="4"/>
        <v>197078145.50519392</v>
      </c>
      <c r="N32" s="70">
        <f>N16</f>
        <v>559.54340000000002</v>
      </c>
      <c r="O32" s="70">
        <f>O16</f>
        <v>559.54340000000002</v>
      </c>
      <c r="P32" s="78">
        <f>P16/$E$28</f>
        <v>394156291.01038784</v>
      </c>
      <c r="Q32" s="78">
        <v>1104.8330000000001</v>
      </c>
      <c r="R32" s="78">
        <f>R16*1000000/1000</f>
        <v>900</v>
      </c>
      <c r="S32" s="78">
        <f t="shared" ref="S32:W32" si="5">S16*1000000/1000</f>
        <v>600</v>
      </c>
      <c r="T32" s="78">
        <f t="shared" si="5"/>
        <v>250</v>
      </c>
      <c r="U32" s="78">
        <f t="shared" si="5"/>
        <v>225</v>
      </c>
      <c r="V32" s="78">
        <f t="shared" si="5"/>
        <v>175</v>
      </c>
      <c r="W32" s="78">
        <f t="shared" si="5"/>
        <v>75</v>
      </c>
      <c r="X32" s="78">
        <f>X3</f>
        <v>1197</v>
      </c>
      <c r="Y32" s="78">
        <f>Y16/E28</f>
        <v>489.75921148316394</v>
      </c>
      <c r="Z32" s="78">
        <v>7369.11004100235</v>
      </c>
      <c r="AA32" s="78">
        <f>AA16/$E$28</f>
        <v>2413201.7816962521</v>
      </c>
      <c r="AB32" s="78">
        <f>AB16/$E$28</f>
        <v>148865.17338917882</v>
      </c>
      <c r="AC32" s="78">
        <f>AC16</f>
        <v>658.46820000000002</v>
      </c>
      <c r="AD32" s="78">
        <f t="shared" ref="AD32:AS32" si="6">AC16</f>
        <v>658.46820000000002</v>
      </c>
      <c r="AE32" s="78">
        <f t="shared" si="6"/>
        <v>658.46820000000002</v>
      </c>
      <c r="AF32" s="78">
        <f t="shared" si="6"/>
        <v>658.46820000000002</v>
      </c>
      <c r="AG32" s="78">
        <f t="shared" si="6"/>
        <v>658.46820000000002</v>
      </c>
      <c r="AH32" s="78">
        <f t="shared" si="6"/>
        <v>658.46820000000002</v>
      </c>
      <c r="AI32" s="78">
        <f t="shared" si="6"/>
        <v>658.46820000000002</v>
      </c>
      <c r="AJ32" s="78">
        <f t="shared" si="6"/>
        <v>658.46820000000002</v>
      </c>
      <c r="AK32" s="78">
        <f t="shared" si="6"/>
        <v>658.46820000000002</v>
      </c>
      <c r="AL32" s="78">
        <f t="shared" si="6"/>
        <v>658.46820000000002</v>
      </c>
      <c r="AM32" s="78">
        <f t="shared" si="6"/>
        <v>658.46820000000002</v>
      </c>
      <c r="AN32" s="78">
        <f t="shared" si="6"/>
        <v>658.46820000000002</v>
      </c>
      <c r="AO32" s="78">
        <f t="shared" si="6"/>
        <v>658.46820000000002</v>
      </c>
      <c r="AP32" s="78">
        <f t="shared" si="6"/>
        <v>658.46820000000002</v>
      </c>
      <c r="AQ32" s="78">
        <f t="shared" si="6"/>
        <v>658.46820000000002</v>
      </c>
      <c r="AR32" s="78">
        <f t="shared" si="6"/>
        <v>658.46820000000002</v>
      </c>
      <c r="AS32" s="78">
        <f t="shared" si="6"/>
        <v>658.46820000000002</v>
      </c>
    </row>
    <row r="33" spans="1:45" s="70" customFormat="1" x14ac:dyDescent="0.25">
      <c r="A33" s="70" t="s">
        <v>29</v>
      </c>
      <c r="B33" s="78">
        <f t="shared" ref="B33:D34" si="7">(B17/$E$26)/$E$28</f>
        <v>724.32618619339962</v>
      </c>
      <c r="C33" s="78">
        <f t="shared" si="7"/>
        <v>214.00546410259537</v>
      </c>
      <c r="D33" s="78">
        <f>(D17/$E$26)/$E$28</f>
        <v>98.771752662736318</v>
      </c>
      <c r="E33" s="78">
        <f t="shared" ref="E33:L34" si="8">E17/$E$28</f>
        <v>120660089.0848126</v>
      </c>
      <c r="F33" s="78">
        <f t="shared" si="8"/>
        <v>12066008.908481261</v>
      </c>
      <c r="G33" s="78">
        <f t="shared" si="8"/>
        <v>35488.851782732541</v>
      </c>
      <c r="H33" s="78">
        <f t="shared" si="8"/>
        <v>16924.860033395544</v>
      </c>
      <c r="I33" s="78">
        <f>I32*0.75</f>
        <v>723960.53450887557</v>
      </c>
      <c r="J33" s="78">
        <f>J32*0.75</f>
        <v>361980.26725443779</v>
      </c>
      <c r="K33" s="78">
        <f t="shared" si="8"/>
        <v>36198.026725443779</v>
      </c>
      <c r="L33" s="78">
        <f t="shared" si="8"/>
        <v>36198026.72544378</v>
      </c>
      <c r="N33" s="70">
        <f>N32*0.75</f>
        <v>419.65755000000001</v>
      </c>
      <c r="O33" s="70">
        <f>O32*0.75</f>
        <v>419.65755000000001</v>
      </c>
      <c r="P33" s="78">
        <f t="shared" ref="P33:P34" si="9">P17/$E$28</f>
        <v>72396053.450887561</v>
      </c>
      <c r="Q33" s="78">
        <f>Transport!K6</f>
        <v>992.09536742754324</v>
      </c>
      <c r="R33" s="78">
        <f>R32*0.75</f>
        <v>675</v>
      </c>
      <c r="S33" s="78">
        <f t="shared" ref="S33:W33" si="10">S32*0.75</f>
        <v>450</v>
      </c>
      <c r="T33" s="78">
        <f t="shared" si="10"/>
        <v>187.5</v>
      </c>
      <c r="U33" s="78">
        <f t="shared" si="10"/>
        <v>168.75</v>
      </c>
      <c r="V33" s="78">
        <f t="shared" si="10"/>
        <v>131.25</v>
      </c>
      <c r="W33" s="78">
        <f t="shared" si="10"/>
        <v>56.25</v>
      </c>
      <c r="X33" s="78">
        <f>X32*0.75</f>
        <v>897.75</v>
      </c>
      <c r="Y33" s="78">
        <f>Y32*0.75</f>
        <v>367.31940861237297</v>
      </c>
      <c r="Z33" s="78">
        <v>3973.0030421061233</v>
      </c>
      <c r="AA33" s="78">
        <f>AA32*0.75</f>
        <v>1809901.3362721889</v>
      </c>
      <c r="AB33" s="78">
        <f>AB17/$E$28</f>
        <v>90112.090429284988</v>
      </c>
      <c r="AC33" s="78">
        <f t="shared" ref="AC33" si="11">AC32*0.75</f>
        <v>493.85115000000002</v>
      </c>
      <c r="AD33" s="78">
        <f t="shared" ref="AD33:AS33" si="12">AD32*0.75</f>
        <v>493.85115000000002</v>
      </c>
      <c r="AE33" s="78">
        <f t="shared" si="12"/>
        <v>493.85115000000002</v>
      </c>
      <c r="AF33" s="78">
        <f t="shared" si="12"/>
        <v>493.85115000000002</v>
      </c>
      <c r="AG33" s="78">
        <f t="shared" si="12"/>
        <v>493.85115000000002</v>
      </c>
      <c r="AH33" s="78">
        <f t="shared" si="12"/>
        <v>493.85115000000002</v>
      </c>
      <c r="AI33" s="78">
        <f t="shared" si="12"/>
        <v>493.85115000000002</v>
      </c>
      <c r="AJ33" s="78">
        <f t="shared" si="12"/>
        <v>493.85115000000002</v>
      </c>
      <c r="AK33" s="78">
        <f t="shared" si="12"/>
        <v>493.85115000000002</v>
      </c>
      <c r="AL33" s="78">
        <f t="shared" si="12"/>
        <v>493.85115000000002</v>
      </c>
      <c r="AM33" s="78">
        <f t="shared" si="12"/>
        <v>493.85115000000002</v>
      </c>
      <c r="AN33" s="78">
        <f t="shared" si="12"/>
        <v>493.85115000000002</v>
      </c>
      <c r="AO33" s="78">
        <f t="shared" si="12"/>
        <v>493.85115000000002</v>
      </c>
      <c r="AP33" s="78">
        <f t="shared" si="12"/>
        <v>493.85115000000002</v>
      </c>
      <c r="AQ33" s="78">
        <f t="shared" si="12"/>
        <v>493.85115000000002</v>
      </c>
      <c r="AR33" s="78">
        <f t="shared" si="12"/>
        <v>493.85115000000002</v>
      </c>
      <c r="AS33" s="78">
        <f t="shared" si="12"/>
        <v>493.85115000000002</v>
      </c>
    </row>
    <row r="34" spans="1:45" s="70" customFormat="1" x14ac:dyDescent="0.25">
      <c r="A34" s="70" t="s">
        <v>91</v>
      </c>
      <c r="B34" s="78">
        <f t="shared" si="7"/>
        <v>15145.002074952903</v>
      </c>
      <c r="C34" s="78">
        <f t="shared" si="7"/>
        <v>3292.391755424544</v>
      </c>
      <c r="D34" s="78">
        <f t="shared" si="7"/>
        <v>1501.330640473592</v>
      </c>
      <c r="E34" s="78">
        <f t="shared" si="8"/>
        <v>603300445.42406297</v>
      </c>
      <c r="F34" s="78">
        <f t="shared" si="8"/>
        <v>60330044.542406298</v>
      </c>
      <c r="G34" s="78">
        <f t="shared" si="8"/>
        <v>685836.75473922014</v>
      </c>
      <c r="H34" s="78">
        <f t="shared" si="8"/>
        <v>56125.724388566938</v>
      </c>
      <c r="I34" s="78">
        <f>I32*1.25</f>
        <v>1206600.890848126</v>
      </c>
      <c r="J34" s="78">
        <f>J32*1.25</f>
        <v>603300.44542406301</v>
      </c>
      <c r="K34" s="78">
        <f t="shared" si="8"/>
        <v>1809901.3362721889</v>
      </c>
      <c r="L34" s="78">
        <f>L18/$E$28</f>
        <v>434376320.70532537</v>
      </c>
      <c r="N34" s="70">
        <f>N32*1.25</f>
        <v>699.42925000000002</v>
      </c>
      <c r="O34" s="70">
        <f>O32*1.25</f>
        <v>699.42925000000002</v>
      </c>
      <c r="P34" s="78">
        <f t="shared" si="9"/>
        <v>868752641.41065073</v>
      </c>
      <c r="Q34" s="78">
        <f>Transport!K7</f>
        <v>1217.5715872974392</v>
      </c>
      <c r="R34" s="78">
        <f>R32*1.25</f>
        <v>1125</v>
      </c>
      <c r="S34" s="78">
        <f t="shared" ref="S34:W34" si="13">S32*1.25</f>
        <v>750</v>
      </c>
      <c r="T34" s="78">
        <f t="shared" si="13"/>
        <v>312.5</v>
      </c>
      <c r="U34" s="78">
        <f t="shared" si="13"/>
        <v>281.25</v>
      </c>
      <c r="V34" s="78">
        <f t="shared" si="13"/>
        <v>218.75</v>
      </c>
      <c r="W34" s="78">
        <f t="shared" si="13"/>
        <v>93.75</v>
      </c>
      <c r="X34" s="78">
        <f>X32*1.25</f>
        <v>1496.25</v>
      </c>
      <c r="Y34" s="78">
        <f>Y32*1.25</f>
        <v>612.19901435395491</v>
      </c>
      <c r="Z34" s="78">
        <v>22991.623327927322</v>
      </c>
      <c r="AA34" s="78">
        <f>AA32*1.25</f>
        <v>3016502.2271203152</v>
      </c>
      <c r="AB34" s="78">
        <f>AB18/$E$28</f>
        <v>270336.27128785499</v>
      </c>
      <c r="AC34" s="78">
        <f t="shared" ref="AC34" si="14">AC32*1.25</f>
        <v>823.08525000000009</v>
      </c>
      <c r="AD34" s="78">
        <f t="shared" ref="AD34:AS34" si="15">AD32*1.25</f>
        <v>823.08525000000009</v>
      </c>
      <c r="AE34" s="78">
        <f t="shared" si="15"/>
        <v>823.08525000000009</v>
      </c>
      <c r="AF34" s="78">
        <f t="shared" si="15"/>
        <v>823.08525000000009</v>
      </c>
      <c r="AG34" s="78">
        <f t="shared" si="15"/>
        <v>823.08525000000009</v>
      </c>
      <c r="AH34" s="78">
        <f t="shared" si="15"/>
        <v>823.08525000000009</v>
      </c>
      <c r="AI34" s="78">
        <f t="shared" si="15"/>
        <v>823.08525000000009</v>
      </c>
      <c r="AJ34" s="78">
        <f t="shared" si="15"/>
        <v>823.08525000000009</v>
      </c>
      <c r="AK34" s="78">
        <f t="shared" si="15"/>
        <v>823.08525000000009</v>
      </c>
      <c r="AL34" s="78">
        <f t="shared" si="15"/>
        <v>823.08525000000009</v>
      </c>
      <c r="AM34" s="78">
        <f t="shared" si="15"/>
        <v>823.08525000000009</v>
      </c>
      <c r="AN34" s="78">
        <f t="shared" si="15"/>
        <v>823.08525000000009</v>
      </c>
      <c r="AO34" s="78">
        <f t="shared" si="15"/>
        <v>823.08525000000009</v>
      </c>
      <c r="AP34" s="78">
        <f t="shared" si="15"/>
        <v>823.08525000000009</v>
      </c>
      <c r="AQ34" s="78">
        <f t="shared" si="15"/>
        <v>823.08525000000009</v>
      </c>
      <c r="AR34" s="78">
        <f t="shared" si="15"/>
        <v>823.08525000000009</v>
      </c>
      <c r="AS34" s="78">
        <f t="shared" si="15"/>
        <v>823.08525000000009</v>
      </c>
    </row>
    <row r="35" spans="1:45" s="67" customFormat="1" ht="15.75" thickBot="1" x14ac:dyDescent="0.3">
      <c r="A35" s="66"/>
    </row>
    <row r="36" spans="1:45" ht="15.75" thickBot="1" x14ac:dyDescent="0.3"/>
    <row r="37" spans="1:45" s="60" customFormat="1" x14ac:dyDescent="0.25">
      <c r="A37" s="59" t="s">
        <v>167</v>
      </c>
    </row>
    <row r="38" spans="1:45" s="63" customFormat="1" x14ac:dyDescent="0.25">
      <c r="A38" s="62" t="s">
        <v>168</v>
      </c>
    </row>
    <row r="39" spans="1:45" s="63" customFormat="1" ht="15.75" thickBot="1" x14ac:dyDescent="0.3">
      <c r="A39" s="65"/>
    </row>
    <row r="40" spans="1:45" s="63" customFormat="1" x14ac:dyDescent="0.25">
      <c r="A40" s="65"/>
      <c r="C40" s="59" t="s">
        <v>169</v>
      </c>
      <c r="D40" s="88"/>
      <c r="E40" s="60"/>
      <c r="F40" s="60"/>
      <c r="G40" s="60"/>
      <c r="H40" s="74"/>
    </row>
    <row r="41" spans="1:45" s="63" customFormat="1" x14ac:dyDescent="0.25">
      <c r="A41" s="65"/>
      <c r="C41" s="65" t="s">
        <v>170</v>
      </c>
      <c r="D41" s="89">
        <v>0.6</v>
      </c>
      <c r="H41" s="75"/>
    </row>
    <row r="42" spans="1:45" s="63" customFormat="1" ht="15.75" thickBot="1" x14ac:dyDescent="0.3">
      <c r="A42" s="65"/>
      <c r="C42" s="66"/>
      <c r="D42" s="67"/>
      <c r="E42" s="67"/>
      <c r="F42" s="67"/>
      <c r="G42" s="67"/>
      <c r="H42" s="76"/>
    </row>
    <row r="43" spans="1:45" s="63" customFormat="1" x14ac:dyDescent="0.25">
      <c r="A43" s="65"/>
    </row>
    <row r="44" spans="1:45" s="63" customFormat="1" x14ac:dyDescent="0.25">
      <c r="A44" s="65" t="s">
        <v>171</v>
      </c>
      <c r="B44" s="63" t="s">
        <v>172</v>
      </c>
      <c r="C44" s="63" t="s">
        <v>172</v>
      </c>
      <c r="D44" s="63" t="s">
        <v>172</v>
      </c>
      <c r="E44" s="63" t="s">
        <v>173</v>
      </c>
      <c r="F44" s="63" t="s">
        <v>173</v>
      </c>
      <c r="G44" s="63" t="s">
        <v>172</v>
      </c>
      <c r="H44" s="63" t="s">
        <v>172</v>
      </c>
      <c r="I44" s="63" t="s">
        <v>173</v>
      </c>
      <c r="J44" s="63" t="s">
        <v>173</v>
      </c>
      <c r="K44" s="63" t="s">
        <v>173</v>
      </c>
      <c r="L44" s="63" t="s">
        <v>173</v>
      </c>
      <c r="N44" s="63" t="s">
        <v>175</v>
      </c>
      <c r="O44" s="63" t="s">
        <v>175</v>
      </c>
      <c r="P44" s="63" t="s">
        <v>173</v>
      </c>
      <c r="Q44" s="63" t="s">
        <v>172</v>
      </c>
      <c r="R44" s="63" t="s">
        <v>173</v>
      </c>
      <c r="S44" s="63" t="s">
        <v>173</v>
      </c>
      <c r="T44" s="63" t="s">
        <v>173</v>
      </c>
      <c r="U44" s="63" t="s">
        <v>173</v>
      </c>
      <c r="V44" s="63" t="s">
        <v>173</v>
      </c>
      <c r="W44" s="63" t="s">
        <v>173</v>
      </c>
      <c r="X44" s="63" t="s">
        <v>174</v>
      </c>
      <c r="Y44" s="63" t="s">
        <v>172</v>
      </c>
      <c r="Z44" s="63" t="s">
        <v>172</v>
      </c>
      <c r="AA44" s="63" t="s">
        <v>173</v>
      </c>
      <c r="AB44" s="63" t="s">
        <v>172</v>
      </c>
      <c r="AC44" s="63" t="s">
        <v>175</v>
      </c>
      <c r="AD44" s="63" t="s">
        <v>175</v>
      </c>
      <c r="AE44" s="63" t="s">
        <v>175</v>
      </c>
      <c r="AF44" s="63" t="s">
        <v>175</v>
      </c>
      <c r="AG44" s="63" t="s">
        <v>175</v>
      </c>
      <c r="AH44" s="63" t="s">
        <v>175</v>
      </c>
      <c r="AI44" s="63" t="s">
        <v>175</v>
      </c>
      <c r="AJ44" s="63" t="s">
        <v>175</v>
      </c>
      <c r="AK44" s="63" t="s">
        <v>175</v>
      </c>
      <c r="AL44" s="63" t="s">
        <v>175</v>
      </c>
      <c r="AM44" s="63" t="s">
        <v>175</v>
      </c>
      <c r="AN44" s="63" t="s">
        <v>175</v>
      </c>
      <c r="AO44" s="63" t="s">
        <v>175</v>
      </c>
      <c r="AP44" s="63" t="s">
        <v>175</v>
      </c>
      <c r="AQ44" s="63" t="s">
        <v>175</v>
      </c>
      <c r="AR44" s="63" t="s">
        <v>175</v>
      </c>
      <c r="AS44" s="63" t="s">
        <v>175</v>
      </c>
    </row>
    <row r="45" spans="1:45" s="63" customFormat="1" x14ac:dyDescent="0.25">
      <c r="A45" s="65"/>
    </row>
    <row r="46" spans="1:45" s="77" customFormat="1" x14ac:dyDescent="0.25">
      <c r="A46" s="90" t="str">
        <f>A31</f>
        <v>Unit</v>
      </c>
      <c r="B46" s="77" t="str">
        <f t="shared" ref="B46:AS46" si="16">B31</f>
        <v>euro/m</v>
      </c>
      <c r="C46" s="77" t="str">
        <f t="shared" si="16"/>
        <v>euro/m</v>
      </c>
      <c r="D46" s="77" t="str">
        <f t="shared" si="16"/>
        <v>euro/m</v>
      </c>
      <c r="E46" s="77" t="str">
        <f t="shared" si="16"/>
        <v>euro/facility</v>
      </c>
      <c r="F46" s="77" t="str">
        <f t="shared" si="16"/>
        <v>euro/facility</v>
      </c>
      <c r="G46" s="77" t="str">
        <f t="shared" si="16"/>
        <v>euro/facility</v>
      </c>
      <c r="H46" s="77" t="str">
        <f t="shared" si="16"/>
        <v>euro/facility</v>
      </c>
      <c r="I46" s="77" t="str">
        <f t="shared" si="16"/>
        <v>euro/facility</v>
      </c>
      <c r="J46" s="77" t="str">
        <f t="shared" si="16"/>
        <v>euro/facility</v>
      </c>
      <c r="K46" s="77" t="str">
        <f t="shared" si="16"/>
        <v>euro/facility</v>
      </c>
      <c r="L46" s="77" t="str">
        <f t="shared" si="16"/>
        <v>euro/facility</v>
      </c>
      <c r="N46" s="77" t="str">
        <f t="shared" si="16"/>
        <v>euro/m2</v>
      </c>
      <c r="O46" s="77" t="str">
        <f t="shared" si="16"/>
        <v>euro/m2</v>
      </c>
      <c r="P46" s="77" t="str">
        <f t="shared" si="16"/>
        <v>euro/facility</v>
      </c>
      <c r="Q46" s="77" t="str">
        <f t="shared" si="16"/>
        <v>euro/m</v>
      </c>
      <c r="R46" s="77" t="str">
        <f t="shared" si="16"/>
        <v>euro/m</v>
      </c>
      <c r="S46" s="77" t="str">
        <f t="shared" si="16"/>
        <v>euro/m</v>
      </c>
      <c r="T46" s="77" t="str">
        <f t="shared" si="16"/>
        <v>euro/m</v>
      </c>
      <c r="U46" s="77" t="str">
        <f t="shared" si="16"/>
        <v>euro/m</v>
      </c>
      <c r="V46" s="77" t="str">
        <f t="shared" si="16"/>
        <v>euro/m</v>
      </c>
      <c r="W46" s="77" t="str">
        <f t="shared" si="16"/>
        <v>euro/m</v>
      </c>
      <c r="X46" s="77" t="str">
        <f t="shared" si="16"/>
        <v>euro/m2</v>
      </c>
      <c r="Y46" s="77" t="str">
        <f t="shared" si="16"/>
        <v>euro/m2</v>
      </c>
      <c r="Z46" s="77" t="str">
        <f t="shared" si="16"/>
        <v>euro/m</v>
      </c>
      <c r="AA46" s="77" t="str">
        <f t="shared" si="16"/>
        <v>euro/facility</v>
      </c>
      <c r="AB46" s="77" t="str">
        <f t="shared" si="16"/>
        <v>euro/facility</v>
      </c>
      <c r="AC46" s="77" t="str">
        <f t="shared" si="16"/>
        <v>euro/m2</v>
      </c>
      <c r="AD46" s="77" t="str">
        <f t="shared" si="16"/>
        <v>euro/m2</v>
      </c>
      <c r="AE46" s="77" t="str">
        <f t="shared" si="16"/>
        <v>euro/m2</v>
      </c>
      <c r="AF46" s="77" t="str">
        <f t="shared" si="16"/>
        <v>euro/m2</v>
      </c>
      <c r="AG46" s="77" t="str">
        <f t="shared" si="16"/>
        <v>euro/m2</v>
      </c>
      <c r="AH46" s="77" t="str">
        <f t="shared" si="16"/>
        <v>euro/m2</v>
      </c>
      <c r="AI46" s="77" t="str">
        <f t="shared" si="16"/>
        <v>euro/m2</v>
      </c>
      <c r="AJ46" s="77" t="str">
        <f t="shared" si="16"/>
        <v>euro/m2</v>
      </c>
      <c r="AK46" s="77" t="str">
        <f t="shared" si="16"/>
        <v>euro/m2</v>
      </c>
      <c r="AL46" s="77" t="str">
        <f t="shared" si="16"/>
        <v>euro/m2</v>
      </c>
      <c r="AM46" s="77" t="str">
        <f t="shared" si="16"/>
        <v>euro/m2</v>
      </c>
      <c r="AN46" s="77" t="str">
        <f t="shared" si="16"/>
        <v>euro/m2</v>
      </c>
      <c r="AO46" s="77" t="str">
        <f t="shared" si="16"/>
        <v>euro/m2</v>
      </c>
      <c r="AP46" s="77" t="str">
        <f t="shared" si="16"/>
        <v>euro/m2</v>
      </c>
      <c r="AQ46" s="77" t="str">
        <f t="shared" si="16"/>
        <v>euro/m2</v>
      </c>
      <c r="AR46" s="77" t="str">
        <f t="shared" si="16"/>
        <v>euro/m2</v>
      </c>
      <c r="AS46" s="77" t="str">
        <f t="shared" si="16"/>
        <v>euro/m2</v>
      </c>
    </row>
    <row r="47" spans="1:45" s="70" customFormat="1" x14ac:dyDescent="0.25">
      <c r="A47" s="91" t="str">
        <f t="shared" ref="A47" si="17">A32</f>
        <v>MaxDam</v>
      </c>
      <c r="B47" s="78">
        <f>IF(B44="yes",B32*($D$41),B32)</f>
        <v>3205.8815281373586</v>
      </c>
      <c r="C47" s="78">
        <f t="shared" ref="C47:AS47" si="18">IF(C44="yes",C32*($D$41),C32)</f>
        <v>865.43809683089546</v>
      </c>
      <c r="D47" s="78">
        <f t="shared" si="18"/>
        <v>480.56961662342638</v>
      </c>
      <c r="E47" s="78">
        <f t="shared" si="18"/>
        <v>442420326.64431292</v>
      </c>
      <c r="F47" s="78">
        <f t="shared" si="18"/>
        <v>32176023.755950026</v>
      </c>
      <c r="G47" s="78">
        <f t="shared" si="18"/>
        <v>121054.65082015519</v>
      </c>
      <c r="H47" s="78">
        <f t="shared" si="18"/>
        <v>21339.436204695023</v>
      </c>
      <c r="I47" s="78">
        <f t="shared" si="18"/>
        <v>965280.7126785008</v>
      </c>
      <c r="J47" s="78">
        <f t="shared" si="18"/>
        <v>482640.3563392504</v>
      </c>
      <c r="K47" s="78">
        <f t="shared" si="18"/>
        <v>1117312.4249253648</v>
      </c>
      <c r="L47" s="78">
        <f t="shared" si="18"/>
        <v>197078145.50519392</v>
      </c>
      <c r="M47" s="78">
        <f t="shared" si="18"/>
        <v>0</v>
      </c>
      <c r="N47" s="78">
        <f t="shared" si="18"/>
        <v>559.54340000000002</v>
      </c>
      <c r="O47" s="78">
        <f t="shared" si="18"/>
        <v>559.54340000000002</v>
      </c>
      <c r="P47" s="78">
        <f t="shared" si="18"/>
        <v>394156291.01038784</v>
      </c>
      <c r="Q47" s="78">
        <f t="shared" si="18"/>
        <v>662.89980000000003</v>
      </c>
      <c r="R47" s="78">
        <f t="shared" si="18"/>
        <v>900</v>
      </c>
      <c r="S47" s="78">
        <f t="shared" si="18"/>
        <v>600</v>
      </c>
      <c r="T47" s="78">
        <f t="shared" si="18"/>
        <v>250</v>
      </c>
      <c r="U47" s="78">
        <f t="shared" si="18"/>
        <v>225</v>
      </c>
      <c r="V47" s="78">
        <f t="shared" si="18"/>
        <v>175</v>
      </c>
      <c r="W47" s="78">
        <f t="shared" si="18"/>
        <v>75</v>
      </c>
      <c r="X47" s="78">
        <f t="shared" si="18"/>
        <v>1197</v>
      </c>
      <c r="Y47" s="78">
        <f t="shared" si="18"/>
        <v>293.85552688989833</v>
      </c>
      <c r="Z47" s="78">
        <f t="shared" si="18"/>
        <v>4421.46602460141</v>
      </c>
      <c r="AA47" s="78">
        <f t="shared" si="18"/>
        <v>2413201.7816962521</v>
      </c>
      <c r="AB47" s="78">
        <f t="shared" si="18"/>
        <v>89319.10403350729</v>
      </c>
      <c r="AC47" s="78">
        <f t="shared" si="18"/>
        <v>658.46820000000002</v>
      </c>
      <c r="AD47" s="78">
        <f t="shared" si="18"/>
        <v>658.46820000000002</v>
      </c>
      <c r="AE47" s="78">
        <f t="shared" si="18"/>
        <v>658.46820000000002</v>
      </c>
      <c r="AF47" s="78">
        <f t="shared" si="18"/>
        <v>658.46820000000002</v>
      </c>
      <c r="AG47" s="78">
        <f t="shared" si="18"/>
        <v>658.46820000000002</v>
      </c>
      <c r="AH47" s="78">
        <f t="shared" si="18"/>
        <v>658.46820000000002</v>
      </c>
      <c r="AI47" s="78">
        <f t="shared" si="18"/>
        <v>658.46820000000002</v>
      </c>
      <c r="AJ47" s="78">
        <f t="shared" si="18"/>
        <v>658.46820000000002</v>
      </c>
      <c r="AK47" s="78">
        <f t="shared" si="18"/>
        <v>658.46820000000002</v>
      </c>
      <c r="AL47" s="78">
        <f t="shared" si="18"/>
        <v>658.46820000000002</v>
      </c>
      <c r="AM47" s="78">
        <f t="shared" si="18"/>
        <v>658.46820000000002</v>
      </c>
      <c r="AN47" s="78">
        <f t="shared" si="18"/>
        <v>658.46820000000002</v>
      </c>
      <c r="AO47" s="78">
        <f t="shared" si="18"/>
        <v>658.46820000000002</v>
      </c>
      <c r="AP47" s="78">
        <f t="shared" si="18"/>
        <v>658.46820000000002</v>
      </c>
      <c r="AQ47" s="78">
        <f t="shared" si="18"/>
        <v>658.46820000000002</v>
      </c>
      <c r="AR47" s="78">
        <f t="shared" si="18"/>
        <v>658.46820000000002</v>
      </c>
      <c r="AS47" s="78">
        <f t="shared" si="18"/>
        <v>658.46820000000002</v>
      </c>
    </row>
    <row r="48" spans="1:45" s="70" customFormat="1" x14ac:dyDescent="0.25">
      <c r="A48" s="91" t="str">
        <f t="shared" ref="A48" si="19">A33</f>
        <v>LowerDam</v>
      </c>
      <c r="B48" s="78">
        <f>IF(B44="yes",B33*($D$41),B33)</f>
        <v>434.59571171603977</v>
      </c>
      <c r="C48" s="78">
        <f t="shared" ref="C48:AS48" si="20">IF(C44="yes",C33*($D$41),C33)</f>
        <v>128.40327846155722</v>
      </c>
      <c r="D48" s="78">
        <f t="shared" si="20"/>
        <v>59.263051597641791</v>
      </c>
      <c r="E48" s="78">
        <f t="shared" si="20"/>
        <v>120660089.0848126</v>
      </c>
      <c r="F48" s="78">
        <f t="shared" si="20"/>
        <v>12066008.908481261</v>
      </c>
      <c r="G48" s="78">
        <f t="shared" si="20"/>
        <v>21293.311069639523</v>
      </c>
      <c r="H48" s="78">
        <f t="shared" si="20"/>
        <v>10154.916020037326</v>
      </c>
      <c r="I48" s="78">
        <f t="shared" si="20"/>
        <v>723960.53450887557</v>
      </c>
      <c r="J48" s="78">
        <f t="shared" si="20"/>
        <v>361980.26725443779</v>
      </c>
      <c r="K48" s="78">
        <f t="shared" si="20"/>
        <v>36198.026725443779</v>
      </c>
      <c r="L48" s="78">
        <f t="shared" si="20"/>
        <v>36198026.72544378</v>
      </c>
      <c r="M48" s="78">
        <f t="shared" si="20"/>
        <v>0</v>
      </c>
      <c r="N48" s="78">
        <f t="shared" si="20"/>
        <v>419.65755000000001</v>
      </c>
      <c r="O48" s="78">
        <f t="shared" si="20"/>
        <v>419.65755000000001</v>
      </c>
      <c r="P48" s="78">
        <f t="shared" si="20"/>
        <v>72396053.450887561</v>
      </c>
      <c r="Q48" s="78">
        <f t="shared" si="20"/>
        <v>595.25722045652594</v>
      </c>
      <c r="R48" s="78">
        <f t="shared" si="20"/>
        <v>675</v>
      </c>
      <c r="S48" s="78">
        <f t="shared" si="20"/>
        <v>450</v>
      </c>
      <c r="T48" s="78">
        <f t="shared" si="20"/>
        <v>187.5</v>
      </c>
      <c r="U48" s="78">
        <f t="shared" si="20"/>
        <v>168.75</v>
      </c>
      <c r="V48" s="78">
        <f t="shared" si="20"/>
        <v>131.25</v>
      </c>
      <c r="W48" s="78">
        <f t="shared" si="20"/>
        <v>56.25</v>
      </c>
      <c r="X48" s="78">
        <f t="shared" si="20"/>
        <v>897.75</v>
      </c>
      <c r="Y48" s="78">
        <f t="shared" si="20"/>
        <v>220.39164516742377</v>
      </c>
      <c r="Z48" s="78">
        <f t="shared" si="20"/>
        <v>2383.8018252636739</v>
      </c>
      <c r="AA48" s="78">
        <f t="shared" si="20"/>
        <v>1809901.3362721889</v>
      </c>
      <c r="AB48" s="78">
        <f t="shared" si="20"/>
        <v>54067.254257570989</v>
      </c>
      <c r="AC48" s="78">
        <f t="shared" si="20"/>
        <v>493.85115000000002</v>
      </c>
      <c r="AD48" s="78">
        <f t="shared" si="20"/>
        <v>493.85115000000002</v>
      </c>
      <c r="AE48" s="78">
        <f t="shared" si="20"/>
        <v>493.85115000000002</v>
      </c>
      <c r="AF48" s="78">
        <f t="shared" si="20"/>
        <v>493.85115000000002</v>
      </c>
      <c r="AG48" s="78">
        <f t="shared" si="20"/>
        <v>493.85115000000002</v>
      </c>
      <c r="AH48" s="78">
        <f t="shared" si="20"/>
        <v>493.85115000000002</v>
      </c>
      <c r="AI48" s="78">
        <f t="shared" si="20"/>
        <v>493.85115000000002</v>
      </c>
      <c r="AJ48" s="78">
        <f t="shared" si="20"/>
        <v>493.85115000000002</v>
      </c>
      <c r="AK48" s="78">
        <f t="shared" si="20"/>
        <v>493.85115000000002</v>
      </c>
      <c r="AL48" s="78">
        <f t="shared" si="20"/>
        <v>493.85115000000002</v>
      </c>
      <c r="AM48" s="78">
        <f t="shared" si="20"/>
        <v>493.85115000000002</v>
      </c>
      <c r="AN48" s="78">
        <f t="shared" si="20"/>
        <v>493.85115000000002</v>
      </c>
      <c r="AO48" s="78">
        <f t="shared" si="20"/>
        <v>493.85115000000002</v>
      </c>
      <c r="AP48" s="78">
        <f t="shared" si="20"/>
        <v>493.85115000000002</v>
      </c>
      <c r="AQ48" s="78">
        <f t="shared" si="20"/>
        <v>493.85115000000002</v>
      </c>
      <c r="AR48" s="78">
        <f t="shared" si="20"/>
        <v>493.85115000000002</v>
      </c>
      <c r="AS48" s="78">
        <f t="shared" si="20"/>
        <v>493.85115000000002</v>
      </c>
    </row>
    <row r="49" spans="1:45" s="92" customFormat="1" ht="15.75" thickBot="1" x14ac:dyDescent="0.3">
      <c r="A49" s="91" t="str">
        <f>A34</f>
        <v>Upperdam</v>
      </c>
      <c r="B49" s="78">
        <f>IF(B44="yes",B34*($D$41),B34)</f>
        <v>9087.0012449717415</v>
      </c>
      <c r="C49" s="78">
        <f t="shared" ref="C49:AS49" si="21">IF(C44="yes",C34*($D$41),C34)</f>
        <v>1975.4350532547264</v>
      </c>
      <c r="D49" s="78">
        <f t="shared" si="21"/>
        <v>900.79838428415519</v>
      </c>
      <c r="E49" s="78">
        <f t="shared" si="21"/>
        <v>603300445.42406297</v>
      </c>
      <c r="F49" s="78">
        <f t="shared" si="21"/>
        <v>60330044.542406298</v>
      </c>
      <c r="G49" s="78">
        <f t="shared" si="21"/>
        <v>411502.05284353206</v>
      </c>
      <c r="H49" s="78">
        <f t="shared" si="21"/>
        <v>33675.434633140161</v>
      </c>
      <c r="I49" s="78">
        <f t="shared" si="21"/>
        <v>1206600.890848126</v>
      </c>
      <c r="J49" s="78">
        <f t="shared" si="21"/>
        <v>603300.44542406301</v>
      </c>
      <c r="K49" s="78">
        <f t="shared" si="21"/>
        <v>1809901.3362721889</v>
      </c>
      <c r="L49" s="78">
        <f t="shared" si="21"/>
        <v>434376320.70532537</v>
      </c>
      <c r="M49" s="78">
        <f t="shared" si="21"/>
        <v>0</v>
      </c>
      <c r="N49" s="78">
        <f t="shared" si="21"/>
        <v>699.42925000000002</v>
      </c>
      <c r="O49" s="78">
        <f t="shared" si="21"/>
        <v>699.42925000000002</v>
      </c>
      <c r="P49" s="78">
        <f t="shared" si="21"/>
        <v>868752641.41065073</v>
      </c>
      <c r="Q49" s="78">
        <f t="shared" si="21"/>
        <v>730.5429523784635</v>
      </c>
      <c r="R49" s="78">
        <f t="shared" si="21"/>
        <v>1125</v>
      </c>
      <c r="S49" s="78">
        <f t="shared" si="21"/>
        <v>750</v>
      </c>
      <c r="T49" s="78">
        <f t="shared" si="21"/>
        <v>312.5</v>
      </c>
      <c r="U49" s="78">
        <f t="shared" si="21"/>
        <v>281.25</v>
      </c>
      <c r="V49" s="78">
        <f t="shared" si="21"/>
        <v>218.75</v>
      </c>
      <c r="W49" s="78">
        <f t="shared" si="21"/>
        <v>93.75</v>
      </c>
      <c r="X49" s="78">
        <f t="shared" si="21"/>
        <v>1496.25</v>
      </c>
      <c r="Y49" s="78">
        <f t="shared" si="21"/>
        <v>367.31940861237291</v>
      </c>
      <c r="Z49" s="78">
        <f t="shared" si="21"/>
        <v>13794.973996756393</v>
      </c>
      <c r="AA49" s="78">
        <f t="shared" si="21"/>
        <v>3016502.2271203152</v>
      </c>
      <c r="AB49" s="78">
        <f t="shared" si="21"/>
        <v>162201.762772713</v>
      </c>
      <c r="AC49" s="78">
        <f t="shared" si="21"/>
        <v>823.08525000000009</v>
      </c>
      <c r="AD49" s="78">
        <f t="shared" si="21"/>
        <v>823.08525000000009</v>
      </c>
      <c r="AE49" s="78">
        <f t="shared" si="21"/>
        <v>823.08525000000009</v>
      </c>
      <c r="AF49" s="78">
        <f t="shared" si="21"/>
        <v>823.08525000000009</v>
      </c>
      <c r="AG49" s="78">
        <f t="shared" si="21"/>
        <v>823.08525000000009</v>
      </c>
      <c r="AH49" s="78">
        <f t="shared" si="21"/>
        <v>823.08525000000009</v>
      </c>
      <c r="AI49" s="78">
        <f t="shared" si="21"/>
        <v>823.08525000000009</v>
      </c>
      <c r="AJ49" s="78">
        <f t="shared" si="21"/>
        <v>823.08525000000009</v>
      </c>
      <c r="AK49" s="78">
        <f t="shared" si="21"/>
        <v>823.08525000000009</v>
      </c>
      <c r="AL49" s="78">
        <f t="shared" si="21"/>
        <v>823.08525000000009</v>
      </c>
      <c r="AM49" s="78">
        <f t="shared" si="21"/>
        <v>823.08525000000009</v>
      </c>
      <c r="AN49" s="78">
        <f t="shared" si="21"/>
        <v>823.08525000000009</v>
      </c>
      <c r="AO49" s="78">
        <f t="shared" si="21"/>
        <v>823.08525000000009</v>
      </c>
      <c r="AP49" s="78">
        <f t="shared" si="21"/>
        <v>823.08525000000009</v>
      </c>
      <c r="AQ49" s="78">
        <f t="shared" si="21"/>
        <v>823.08525000000009</v>
      </c>
      <c r="AR49" s="78">
        <f t="shared" si="21"/>
        <v>823.08525000000009</v>
      </c>
      <c r="AS49" s="78">
        <f t="shared" si="21"/>
        <v>823.08525000000009</v>
      </c>
    </row>
    <row r="50" spans="1:45" s="67" customFormat="1" ht="15.75" thickBot="1" x14ac:dyDescent="0.3">
      <c r="A50" s="6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15" sqref="D15"/>
    </sheetView>
  </sheetViews>
  <sheetFormatPr defaultRowHeight="15" x14ac:dyDescent="0.25"/>
  <cols>
    <col min="1" max="1" width="9.140625" style="18"/>
  </cols>
  <sheetData>
    <row r="1" spans="2:12" s="18" customFormat="1" ht="15.75" thickBot="1" x14ac:dyDescent="0.3"/>
    <row r="2" spans="2:12" s="18" customFormat="1" x14ac:dyDescent="0.25">
      <c r="B2" s="44" t="s">
        <v>69</v>
      </c>
      <c r="C2" s="37"/>
      <c r="D2" s="37"/>
      <c r="E2" s="37"/>
      <c r="F2" s="37"/>
      <c r="G2" s="37"/>
      <c r="H2" s="38"/>
    </row>
    <row r="3" spans="2:12" x14ac:dyDescent="0.25">
      <c r="B3" s="39"/>
      <c r="C3" s="19" t="s">
        <v>60</v>
      </c>
      <c r="D3" s="19" t="s">
        <v>62</v>
      </c>
      <c r="E3" s="19"/>
      <c r="F3" s="19"/>
      <c r="G3" s="19"/>
      <c r="H3" s="40"/>
    </row>
    <row r="4" spans="2:12" x14ac:dyDescent="0.25">
      <c r="B4" s="39" t="s">
        <v>65</v>
      </c>
      <c r="C4" s="46">
        <f>4518+12608+4413</f>
        <v>21539</v>
      </c>
      <c r="D4" s="19">
        <f>7460+20802+7302</f>
        <v>35564</v>
      </c>
      <c r="E4" s="19"/>
      <c r="F4" s="19"/>
      <c r="G4" s="19"/>
      <c r="H4" s="40"/>
    </row>
    <row r="5" spans="2:12" x14ac:dyDescent="0.25">
      <c r="B5" s="39" t="s">
        <v>66</v>
      </c>
      <c r="C5" s="19">
        <f>7932+22063+7722</f>
        <v>37717</v>
      </c>
      <c r="D5" s="19">
        <f>13080+36404+12765</f>
        <v>62249</v>
      </c>
      <c r="E5" s="46"/>
      <c r="F5" s="19"/>
      <c r="G5" s="19"/>
      <c r="H5" s="40"/>
    </row>
    <row r="6" spans="2:12" x14ac:dyDescent="0.25">
      <c r="B6" s="39" t="s">
        <v>67</v>
      </c>
      <c r="C6" s="19">
        <f>9035+25215+8825</f>
        <v>43075</v>
      </c>
      <c r="D6" s="46">
        <f>14919+41650+14858</f>
        <v>71427</v>
      </c>
      <c r="E6" s="19"/>
      <c r="F6" s="19" t="s">
        <v>61</v>
      </c>
      <c r="G6" s="19">
        <f>(C4+D4+C5+D5+C6+D6)/6</f>
        <v>45261.833333333336</v>
      </c>
      <c r="H6" s="40"/>
    </row>
    <row r="7" spans="2:12" x14ac:dyDescent="0.25">
      <c r="B7" s="39"/>
      <c r="C7" s="19"/>
      <c r="D7" s="19"/>
      <c r="E7" s="19"/>
      <c r="F7" s="19"/>
      <c r="G7" s="19"/>
      <c r="H7" s="40"/>
    </row>
    <row r="8" spans="2:12" x14ac:dyDescent="0.25">
      <c r="B8" s="39"/>
      <c r="C8" s="19"/>
      <c r="D8" s="19"/>
      <c r="E8" s="19"/>
      <c r="F8" s="19"/>
      <c r="G8" s="19"/>
      <c r="H8" s="40"/>
    </row>
    <row r="9" spans="2:12" x14ac:dyDescent="0.25">
      <c r="B9" s="39" t="s">
        <v>63</v>
      </c>
      <c r="C9" s="19"/>
      <c r="D9" s="19"/>
      <c r="E9" s="19"/>
      <c r="F9" s="19"/>
      <c r="G9" s="19"/>
      <c r="H9" s="40"/>
    </row>
    <row r="10" spans="2:12" ht="15.75" thickBot="1" x14ac:dyDescent="0.3">
      <c r="B10" s="41"/>
      <c r="C10" s="42"/>
      <c r="D10" s="42"/>
      <c r="E10" s="42"/>
      <c r="F10" s="42"/>
      <c r="G10" s="42"/>
      <c r="H10" s="43"/>
    </row>
    <row r="13" spans="2:12" ht="15.75" thickBot="1" x14ac:dyDescent="0.3"/>
    <row r="14" spans="2:12" x14ac:dyDescent="0.25">
      <c r="B14" s="44" t="s">
        <v>64</v>
      </c>
      <c r="C14" s="37"/>
      <c r="D14" s="37"/>
      <c r="E14" s="37"/>
      <c r="F14" s="37"/>
      <c r="G14" s="37"/>
      <c r="H14" s="37"/>
      <c r="I14" s="37"/>
      <c r="J14" s="37"/>
      <c r="K14" s="37"/>
      <c r="L14" s="38"/>
    </row>
    <row r="15" spans="2:12" x14ac:dyDescent="0.25">
      <c r="B15" s="39"/>
      <c r="C15" s="19" t="s">
        <v>70</v>
      </c>
      <c r="D15" s="19" t="s">
        <v>71</v>
      </c>
      <c r="E15" s="19" t="s">
        <v>72</v>
      </c>
      <c r="F15" s="19" t="s">
        <v>73</v>
      </c>
      <c r="G15" s="19" t="s">
        <v>74</v>
      </c>
      <c r="H15" s="19" t="s">
        <v>75</v>
      </c>
      <c r="I15" s="19"/>
      <c r="J15" s="19"/>
      <c r="K15" s="19"/>
      <c r="L15" s="40"/>
    </row>
    <row r="16" spans="2:12" x14ac:dyDescent="0.25">
      <c r="B16" s="39" t="s">
        <v>65</v>
      </c>
      <c r="C16" s="19">
        <f>11692+17539+4232+11701</f>
        <v>45164</v>
      </c>
      <c r="D16" s="19">
        <f>51752+77628+10332+46116</f>
        <v>185828</v>
      </c>
      <c r="E16" s="19">
        <f>17634+26451+8239+17895</f>
        <v>70219</v>
      </c>
      <c r="F16" s="19">
        <f>80312+120468+20244+66764</f>
        <v>287788</v>
      </c>
      <c r="G16" s="19">
        <f>19556+29333+4587+17465</f>
        <v>70941</v>
      </c>
      <c r="H16" s="19">
        <f>38720+58082+6663+34580</f>
        <v>138045</v>
      </c>
      <c r="I16" s="19"/>
      <c r="J16" s="19"/>
      <c r="K16" s="19"/>
      <c r="L16" s="40"/>
    </row>
    <row r="17" spans="2:12" x14ac:dyDescent="0.25">
      <c r="B17" s="39" t="s">
        <v>66</v>
      </c>
      <c r="C17" s="19">
        <f>17634+26451+4232+22025</f>
        <v>70342</v>
      </c>
      <c r="D17" s="19">
        <f>76287+114430+10332+99302</f>
        <v>300351</v>
      </c>
      <c r="E17" s="19">
        <f>26349+39677+8239+30973</f>
        <v>105238</v>
      </c>
      <c r="F17" s="19">
        <f>120564+180846+20244+120451</f>
        <v>442105</v>
      </c>
      <c r="G17" s="19">
        <f>32030+48045+5734+41996</f>
        <v>127805</v>
      </c>
      <c r="H17" s="19">
        <f>57077+85616+8328+74837</f>
        <v>225858</v>
      </c>
      <c r="I17" s="19"/>
      <c r="J17" s="19" t="s">
        <v>77</v>
      </c>
      <c r="K17" s="19">
        <f>MAX(C16:H19)</f>
        <v>872813</v>
      </c>
      <c r="L17" s="40"/>
    </row>
    <row r="18" spans="2:12" s="18" customFormat="1" x14ac:dyDescent="0.25">
      <c r="B18" s="39" t="s">
        <v>68</v>
      </c>
      <c r="C18" s="19">
        <f>19934+29901+8345+29597</f>
        <v>87777</v>
      </c>
      <c r="D18" s="19">
        <f>87979+131969+53358+132151</f>
        <v>405457</v>
      </c>
      <c r="E18" s="19">
        <f>30860+46290+16457+39233</f>
        <v>132840</v>
      </c>
      <c r="F18" s="19">
        <f>136473+204709+106330+174137</f>
        <v>621649</v>
      </c>
      <c r="G18" s="19">
        <f>36969+55480+9046+55609</f>
        <v>157104</v>
      </c>
      <c r="H18" s="19">
        <f>65826+98738+24984+99095</f>
        <v>288643</v>
      </c>
      <c r="I18" s="19"/>
      <c r="J18" s="19" t="s">
        <v>76</v>
      </c>
      <c r="K18" s="19">
        <f>MIN(C16:H19)</f>
        <v>45164</v>
      </c>
      <c r="L18" s="40"/>
    </row>
    <row r="19" spans="2:12" x14ac:dyDescent="0.25">
      <c r="B19" s="39" t="s">
        <v>67</v>
      </c>
      <c r="C19" s="19">
        <f>25684+38527+8345+46116</f>
        <v>118672</v>
      </c>
      <c r="D19" s="19">
        <f>113855+170782+53358+242277</f>
        <v>580272</v>
      </c>
      <c r="E19" s="19">
        <f>40635+60963+16457+59193</f>
        <v>177248</v>
      </c>
      <c r="F19" s="19">
        <f>176724+265087+106330+324672</f>
        <v>872813</v>
      </c>
      <c r="G19" s="19">
        <f>47804+71705+9046+101950</f>
        <v>230505</v>
      </c>
      <c r="H19" s="19">
        <f>85186+127779+24984+181674</f>
        <v>419623</v>
      </c>
      <c r="I19" s="19"/>
      <c r="J19" s="19" t="s">
        <v>61</v>
      </c>
      <c r="K19" s="19">
        <f>SUM(C16:H19)/COUNT(C16:H19)</f>
        <v>256761.95833333334</v>
      </c>
      <c r="L19" s="40"/>
    </row>
    <row r="20" spans="2:12" x14ac:dyDescent="0.25">
      <c r="B20" s="39"/>
      <c r="C20" s="19"/>
      <c r="D20" s="19"/>
      <c r="E20" s="19"/>
      <c r="F20" s="19"/>
      <c r="G20" s="19"/>
      <c r="H20" s="19"/>
      <c r="I20" s="19"/>
      <c r="J20" s="19"/>
      <c r="K20" s="19"/>
      <c r="L20" s="40"/>
    </row>
    <row r="21" spans="2:12" x14ac:dyDescent="0.25">
      <c r="B21" s="39"/>
      <c r="C21" s="19"/>
      <c r="D21" s="19"/>
      <c r="E21" s="19"/>
      <c r="F21" s="19"/>
      <c r="G21" s="19"/>
      <c r="H21" s="19"/>
      <c r="I21" s="19"/>
      <c r="J21" s="19"/>
      <c r="K21" s="19"/>
      <c r="L21" s="40"/>
    </row>
    <row r="22" spans="2:12" x14ac:dyDescent="0.25">
      <c r="B22" s="39" t="s">
        <v>63</v>
      </c>
      <c r="C22" s="19"/>
      <c r="D22" s="19"/>
      <c r="E22" s="19"/>
      <c r="F22" s="19"/>
      <c r="G22" s="19"/>
      <c r="H22" s="19"/>
      <c r="I22" s="19"/>
      <c r="J22" s="19"/>
      <c r="K22" s="19"/>
      <c r="L22" s="40"/>
    </row>
    <row r="23" spans="2:12" ht="15.75" thickBot="1" x14ac:dyDescent="0.3"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60" zoomScaleNormal="160" workbookViewId="0">
      <selection activeCell="L25" sqref="L25"/>
    </sheetView>
  </sheetViews>
  <sheetFormatPr defaultRowHeight="15" x14ac:dyDescent="0.25"/>
  <cols>
    <col min="2" max="2" width="11.5703125" bestFit="1" customWidth="1"/>
  </cols>
  <sheetData>
    <row r="1" spans="1:13" x14ac:dyDescent="0.25">
      <c r="A1" t="s">
        <v>110</v>
      </c>
      <c r="J1" t="s">
        <v>114</v>
      </c>
    </row>
    <row r="2" spans="1:13" x14ac:dyDescent="0.25">
      <c r="A2">
        <v>1998</v>
      </c>
      <c r="B2" s="14">
        <v>43000000</v>
      </c>
      <c r="C2" t="s">
        <v>111</v>
      </c>
    </row>
    <row r="3" spans="1:13" x14ac:dyDescent="0.25">
      <c r="A3">
        <v>2015</v>
      </c>
      <c r="B3" s="14">
        <v>27377016.02</v>
      </c>
      <c r="C3" t="s">
        <v>112</v>
      </c>
      <c r="E3">
        <f>B3/10000</f>
        <v>2737.7016020000001</v>
      </c>
      <c r="F3" t="s">
        <v>42</v>
      </c>
      <c r="J3">
        <v>559.54340000000002</v>
      </c>
      <c r="K3" t="s">
        <v>42</v>
      </c>
    </row>
    <row r="5" spans="1:13" x14ac:dyDescent="0.25">
      <c r="A5" t="s">
        <v>113</v>
      </c>
      <c r="B5" t="s">
        <v>115</v>
      </c>
      <c r="K5" s="81" t="s">
        <v>115</v>
      </c>
      <c r="L5" s="83"/>
      <c r="M5" s="83"/>
    </row>
    <row r="6" spans="1:13" x14ac:dyDescent="0.25">
      <c r="A6">
        <v>0</v>
      </c>
      <c r="B6">
        <v>0</v>
      </c>
      <c r="K6" s="84">
        <v>0</v>
      </c>
      <c r="L6" s="83"/>
      <c r="M6" s="83"/>
    </row>
    <row r="7" spans="1:13" x14ac:dyDescent="0.25">
      <c r="A7">
        <v>0.5</v>
      </c>
      <c r="B7">
        <v>0.2</v>
      </c>
      <c r="K7" s="84">
        <v>0.2971480219894268</v>
      </c>
      <c r="L7" s="83"/>
      <c r="M7" s="83"/>
    </row>
    <row r="8" spans="1:13" x14ac:dyDescent="0.25">
      <c r="A8">
        <v>1</v>
      </c>
      <c r="B8">
        <v>0.4</v>
      </c>
      <c r="K8" s="84">
        <v>0.47979055854907787</v>
      </c>
      <c r="L8" s="83"/>
      <c r="M8" s="83"/>
    </row>
    <row r="9" spans="1:13" x14ac:dyDescent="0.25">
      <c r="A9">
        <v>1.5</v>
      </c>
      <c r="B9">
        <v>0.6</v>
      </c>
      <c r="K9" s="84">
        <v>0.60328578958373713</v>
      </c>
      <c r="L9" s="83"/>
      <c r="M9" s="83"/>
    </row>
    <row r="10" spans="1:13" x14ac:dyDescent="0.25">
      <c r="A10">
        <v>2</v>
      </c>
      <c r="B10">
        <v>0.8</v>
      </c>
      <c r="K10" s="84">
        <v>0.69434584412800904</v>
      </c>
      <c r="L10" s="83"/>
      <c r="M10" s="83"/>
    </row>
    <row r="11" spans="1:13" x14ac:dyDescent="0.25">
      <c r="A11">
        <v>3</v>
      </c>
      <c r="B11">
        <v>0.85</v>
      </c>
      <c r="K11" s="84">
        <v>0.82026548371148122</v>
      </c>
      <c r="L11" s="83"/>
      <c r="M11" s="83"/>
    </row>
    <row r="12" spans="1:13" x14ac:dyDescent="0.25">
      <c r="A12">
        <v>4</v>
      </c>
      <c r="B12">
        <v>0.9</v>
      </c>
      <c r="K12" s="84">
        <v>0.92286192938836609</v>
      </c>
      <c r="L12" s="83"/>
      <c r="M12" s="83"/>
    </row>
    <row r="13" spans="1:13" x14ac:dyDescent="0.25">
      <c r="A13">
        <v>5</v>
      </c>
      <c r="B13">
        <v>0.95</v>
      </c>
      <c r="K13" s="84">
        <v>0.9870654926044935</v>
      </c>
      <c r="L13" s="83"/>
      <c r="M13" s="83"/>
    </row>
    <row r="14" spans="1:13" x14ac:dyDescent="0.25">
      <c r="A14">
        <v>6</v>
      </c>
      <c r="B14">
        <v>1</v>
      </c>
      <c r="K14" s="84">
        <v>1</v>
      </c>
      <c r="L14" s="83"/>
      <c r="M14" s="83"/>
    </row>
    <row r="15" spans="1:13" x14ac:dyDescent="0.25">
      <c r="K15" s="83"/>
      <c r="L15" s="83"/>
      <c r="M15" s="83"/>
    </row>
    <row r="16" spans="1:13" x14ac:dyDescent="0.25">
      <c r="K16" s="83"/>
      <c r="L16" s="83"/>
      <c r="M16" s="83"/>
    </row>
    <row r="17" spans="11:13" x14ac:dyDescent="0.25">
      <c r="K17" s="83"/>
      <c r="L17" s="83"/>
      <c r="M17" s="8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1"/>
  <sheetViews>
    <sheetView topLeftCell="E1" workbookViewId="0">
      <selection activeCell="AA5" sqref="AA5"/>
    </sheetView>
  </sheetViews>
  <sheetFormatPr defaultRowHeight="15" x14ac:dyDescent="0.25"/>
  <cols>
    <col min="1" max="1" width="42.28515625" customWidth="1"/>
    <col min="2" max="2" width="10.5703125" bestFit="1" customWidth="1"/>
    <col min="4" max="5" width="11.5703125" bestFit="1" customWidth="1"/>
    <col min="7" max="7" width="11.5703125" bestFit="1" customWidth="1"/>
    <col min="8" max="8" width="14.140625" bestFit="1" customWidth="1"/>
  </cols>
  <sheetData>
    <row r="1" spans="1:28" x14ac:dyDescent="0.25">
      <c r="A1" t="s">
        <v>116</v>
      </c>
      <c r="E1" t="s">
        <v>128</v>
      </c>
      <c r="H1" s="81" t="s">
        <v>127</v>
      </c>
    </row>
    <row r="2" spans="1:28" s="81" customFormat="1" x14ac:dyDescent="0.25">
      <c r="A2" s="82" t="s">
        <v>131</v>
      </c>
      <c r="Z2" s="81" t="s">
        <v>178</v>
      </c>
    </row>
    <row r="3" spans="1:28" x14ac:dyDescent="0.25">
      <c r="A3" t="s">
        <v>117</v>
      </c>
      <c r="B3">
        <v>2010</v>
      </c>
      <c r="E3">
        <v>2015</v>
      </c>
      <c r="Z3" t="s">
        <v>179</v>
      </c>
    </row>
    <row r="4" spans="1:28" s="81" customFormat="1" x14ac:dyDescent="0.25">
      <c r="A4" s="81" t="s">
        <v>126</v>
      </c>
      <c r="E4" s="79">
        <v>8.6999999999999994E-2</v>
      </c>
      <c r="Z4" s="81" t="s">
        <v>180</v>
      </c>
      <c r="AA4" s="81" t="s">
        <v>182</v>
      </c>
      <c r="AB4" s="81" t="s">
        <v>181</v>
      </c>
    </row>
    <row r="5" spans="1:28" x14ac:dyDescent="0.25">
      <c r="Z5">
        <v>11700</v>
      </c>
      <c r="AA5">
        <v>135550</v>
      </c>
      <c r="AB5">
        <v>702200</v>
      </c>
    </row>
    <row r="6" spans="1:28" x14ac:dyDescent="0.25">
      <c r="A6" t="s">
        <v>118</v>
      </c>
      <c r="B6" s="14">
        <v>750000</v>
      </c>
      <c r="C6" t="s">
        <v>120</v>
      </c>
      <c r="E6">
        <f>B6*(($E$4/100)+1)</f>
        <v>750652.5</v>
      </c>
      <c r="F6" s="81" t="s">
        <v>120</v>
      </c>
      <c r="H6">
        <f>(E6/correction_reference_year!$E$28)/1000</f>
        <v>676.42865960968857</v>
      </c>
      <c r="I6" t="s">
        <v>89</v>
      </c>
      <c r="K6">
        <f>H6+$H$8</f>
        <v>992.09536742754324</v>
      </c>
      <c r="Z6">
        <f>Z5/$AB$5</f>
        <v>1.6661919681002564E-2</v>
      </c>
      <c r="AA6" s="81">
        <f t="shared" ref="AA6:AB6" si="0">AA5/$AB$5</f>
        <v>0.19303617203076046</v>
      </c>
      <c r="AB6" s="81">
        <f t="shared" si="0"/>
        <v>1</v>
      </c>
    </row>
    <row r="7" spans="1:28" x14ac:dyDescent="0.25">
      <c r="A7" s="81" t="s">
        <v>119</v>
      </c>
      <c r="B7" s="14">
        <v>1000000</v>
      </c>
      <c r="C7" s="81" t="s">
        <v>120</v>
      </c>
      <c r="E7" s="81">
        <f t="shared" ref="E7:E10" si="1">B7*(($E$4/100)+1)</f>
        <v>1000869.9999999999</v>
      </c>
      <c r="F7" s="81" t="s">
        <v>120</v>
      </c>
      <c r="H7" s="81">
        <f>(E7/correction_reference_year!$E$28)/1000</f>
        <v>901.90487947958468</v>
      </c>
      <c r="I7" s="81" t="s">
        <v>89</v>
      </c>
      <c r="K7" s="81">
        <f>H7+$H$8</f>
        <v>1217.5715872974392</v>
      </c>
      <c r="M7">
        <f>AVERAGE(K6:K7)</f>
        <v>1104.8334773624913</v>
      </c>
    </row>
    <row r="8" spans="1:28" x14ac:dyDescent="0.25">
      <c r="A8" t="s">
        <v>121</v>
      </c>
      <c r="B8">
        <v>350000</v>
      </c>
      <c r="C8" s="81" t="s">
        <v>120</v>
      </c>
      <c r="E8" s="81">
        <f t="shared" si="1"/>
        <v>350304.5</v>
      </c>
      <c r="F8" s="81" t="s">
        <v>120</v>
      </c>
      <c r="H8" s="81">
        <f>(E8/correction_reference_year!$E$28)/1000</f>
        <v>315.66670781785467</v>
      </c>
      <c r="I8" s="81" t="s">
        <v>89</v>
      </c>
    </row>
    <row r="9" spans="1:28" x14ac:dyDescent="0.25">
      <c r="A9" t="s">
        <v>125</v>
      </c>
      <c r="B9">
        <v>30000000</v>
      </c>
      <c r="C9" s="81" t="s">
        <v>124</v>
      </c>
      <c r="E9" s="81">
        <f t="shared" si="1"/>
        <v>30026099.999999996</v>
      </c>
      <c r="F9" s="81" t="s">
        <v>124</v>
      </c>
      <c r="H9" s="81">
        <f>E9/correction_reference_year!$E$28</f>
        <v>27057146.384387538</v>
      </c>
      <c r="I9" t="s">
        <v>89</v>
      </c>
      <c r="K9" t="s">
        <v>129</v>
      </c>
      <c r="L9">
        <f>H9</f>
        <v>27057146.384387538</v>
      </c>
      <c r="M9" t="s">
        <v>130</v>
      </c>
      <c r="O9" s="86">
        <f>L9/3000</f>
        <v>9019.0487947958463</v>
      </c>
      <c r="P9" s="86" t="s">
        <v>42</v>
      </c>
      <c r="Q9" s="86">
        <v>9019.0487947958463</v>
      </c>
      <c r="R9" s="81" t="s">
        <v>89</v>
      </c>
    </row>
    <row r="10" spans="1:28" x14ac:dyDescent="0.25">
      <c r="A10" t="s">
        <v>122</v>
      </c>
      <c r="B10">
        <v>500</v>
      </c>
      <c r="C10" t="s">
        <v>123</v>
      </c>
      <c r="E10" s="81">
        <f t="shared" si="1"/>
        <v>500.43499999999995</v>
      </c>
      <c r="F10" s="81" t="s">
        <v>123</v>
      </c>
      <c r="H10" s="81">
        <f>E10/correction_reference_year!$E$28</f>
        <v>450.95243973979228</v>
      </c>
      <c r="I10" t="s">
        <v>42</v>
      </c>
    </row>
    <row r="12" spans="1:28" x14ac:dyDescent="0.25">
      <c r="A12" s="82" t="s">
        <v>132</v>
      </c>
    </row>
    <row r="13" spans="1:28" x14ac:dyDescent="0.25">
      <c r="A13" s="17" t="s">
        <v>133</v>
      </c>
      <c r="B13" s="17">
        <v>120000</v>
      </c>
      <c r="C13" s="17" t="s">
        <v>120</v>
      </c>
    </row>
    <row r="14" spans="1:28" x14ac:dyDescent="0.25">
      <c r="A14" s="17" t="s">
        <v>134</v>
      </c>
      <c r="B14" s="17">
        <v>750000</v>
      </c>
      <c r="C14" s="17" t="s">
        <v>120</v>
      </c>
    </row>
    <row r="15" spans="1:28" x14ac:dyDescent="0.25">
      <c r="A15" s="17" t="s">
        <v>135</v>
      </c>
      <c r="B15" s="17">
        <v>750000</v>
      </c>
      <c r="C15" s="17" t="s">
        <v>120</v>
      </c>
    </row>
    <row r="16" spans="1:28" x14ac:dyDescent="0.25">
      <c r="A16" s="17" t="s">
        <v>138</v>
      </c>
      <c r="B16" s="17">
        <v>5000</v>
      </c>
      <c r="C16" s="17" t="s">
        <v>139</v>
      </c>
    </row>
    <row r="17" spans="1:25" x14ac:dyDescent="0.25">
      <c r="A17" t="s">
        <v>136</v>
      </c>
      <c r="B17" s="80">
        <v>12000000</v>
      </c>
      <c r="C17" s="80" t="s">
        <v>140</v>
      </c>
      <c r="E17" s="81">
        <f>B17*(($E$4/100)+1)</f>
        <v>12010440</v>
      </c>
      <c r="F17" s="80" t="s">
        <v>140</v>
      </c>
      <c r="H17" s="81">
        <f>E17/correction_reference_year!$E$28</f>
        <v>10822858.553755017</v>
      </c>
      <c r="I17" t="s">
        <v>141</v>
      </c>
      <c r="K17">
        <f>3000-1524</f>
        <v>1476</v>
      </c>
      <c r="L17" t="s">
        <v>142</v>
      </c>
      <c r="N17" s="86">
        <f>H17/K17</f>
        <v>7332.5599957689819</v>
      </c>
      <c r="O17" s="86" t="s">
        <v>42</v>
      </c>
      <c r="P17" s="86"/>
      <c r="Q17" s="86">
        <v>7332.5599957689819</v>
      </c>
      <c r="R17" t="s">
        <v>89</v>
      </c>
    </row>
    <row r="18" spans="1:25" x14ac:dyDescent="0.25">
      <c r="A18" t="s">
        <v>137</v>
      </c>
      <c r="B18" s="80">
        <v>4800000</v>
      </c>
      <c r="C18" s="80" t="s">
        <v>140</v>
      </c>
      <c r="E18" s="81">
        <f>B18*(($E$4/100)+1)</f>
        <v>4804176</v>
      </c>
      <c r="F18" s="80" t="s">
        <v>140</v>
      </c>
      <c r="H18" s="81">
        <f>E18/correction_reference_year!$E$28</f>
        <v>4329143.4215020062</v>
      </c>
      <c r="I18" s="81" t="s">
        <v>141</v>
      </c>
      <c r="K18">
        <f>1524-1000</f>
        <v>524</v>
      </c>
      <c r="L18" t="s">
        <v>142</v>
      </c>
      <c r="N18" s="86">
        <f>H18/K18</f>
        <v>8261.7240868358895</v>
      </c>
      <c r="O18" s="86" t="s">
        <v>42</v>
      </c>
      <c r="P18" s="86"/>
      <c r="Q18" s="86">
        <v>8261.7240868358895</v>
      </c>
      <c r="R18" s="81" t="s">
        <v>89</v>
      </c>
    </row>
    <row r="20" spans="1:25" x14ac:dyDescent="0.25">
      <c r="A20" t="s">
        <v>147</v>
      </c>
    </row>
    <row r="21" spans="1:25" s="81" customFormat="1" x14ac:dyDescent="0.25">
      <c r="A21" s="81" t="s">
        <v>156</v>
      </c>
      <c r="B21" s="81">
        <v>2011</v>
      </c>
    </row>
    <row r="22" spans="1:25" s="81" customFormat="1" x14ac:dyDescent="0.25">
      <c r="A22" s="81" t="s">
        <v>157</v>
      </c>
      <c r="B22">
        <v>5.4</v>
      </c>
    </row>
    <row r="23" spans="1:25" s="81" customFormat="1" x14ac:dyDescent="0.25"/>
    <row r="24" spans="1:25" x14ac:dyDescent="0.25">
      <c r="A24" t="s">
        <v>146</v>
      </c>
      <c r="B24">
        <v>4576</v>
      </c>
      <c r="C24" t="s">
        <v>145</v>
      </c>
    </row>
    <row r="25" spans="1:25" x14ac:dyDescent="0.25">
      <c r="J25" s="81" t="s">
        <v>164</v>
      </c>
      <c r="N25" t="s">
        <v>165</v>
      </c>
    </row>
    <row r="26" spans="1:25" x14ac:dyDescent="0.25">
      <c r="A26" s="82" t="s">
        <v>148</v>
      </c>
      <c r="D26" t="s">
        <v>160</v>
      </c>
      <c r="E26">
        <v>0.30480000000000002</v>
      </c>
      <c r="F26" t="s">
        <v>95</v>
      </c>
      <c r="N26" s="86" t="s">
        <v>42</v>
      </c>
      <c r="O26" s="86"/>
      <c r="P26" s="86" t="s">
        <v>89</v>
      </c>
      <c r="Q26" s="86"/>
      <c r="S26" t="s">
        <v>89</v>
      </c>
    </row>
    <row r="27" spans="1:25" s="81" customFormat="1" x14ac:dyDescent="0.25">
      <c r="A27" s="82"/>
      <c r="B27" s="81" t="s">
        <v>152</v>
      </c>
      <c r="C27" s="81" t="s">
        <v>153</v>
      </c>
      <c r="D27" s="81" t="s">
        <v>158</v>
      </c>
      <c r="E27" s="81" t="s">
        <v>159</v>
      </c>
      <c r="F27" s="81" t="s">
        <v>163</v>
      </c>
      <c r="G27" s="81" t="s">
        <v>161</v>
      </c>
      <c r="H27" s="81" t="s">
        <v>162</v>
      </c>
      <c r="J27" s="81" t="s">
        <v>176</v>
      </c>
      <c r="K27" s="81" t="s">
        <v>177</v>
      </c>
      <c r="N27" s="86" t="s">
        <v>154</v>
      </c>
      <c r="O27" s="86" t="s">
        <v>155</v>
      </c>
      <c r="P27" s="86" t="s">
        <v>154</v>
      </c>
      <c r="Q27" s="86" t="s">
        <v>155</v>
      </c>
      <c r="S27" s="86" t="s">
        <v>61</v>
      </c>
    </row>
    <row r="28" spans="1:25" x14ac:dyDescent="0.25">
      <c r="A28" t="s">
        <v>149</v>
      </c>
      <c r="B28">
        <v>3700</v>
      </c>
      <c r="C28">
        <v>75</v>
      </c>
      <c r="D28">
        <f>B28*$E$26</f>
        <v>1127.76</v>
      </c>
      <c r="E28" s="81">
        <f>C28*$E$26</f>
        <v>22.86</v>
      </c>
      <c r="F28">
        <f>D28*E28</f>
        <v>25780.5936</v>
      </c>
      <c r="G28" s="14">
        <v>4995000</v>
      </c>
      <c r="H28" s="14">
        <v>4440000</v>
      </c>
      <c r="J28">
        <f>(G28*(($B$22/100)+1))/correction_reference_year!$E$28</f>
        <v>4744158.2584576961</v>
      </c>
      <c r="K28" s="81">
        <f>(H28*(($B$22/100)+1))/correction_reference_year!$E$28</f>
        <v>4217029.5630735075</v>
      </c>
      <c r="N28" s="86">
        <f>J28/$F$28</f>
        <v>184.02052070894504</v>
      </c>
      <c r="O28" s="86">
        <f>K28/$F$28</f>
        <v>163.57379618572892</v>
      </c>
      <c r="P28" s="86">
        <f>J28/$D$28</f>
        <v>4206.7091034064833</v>
      </c>
      <c r="Q28" s="86">
        <f>K28/$D$28</f>
        <v>3739.2969808057633</v>
      </c>
      <c r="S28">
        <f>AVERAGE(P28:Q28)</f>
        <v>3973.0030421061233</v>
      </c>
      <c r="Y28" s="81"/>
    </row>
    <row r="29" spans="1:25" x14ac:dyDescent="0.25">
      <c r="A29" t="s">
        <v>150</v>
      </c>
      <c r="B29">
        <v>5000</v>
      </c>
      <c r="C29">
        <v>100</v>
      </c>
      <c r="D29" s="81">
        <f t="shared" ref="D29:D30" si="2">B29*$E$26</f>
        <v>1524</v>
      </c>
      <c r="E29" s="81">
        <f t="shared" ref="E29:E30" si="3">C29*$E$26</f>
        <v>30.48</v>
      </c>
      <c r="F29" s="81">
        <f t="shared" ref="F29:F30" si="4">D29*E29</f>
        <v>46451.520000000004</v>
      </c>
      <c r="G29" s="14">
        <v>9000000</v>
      </c>
      <c r="H29" s="14">
        <v>8500000</v>
      </c>
      <c r="J29" s="81">
        <f>(G29*(($B$22/100)+1))/correction_reference_year!$E$28</f>
        <v>8548032.8981219735</v>
      </c>
      <c r="K29" s="81">
        <f>(H29*(($B$22/100)+1))/correction_reference_year!$E$28</f>
        <v>8073142.1815596418</v>
      </c>
      <c r="N29" s="86">
        <f t="shared" ref="N29:N30" si="5">J29/$F$28</f>
        <v>331.56850578188289</v>
      </c>
      <c r="O29" s="86">
        <f t="shared" ref="O29:O30" si="6">K29/$F$28</f>
        <v>313.14803323844495</v>
      </c>
      <c r="P29" s="86">
        <f t="shared" ref="P29:P30" si="7">J29/$D$28</f>
        <v>7579.6560421738432</v>
      </c>
      <c r="Q29" s="86">
        <f t="shared" ref="Q29:Q30" si="8">K29/$D$28</f>
        <v>7158.5640398308524</v>
      </c>
      <c r="S29" s="81">
        <f t="shared" ref="S29:S30" si="9">AVERAGE(P29:Q29)</f>
        <v>7369.1100410023482</v>
      </c>
      <c r="X29" s="81"/>
      <c r="Y29" s="81"/>
    </row>
    <row r="30" spans="1:25" x14ac:dyDescent="0.25">
      <c r="A30" t="s">
        <v>151</v>
      </c>
      <c r="B30">
        <v>13000</v>
      </c>
      <c r="C30">
        <v>100</v>
      </c>
      <c r="D30" s="81">
        <f t="shared" si="2"/>
        <v>3962.4</v>
      </c>
      <c r="E30" s="81">
        <f t="shared" si="3"/>
        <v>30.48</v>
      </c>
      <c r="F30" s="81">
        <f t="shared" si="4"/>
        <v>120773.952</v>
      </c>
      <c r="G30" s="14">
        <v>28600000</v>
      </c>
      <c r="H30" s="14">
        <v>26000000</v>
      </c>
      <c r="J30" s="81">
        <f>(G30*(($B$22/100)+1))/correction_reference_year!$E$28</f>
        <v>27163748.987365384</v>
      </c>
      <c r="K30" s="81">
        <f>(H30*(($B$22/100)+1))/correction_reference_year!$E$28</f>
        <v>24694317.261241257</v>
      </c>
      <c r="N30" s="86">
        <f t="shared" si="5"/>
        <v>1053.6510294846503</v>
      </c>
      <c r="O30" s="86">
        <f t="shared" si="6"/>
        <v>957.86457225877291</v>
      </c>
      <c r="P30" s="86">
        <f t="shared" si="7"/>
        <v>24086.462534019101</v>
      </c>
      <c r="Q30" s="86">
        <f t="shared" si="8"/>
        <v>21896.784121835546</v>
      </c>
      <c r="S30" s="81">
        <f t="shared" si="9"/>
        <v>22991.623327927322</v>
      </c>
      <c r="X30" s="81"/>
      <c r="Y30" s="81"/>
    </row>
    <row r="31" spans="1:25" x14ac:dyDescent="0.25">
      <c r="S31">
        <f>AVERAGE(S28:S30)</f>
        <v>11444.578803678598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flooding_curves</vt:lpstr>
      <vt:lpstr>correction_reference_year</vt:lpstr>
      <vt:lpstr>power_points</vt:lpstr>
      <vt:lpstr>Waste</vt:lpstr>
      <vt:lpstr>Transport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Nirandjan, S.</dc:creator>
  <cp:lastModifiedBy>Nirandjan, S.</cp:lastModifiedBy>
  <dcterms:created xsi:type="dcterms:W3CDTF">2020-12-16T14:54:28Z</dcterms:created>
  <dcterms:modified xsi:type="dcterms:W3CDTF">2021-09-07T09:23:05Z</dcterms:modified>
</cp:coreProperties>
</file>