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nn490\surfdrive\My research articles\Article 2 multi-hazard analysis\Vulnerability\"/>
    </mc:Choice>
  </mc:AlternateContent>
  <bookViews>
    <workbookView xWindow="0" yWindow="0" windowWidth="23040" windowHeight="9060"/>
  </bookViews>
  <sheets>
    <sheet name="flooding_curves" sheetId="2" r:id="rId1"/>
    <sheet name="correction_without_inflation" sheetId="3" r:id="rId2"/>
    <sheet name="correction_reference_year" sheetId="5" r:id="rId3"/>
    <sheet name="power_poin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2" i="5" l="1"/>
  <c r="AA34" i="5" s="1"/>
  <c r="AA33" i="5" l="1"/>
  <c r="L34" i="5"/>
  <c r="D33" i="5"/>
  <c r="AB32" i="5" l="1"/>
  <c r="AB33" i="5" s="1"/>
  <c r="AC32" i="5"/>
  <c r="AD32" i="5"/>
  <c r="AE32" i="5"/>
  <c r="AF32" i="5"/>
  <c r="AF34" i="5" s="1"/>
  <c r="AG32" i="5"/>
  <c r="AH32" i="5"/>
  <c r="AI32" i="5"/>
  <c r="AJ32" i="5"/>
  <c r="AJ33" i="5" s="1"/>
  <c r="AK32" i="5"/>
  <c r="AL32" i="5"/>
  <c r="AM32" i="5"/>
  <c r="AN32" i="5"/>
  <c r="AN34" i="5" s="1"/>
  <c r="AO32" i="5"/>
  <c r="AP32" i="5"/>
  <c r="AQ32" i="5"/>
  <c r="Z34" i="5"/>
  <c r="Z33" i="5"/>
  <c r="Z32" i="5"/>
  <c r="Y32" i="5"/>
  <c r="Y34" i="5"/>
  <c r="S32" i="5"/>
  <c r="T32" i="5"/>
  <c r="T33" i="5" s="1"/>
  <c r="U32" i="5"/>
  <c r="V32" i="5"/>
  <c r="W32" i="5"/>
  <c r="W34" i="5" s="1"/>
  <c r="R32" i="5"/>
  <c r="R34" i="5" s="1"/>
  <c r="Q32" i="5"/>
  <c r="Q34" i="5" s="1"/>
  <c r="P33" i="5"/>
  <c r="P34" i="5"/>
  <c r="P32" i="5"/>
  <c r="P16" i="5"/>
  <c r="O33" i="5"/>
  <c r="O34" i="5"/>
  <c r="N34" i="5"/>
  <c r="N33" i="5"/>
  <c r="O32" i="5"/>
  <c r="N32" i="5"/>
  <c r="J33" i="5"/>
  <c r="J34" i="5"/>
  <c r="I34" i="5"/>
  <c r="I33" i="5"/>
  <c r="E32" i="5"/>
  <c r="F32" i="5"/>
  <c r="G32" i="5"/>
  <c r="H32" i="5"/>
  <c r="I32" i="5"/>
  <c r="J32" i="5"/>
  <c r="K32" i="5"/>
  <c r="L32" i="5"/>
  <c r="F33" i="5"/>
  <c r="G33" i="5"/>
  <c r="H33" i="5"/>
  <c r="K33" i="5"/>
  <c r="L33" i="5"/>
  <c r="F34" i="5"/>
  <c r="G34" i="5"/>
  <c r="H34" i="5"/>
  <c r="K34" i="5"/>
  <c r="E33" i="5"/>
  <c r="E34" i="5"/>
  <c r="C32" i="5"/>
  <c r="D32" i="5"/>
  <c r="C33" i="5"/>
  <c r="C34" i="5"/>
  <c r="D34" i="5"/>
  <c r="B33" i="5"/>
  <c r="B34" i="5"/>
  <c r="B32" i="5"/>
  <c r="Q18" i="5"/>
  <c r="Q17" i="5"/>
  <c r="Q16" i="5"/>
  <c r="X18" i="5"/>
  <c r="X17" i="5"/>
  <c r="X16" i="5"/>
  <c r="AB15" i="5"/>
  <c r="AB16" i="5" s="1"/>
  <c r="AC15" i="5"/>
  <c r="AC16" i="5" s="1"/>
  <c r="AD15" i="5"/>
  <c r="AD16" i="5" s="1"/>
  <c r="AE15" i="5"/>
  <c r="AE16" i="5" s="1"/>
  <c r="AF15" i="5"/>
  <c r="AF16" i="5" s="1"/>
  <c r="AG15" i="5"/>
  <c r="AG16" i="5" s="1"/>
  <c r="AH15" i="5"/>
  <c r="AH16" i="5" s="1"/>
  <c r="AI15" i="5"/>
  <c r="AI16" i="5" s="1"/>
  <c r="AJ15" i="5"/>
  <c r="AJ16" i="5" s="1"/>
  <c r="AK15" i="5"/>
  <c r="AK16" i="5" s="1"/>
  <c r="AL15" i="5"/>
  <c r="AL16" i="5" s="1"/>
  <c r="AM15" i="5"/>
  <c r="AM16" i="5" s="1"/>
  <c r="AN15" i="5"/>
  <c r="AN16" i="5" s="1"/>
  <c r="AO15" i="5"/>
  <c r="AO16" i="5" s="1"/>
  <c r="AP15" i="5"/>
  <c r="AP16" i="5" s="1"/>
  <c r="AQ15" i="5"/>
  <c r="AQ16" i="5" s="1"/>
  <c r="AA15" i="5"/>
  <c r="AA16" i="5" s="1"/>
  <c r="O15" i="5"/>
  <c r="O16" i="5" s="1"/>
  <c r="N15" i="5"/>
  <c r="N16" i="5" s="1"/>
  <c r="R17" i="5"/>
  <c r="S17" i="5"/>
  <c r="T17" i="5"/>
  <c r="U17" i="5"/>
  <c r="V17" i="5"/>
  <c r="W17" i="5"/>
  <c r="R18" i="5"/>
  <c r="S18" i="5"/>
  <c r="T18" i="5"/>
  <c r="U18" i="5"/>
  <c r="V18" i="5"/>
  <c r="W18" i="5"/>
  <c r="S16" i="5"/>
  <c r="T16" i="5"/>
  <c r="U16" i="5"/>
  <c r="V16" i="5"/>
  <c r="W16" i="5"/>
  <c r="R16" i="5"/>
  <c r="Z16" i="5"/>
  <c r="Y16" i="5"/>
  <c r="P17" i="5"/>
  <c r="P18" i="5"/>
  <c r="B17" i="5"/>
  <c r="C17" i="5"/>
  <c r="D17" i="5"/>
  <c r="E17" i="5"/>
  <c r="F17" i="5"/>
  <c r="G17" i="5"/>
  <c r="K17" i="5"/>
  <c r="L17" i="5"/>
  <c r="B18" i="5"/>
  <c r="C18" i="5"/>
  <c r="D18" i="5"/>
  <c r="E18" i="5"/>
  <c r="F18" i="5"/>
  <c r="G18" i="5"/>
  <c r="K18" i="5"/>
  <c r="L18" i="5"/>
  <c r="L16" i="5"/>
  <c r="K16" i="5"/>
  <c r="J16" i="5"/>
  <c r="I16" i="5"/>
  <c r="H16" i="5"/>
  <c r="G16" i="5"/>
  <c r="D16" i="5"/>
  <c r="C16" i="5"/>
  <c r="O22" i="3"/>
  <c r="O21" i="3"/>
  <c r="O20" i="3"/>
  <c r="N20" i="3"/>
  <c r="N22" i="3" s="1"/>
  <c r="AQ33" i="5"/>
  <c r="AP34" i="5"/>
  <c r="AO34" i="5"/>
  <c r="AM33" i="5"/>
  <c r="AL34" i="5"/>
  <c r="AK33" i="5"/>
  <c r="AI33" i="5"/>
  <c r="AH33" i="5"/>
  <c r="AG33" i="5"/>
  <c r="AE33" i="5"/>
  <c r="AD34" i="5"/>
  <c r="AC33" i="5"/>
  <c r="X32" i="5"/>
  <c r="X34" i="5" s="1"/>
  <c r="V34" i="5"/>
  <c r="U33" i="5"/>
  <c r="S33" i="5"/>
  <c r="E28" i="5"/>
  <c r="H5" i="5"/>
  <c r="H18" i="5" s="1"/>
  <c r="H4" i="5"/>
  <c r="H17" i="5" s="1"/>
  <c r="F3" i="5"/>
  <c r="E3" i="5"/>
  <c r="B3" i="5"/>
  <c r="G21" i="3"/>
  <c r="H21" i="3"/>
  <c r="G22" i="3"/>
  <c r="H22" i="3"/>
  <c r="H20" i="3"/>
  <c r="D16" i="3"/>
  <c r="G20" i="3" s="1"/>
  <c r="D15" i="3"/>
  <c r="Z20" i="3" s="1"/>
  <c r="D14" i="3"/>
  <c r="Z22" i="3" s="1"/>
  <c r="Y20" i="3"/>
  <c r="Y22" i="3" s="1"/>
  <c r="P21" i="3"/>
  <c r="P22" i="3"/>
  <c r="P20" i="3"/>
  <c r="J22" i="3"/>
  <c r="J21" i="3"/>
  <c r="L21" i="3"/>
  <c r="K20" i="3"/>
  <c r="I20" i="3"/>
  <c r="I22" i="3" s="1"/>
  <c r="J20" i="3"/>
  <c r="L20" i="3"/>
  <c r="K21" i="3"/>
  <c r="K22" i="3"/>
  <c r="L22" i="3"/>
  <c r="F21" i="3"/>
  <c r="F22" i="3"/>
  <c r="E21" i="3"/>
  <c r="E22" i="3"/>
  <c r="B21" i="3"/>
  <c r="C21" i="3"/>
  <c r="D21" i="3"/>
  <c r="B22" i="3"/>
  <c r="C22" i="3"/>
  <c r="D22" i="3"/>
  <c r="C20" i="3"/>
  <c r="D20" i="3"/>
  <c r="Q22" i="3"/>
  <c r="Q20" i="3"/>
  <c r="Q21" i="3" s="1"/>
  <c r="U22" i="3"/>
  <c r="R22" i="3"/>
  <c r="V21" i="3"/>
  <c r="S20" i="3"/>
  <c r="S21" i="3" s="1"/>
  <c r="T20" i="3"/>
  <c r="T21" i="3" s="1"/>
  <c r="U20" i="3"/>
  <c r="U21" i="3" s="1"/>
  <c r="V20" i="3"/>
  <c r="V22" i="3" s="1"/>
  <c r="W20" i="3"/>
  <c r="W21" i="3" s="1"/>
  <c r="R20" i="3"/>
  <c r="R21" i="3" s="1"/>
  <c r="X20" i="3"/>
  <c r="X22" i="3" s="1"/>
  <c r="AE21" i="3"/>
  <c r="AH21" i="3"/>
  <c r="AM21" i="3"/>
  <c r="AE22" i="3"/>
  <c r="AH22" i="3"/>
  <c r="AM22" i="3"/>
  <c r="AB20" i="3"/>
  <c r="AB21" i="3" s="1"/>
  <c r="AC20" i="3"/>
  <c r="AC21" i="3" s="1"/>
  <c r="AD20" i="3"/>
  <c r="AD21" i="3" s="1"/>
  <c r="AE20" i="3"/>
  <c r="AF20" i="3"/>
  <c r="AF21" i="3" s="1"/>
  <c r="AG20" i="3"/>
  <c r="AG21" i="3" s="1"/>
  <c r="AH20" i="3"/>
  <c r="AI20" i="3"/>
  <c r="AI21" i="3" s="1"/>
  <c r="AJ20" i="3"/>
  <c r="AJ21" i="3" s="1"/>
  <c r="AK20" i="3"/>
  <c r="AK21" i="3" s="1"/>
  <c r="AL20" i="3"/>
  <c r="AL21" i="3" s="1"/>
  <c r="AM20" i="3"/>
  <c r="AN20" i="3"/>
  <c r="AN21" i="3" s="1"/>
  <c r="AO20" i="3"/>
  <c r="AO21" i="3" s="1"/>
  <c r="AP20" i="3"/>
  <c r="AP21" i="3" s="1"/>
  <c r="AQ20" i="3"/>
  <c r="AQ21" i="3" s="1"/>
  <c r="AA20" i="3"/>
  <c r="AA22" i="3" s="1"/>
  <c r="F16" i="5" l="1"/>
  <c r="B16" i="5"/>
  <c r="E16" i="5"/>
  <c r="N21" i="3"/>
  <c r="W33" i="5"/>
  <c r="AO33" i="5"/>
  <c r="AG34" i="5"/>
  <c r="AF33" i="5"/>
  <c r="AE34" i="5"/>
  <c r="AN33" i="5"/>
  <c r="AD33" i="5"/>
  <c r="Q33" i="5"/>
  <c r="AP33" i="5"/>
  <c r="R33" i="5"/>
  <c r="V33" i="5"/>
  <c r="AH34" i="5"/>
  <c r="X33" i="5"/>
  <c r="AL33" i="5"/>
  <c r="AM34" i="5"/>
  <c r="Y33" i="5"/>
  <c r="S34" i="5"/>
  <c r="AI34" i="5"/>
  <c r="AQ34" i="5"/>
  <c r="T34" i="5"/>
  <c r="AB34" i="5"/>
  <c r="AJ34" i="5"/>
  <c r="U34" i="5"/>
  <c r="AC34" i="5"/>
  <c r="AK34" i="5"/>
  <c r="AL22" i="3"/>
  <c r="W22" i="3"/>
  <c r="I21" i="3"/>
  <c r="Y21" i="3"/>
  <c r="AI22" i="3"/>
  <c r="T22" i="3"/>
  <c r="AD22" i="3"/>
  <c r="S22" i="3"/>
  <c r="AQ22" i="3"/>
  <c r="Z21" i="3"/>
  <c r="AP22" i="3"/>
  <c r="X21" i="3"/>
  <c r="AO22" i="3"/>
  <c r="AG22" i="3"/>
  <c r="AN22" i="3"/>
  <c r="AF22" i="3"/>
  <c r="AA21" i="3"/>
  <c r="AK22" i="3"/>
  <c r="AC22" i="3"/>
  <c r="AJ22" i="3"/>
  <c r="AB22" i="3"/>
  <c r="E3" i="3"/>
  <c r="E20" i="3" s="1"/>
  <c r="F3" i="3"/>
  <c r="F20" i="3" s="1"/>
  <c r="K17" i="4"/>
  <c r="K18" i="4"/>
  <c r="K19" i="4"/>
  <c r="H19" i="4"/>
  <c r="H18" i="4"/>
  <c r="H17" i="4"/>
  <c r="H16" i="4"/>
  <c r="G19" i="4"/>
  <c r="G18" i="4"/>
  <c r="G17" i="4"/>
  <c r="G16" i="4"/>
  <c r="F19" i="4"/>
  <c r="F18" i="4"/>
  <c r="F17" i="4"/>
  <c r="F16" i="4"/>
  <c r="E19" i="4"/>
  <c r="E18" i="4"/>
  <c r="E17" i="4"/>
  <c r="E16" i="4"/>
  <c r="D19" i="4"/>
  <c r="D18" i="4"/>
  <c r="D17" i="4"/>
  <c r="D16" i="4"/>
  <c r="C19" i="4"/>
  <c r="C18" i="4"/>
  <c r="C17" i="4"/>
  <c r="G6" i="4"/>
  <c r="C16" i="4"/>
  <c r="H5" i="3"/>
  <c r="H4" i="3"/>
  <c r="D6" i="4"/>
  <c r="D5" i="4"/>
  <c r="D4" i="4"/>
  <c r="C6" i="4"/>
  <c r="C5" i="4"/>
  <c r="C4" i="4"/>
  <c r="B3" i="3"/>
  <c r="B20" i="3" s="1"/>
  <c r="X13" i="2" l="1"/>
  <c r="Z11" i="2" l="1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10" i="2"/>
  <c r="X14" i="2"/>
  <c r="X11" i="2"/>
  <c r="X12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10" i="2"/>
  <c r="Q12" i="2" l="1"/>
</calcChain>
</file>

<file path=xl/comments1.xml><?xml version="1.0" encoding="utf-8"?>
<comments xmlns="http://schemas.openxmlformats.org/spreadsheetml/2006/main">
  <authors>
    <author>Nirandjan, S.</author>
  </authors>
  <commentList>
    <comment ref="Z15" authorId="0" shapeId="0">
      <text>
        <r>
          <rPr>
            <b/>
            <sz val="9"/>
            <color indexed="81"/>
            <rFont val="Tahoma"/>
            <family val="2"/>
          </rPr>
          <t xml:space="preserve">Nirandjan, S.:for 2018, apply only on maxdam, not ranges
</t>
        </r>
      </text>
    </comment>
  </commentList>
</comments>
</file>

<file path=xl/sharedStrings.xml><?xml version="1.0" encoding="utf-8"?>
<sst xmlns="http://schemas.openxmlformats.org/spreadsheetml/2006/main" count="702" uniqueCount="113">
  <si>
    <t>cable</t>
  </si>
  <si>
    <t>line</t>
  </si>
  <si>
    <t>reservoir</t>
  </si>
  <si>
    <t>landfill</t>
  </si>
  <si>
    <t>railway</t>
  </si>
  <si>
    <t>primary</t>
  </si>
  <si>
    <t>secondary</t>
  </si>
  <si>
    <t>tertiary</t>
  </si>
  <si>
    <t>doctors</t>
  </si>
  <si>
    <t>hospital</t>
  </si>
  <si>
    <t>dentist</t>
  </si>
  <si>
    <t>pharmacy</t>
  </si>
  <si>
    <t>physiotherapist</t>
  </si>
  <si>
    <t>alternative</t>
  </si>
  <si>
    <t>laboratory</t>
  </si>
  <si>
    <t>optometrist</t>
  </si>
  <si>
    <t>rehabilitation</t>
  </si>
  <si>
    <t>college</t>
  </si>
  <si>
    <t>kindergarten</t>
  </si>
  <si>
    <t>library</t>
  </si>
  <si>
    <t>school</t>
  </si>
  <si>
    <t>university</t>
  </si>
  <si>
    <t>clinic</t>
  </si>
  <si>
    <t>plant</t>
  </si>
  <si>
    <t>substation</t>
  </si>
  <si>
    <t>Infrastructure type</t>
  </si>
  <si>
    <t>n/a</t>
  </si>
  <si>
    <t>Unit</t>
  </si>
  <si>
    <t>euro/100m</t>
  </si>
  <si>
    <t>MaxDam</t>
  </si>
  <si>
    <t>LowerDam</t>
  </si>
  <si>
    <t>UpperDam</t>
  </si>
  <si>
    <t>Depth (cm)\factor</t>
  </si>
  <si>
    <t>million euro/km</t>
  </si>
  <si>
    <t>Type vulnerability data</t>
  </si>
  <si>
    <t>curve</t>
  </si>
  <si>
    <t>threshold</t>
  </si>
  <si>
    <t>USD/plant</t>
  </si>
  <si>
    <t>USD/station</t>
  </si>
  <si>
    <t>USD/water tower</t>
  </si>
  <si>
    <t>USD/well</t>
  </si>
  <si>
    <t>USD/storage tank</t>
  </si>
  <si>
    <t>USD/water work</t>
  </si>
  <si>
    <t>euro/m2</t>
  </si>
  <si>
    <t>minor_line</t>
  </si>
  <si>
    <t>power_tower</t>
  </si>
  <si>
    <t>power_pole</t>
  </si>
  <si>
    <t>water_tower</t>
  </si>
  <si>
    <t>water_well</t>
  </si>
  <si>
    <t>reservoir_covered</t>
  </si>
  <si>
    <t>water_works</t>
  </si>
  <si>
    <t>waste_transfer_station</t>
  </si>
  <si>
    <t>wastewater_treatment_plant</t>
  </si>
  <si>
    <t>airports</t>
  </si>
  <si>
    <t>birthing_center</t>
  </si>
  <si>
    <t>blood_donation</t>
  </si>
  <si>
    <t>communication_tower</t>
  </si>
  <si>
    <t>mast</t>
  </si>
  <si>
    <t>Year</t>
  </si>
  <si>
    <t>Country</t>
  </si>
  <si>
    <t>USA</t>
  </si>
  <si>
    <t>A/C Transmission – Wood Pole – Single circuit</t>
  </si>
  <si>
    <t>average</t>
  </si>
  <si>
    <t>A/C Transmission – Wood Pole – Double circuit</t>
  </si>
  <si>
    <t>Source: MISO (2021)</t>
  </si>
  <si>
    <t>Construction costs towers</t>
  </si>
  <si>
    <t>tangent structure</t>
  </si>
  <si>
    <t>running angle structure</t>
  </si>
  <si>
    <t>angled deadend structure</t>
  </si>
  <si>
    <t>non-angled deadend structure</t>
  </si>
  <si>
    <t>Construction costs poles - 69 kV</t>
  </si>
  <si>
    <t xml:space="preserve">A/C Transmission – Steel Tower – Single circuit - 69 kV </t>
  </si>
  <si>
    <t xml:space="preserve">A/C Transmission – Steel Tower – Single circuit - 500 kV </t>
  </si>
  <si>
    <t>A/C Transmission – Steel Tower – Double circuit - 69 kV</t>
  </si>
  <si>
    <t>A/C Transmission – Steel Tower – Double circuit - 500 kV</t>
  </si>
  <si>
    <t>HVDC Transmission – Steel Tower – Single circuit - 250kV</t>
  </si>
  <si>
    <t>HVDC Transmission – Steel Tower – Single circuit - 600kV</t>
  </si>
  <si>
    <t>min</t>
  </si>
  <si>
    <t>max</t>
  </si>
  <si>
    <t>USD/tower</t>
  </si>
  <si>
    <t>USD/pole</t>
  </si>
  <si>
    <t>USD/WWTP</t>
  </si>
  <si>
    <t>Global average</t>
  </si>
  <si>
    <t>motorway</t>
  </si>
  <si>
    <t>trunk</t>
  </si>
  <si>
    <t>other</t>
  </si>
  <si>
    <t>2006?</t>
  </si>
  <si>
    <t>Austria</t>
  </si>
  <si>
    <t>Europe</t>
  </si>
  <si>
    <t>Netherlands</t>
  </si>
  <si>
    <t>USD/mast</t>
  </si>
  <si>
    <t>USD/communication tower</t>
  </si>
  <si>
    <t>euro/m</t>
  </si>
  <si>
    <t>Correct to reference year of 2015</t>
  </si>
  <si>
    <t>Upperdam</t>
  </si>
  <si>
    <t>euro/facility</t>
  </si>
  <si>
    <t>Correction unit + 25% range in cases of absent LowerDam and UpperDam</t>
  </si>
  <si>
    <t>USD/mile</t>
  </si>
  <si>
    <t>m</t>
  </si>
  <si>
    <t>1 mile =</t>
  </si>
  <si>
    <t>exchange rates extracted from: https://www.ofx.com/en-gb/forex-news/historical-exchange-rates/yearly-average-rates/</t>
  </si>
  <si>
    <t>Euro to dollar exchange rates (average/year)</t>
  </si>
  <si>
    <t>2018 max.dam. - 2015 for ranges</t>
  </si>
  <si>
    <t>List of constants</t>
  </si>
  <si>
    <t>Inflation rate (%)</t>
  </si>
  <si>
    <t>Source for USA inflation rates: https://www.usinflationcalculator.com/</t>
  </si>
  <si>
    <t>Source for global average: https://www.macrotrends.net/countries/WLD/world/inflation-rate-cpi</t>
  </si>
  <si>
    <t>Source for Netherlands: https://inflatie.info/?amount=1&amp;currency=0&amp;year-from=2000&amp;year-to=2015</t>
  </si>
  <si>
    <t>Source for Austria: https://www.worlddata.info/europe/austria/inflation-rates.php</t>
  </si>
  <si>
    <t>//</t>
  </si>
  <si>
    <t>STEP 1</t>
  </si>
  <si>
    <t>STEP 2</t>
  </si>
  <si>
    <t>Misschien toch aanpassen naar zelfde vulnerability curve for lines --&gt; in FEMA zeggen ze wel iets over cables (p360)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</si>
</sst>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00"/>
    <numFmt numFmtId="165" formatCode="0.000"/>
    <numFmt numFmtId="166" formatCode="_-* #,##0.00_-;\-* #,##0.00_-;_-* &quot;-&quot;??_-;_-@_-"/>
    <numFmt numFmtId="167" formatCode="#,##0.000"/>
    <numFmt numFmtId="168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6" fontId="3" fillId="0" borderId="0" applyFont="0" applyFill="0" applyBorder="0" applyAlignment="0" applyProtection="0"/>
    <xf numFmtId="0" fontId="4" fillId="0" borderId="0"/>
    <xf numFmtId="0" fontId="5" fillId="0" borderId="0"/>
  </cellStyleXfs>
  <cellXfs count="81">
    <xf numFmtId="0" fontId="0" fillId="0" borderId="0" xfId="0"/>
    <xf numFmtId="0" fontId="0" fillId="6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3" xfId="0" applyFill="1" applyBorder="1"/>
    <xf numFmtId="0" fontId="0" fillId="7" borderId="3" xfId="0" applyFont="1" applyFill="1" applyBorder="1"/>
    <xf numFmtId="0" fontId="0" fillId="8" borderId="1" xfId="0" applyFont="1" applyFill="1" applyBorder="1"/>
    <xf numFmtId="0" fontId="0" fillId="6" borderId="2" xfId="0" applyFill="1" applyBorder="1"/>
    <xf numFmtId="0" fontId="0" fillId="0" borderId="1" xfId="0" applyFont="1" applyBorder="1"/>
    <xf numFmtId="3" fontId="0" fillId="0" borderId="0" xfId="0" applyNumberFormat="1"/>
    <xf numFmtId="0" fontId="0" fillId="0" borderId="0" xfId="0" applyAlignment="1">
      <alignment horizontal="left"/>
    </xf>
    <xf numFmtId="164" fontId="0" fillId="0" borderId="4" xfId="0" applyNumberFormat="1" applyBorder="1"/>
    <xf numFmtId="164" fontId="0" fillId="0" borderId="0" xfId="0" applyNumberFormat="1"/>
    <xf numFmtId="2" fontId="0" fillId="0" borderId="0" xfId="0" applyNumberFormat="1"/>
    <xf numFmtId="2" fontId="0" fillId="0" borderId="0" xfId="0" applyNumberFormat="1" applyProtection="1">
      <protection locked="0"/>
    </xf>
    <xf numFmtId="165" fontId="0" fillId="0" borderId="0" xfId="0" applyNumberFormat="1"/>
    <xf numFmtId="0" fontId="2" fillId="0" borderId="0" xfId="0" applyFont="1"/>
    <xf numFmtId="0" fontId="0" fillId="0" borderId="0" xfId="0"/>
    <xf numFmtId="0" fontId="0" fillId="0" borderId="0" xfId="0" applyBorder="1"/>
    <xf numFmtId="0" fontId="0" fillId="0" borderId="0" xfId="0" applyAlignment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7" fontId="0" fillId="0" borderId="4" xfId="0" applyNumberFormat="1" applyBorder="1"/>
    <xf numFmtId="167" fontId="0" fillId="0" borderId="0" xfId="0" applyNumberFormat="1"/>
    <xf numFmtId="165" fontId="0" fillId="0" borderId="0" xfId="0" applyNumberFormat="1" applyBorder="1"/>
    <xf numFmtId="167" fontId="0" fillId="0" borderId="0" xfId="0" applyNumberFormat="1" applyBorder="1"/>
    <xf numFmtId="165" fontId="0" fillId="0" borderId="7" xfId="0" applyNumberFormat="1" applyBorder="1"/>
    <xf numFmtId="165" fontId="0" fillId="0" borderId="4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0" fillId="0" borderId="6" xfId="0" applyNumberFormat="1" applyBorder="1" applyProtection="1">
      <protection locked="0"/>
    </xf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0" fontId="2" fillId="0" borderId="12" xfId="0" applyFont="1" applyBorder="1"/>
    <xf numFmtId="0" fontId="0" fillId="0" borderId="14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1" fillId="0" borderId="9" xfId="0" applyFont="1" applyBorder="1"/>
    <xf numFmtId="0" fontId="2" fillId="0" borderId="0" xfId="0" applyFont="1" applyBorder="1"/>
    <xf numFmtId="0" fontId="6" fillId="0" borderId="0" xfId="0" applyFont="1" applyBorder="1"/>
    <xf numFmtId="0" fontId="0" fillId="0" borderId="0" xfId="0" applyFill="1" applyBorder="1"/>
    <xf numFmtId="3" fontId="7" fillId="0" borderId="0" xfId="0" applyNumberFormat="1" applyFont="1"/>
    <xf numFmtId="4" fontId="7" fillId="0" borderId="0" xfId="0" applyNumberFormat="1" applyFont="1"/>
    <xf numFmtId="167" fontId="7" fillId="0" borderId="0" xfId="0" applyNumberFormat="1" applyFont="1"/>
    <xf numFmtId="165" fontId="7" fillId="0" borderId="0" xfId="0" applyNumberFormat="1" applyFont="1"/>
    <xf numFmtId="2" fontId="7" fillId="0" borderId="0" xfId="0" applyNumberFormat="1" applyFont="1" applyFill="1"/>
    <xf numFmtId="168" fontId="7" fillId="0" borderId="0" xfId="0" applyNumberFormat="1" applyFont="1"/>
    <xf numFmtId="168" fontId="0" fillId="0" borderId="0" xfId="0" applyNumberFormat="1"/>
    <xf numFmtId="0" fontId="7" fillId="0" borderId="5" xfId="0" applyFont="1" applyBorder="1"/>
    <xf numFmtId="0" fontId="7" fillId="0" borderId="7" xfId="0" applyFont="1" applyBorder="1"/>
    <xf numFmtId="0" fontId="7" fillId="0" borderId="6" xfId="0" applyFont="1" applyBorder="1"/>
    <xf numFmtId="2" fontId="7" fillId="0" borderId="0" xfId="0" applyNumberFormat="1" applyFont="1"/>
    <xf numFmtId="9" fontId="0" fillId="0" borderId="0" xfId="0" applyNumberFormat="1"/>
    <xf numFmtId="0" fontId="1" fillId="0" borderId="0" xfId="0" applyFont="1"/>
    <xf numFmtId="0" fontId="0" fillId="8" borderId="9" xfId="0" applyFill="1" applyBorder="1"/>
    <xf numFmtId="0" fontId="0" fillId="8" borderId="14" xfId="0" applyFill="1" applyBorder="1"/>
    <xf numFmtId="0" fontId="0" fillId="8" borderId="14" xfId="0" applyFill="1" applyBorder="1" applyAlignment="1"/>
    <xf numFmtId="0" fontId="1" fillId="8" borderId="12" xfId="0" applyFont="1" applyFill="1" applyBorder="1"/>
    <xf numFmtId="0" fontId="0" fillId="8" borderId="0" xfId="0" applyFill="1" applyBorder="1"/>
    <xf numFmtId="0" fontId="9" fillId="8" borderId="12" xfId="0" applyFont="1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6" xfId="0" applyFill="1" applyBorder="1"/>
    <xf numFmtId="0" fontId="7" fillId="8" borderId="1" xfId="0" applyFont="1" applyFill="1" applyBorder="1"/>
    <xf numFmtId="0" fontId="7" fillId="8" borderId="1" xfId="0" applyNumberFormat="1" applyFont="1" applyFill="1" applyBorder="1"/>
    <xf numFmtId="0" fontId="0" fillId="8" borderId="1" xfId="0" applyFill="1" applyBorder="1"/>
    <xf numFmtId="167" fontId="0" fillId="8" borderId="1" xfId="0" applyNumberFormat="1" applyFill="1" applyBorder="1"/>
    <xf numFmtId="168" fontId="0" fillId="8" borderId="1" xfId="0" applyNumberFormat="1" applyFill="1" applyBorder="1"/>
    <xf numFmtId="0" fontId="1" fillId="8" borderId="9" xfId="0" applyFont="1" applyFill="1" applyBorder="1"/>
    <xf numFmtId="0" fontId="0" fillId="8" borderId="11" xfId="0" applyFill="1" applyBorder="1"/>
    <xf numFmtId="0" fontId="0" fillId="8" borderId="15" xfId="0" applyFill="1" applyBorder="1"/>
    <xf numFmtId="0" fontId="0" fillId="8" borderId="17" xfId="0" applyFill="1" applyBorder="1"/>
    <xf numFmtId="0" fontId="1" fillId="8" borderId="1" xfId="0" applyFont="1" applyFill="1" applyBorder="1"/>
    <xf numFmtId="2" fontId="0" fillId="8" borderId="1" xfId="0" applyNumberFormat="1" applyFill="1" applyBorder="1"/>
  </cellXfs>
  <cellStyles count="4">
    <cellStyle name="Comma 2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8"/>
  <sheetViews>
    <sheetView tabSelected="1" zoomScale="115" zoomScaleNormal="115" workbookViewId="0">
      <selection activeCell="H5" sqref="H5"/>
    </sheetView>
  </sheetViews>
  <sheetFormatPr defaultRowHeight="15" x14ac:dyDescent="0.25"/>
  <cols>
    <col min="1" max="1" width="23.85546875" customWidth="1"/>
    <col min="2" max="2" width="12.85546875" bestFit="1" customWidth="1"/>
    <col min="3" max="4" width="11.7109375" bestFit="1" customWidth="1"/>
    <col min="5" max="5" width="17.42578125" bestFit="1" customWidth="1"/>
    <col min="6" max="6" width="16.28515625" style="18" bestFit="1" customWidth="1"/>
    <col min="7" max="7" width="14" bestFit="1" customWidth="1"/>
    <col min="8" max="8" width="12.85546875" bestFit="1" customWidth="1"/>
    <col min="9" max="9" width="15.140625" bestFit="1" customWidth="1"/>
    <col min="10" max="10" width="14" bestFit="1" customWidth="1"/>
    <col min="11" max="11" width="15.140625" bestFit="1" customWidth="1"/>
    <col min="12" max="12" width="17.42578125" bestFit="1" customWidth="1"/>
    <col min="14" max="15" width="10.5703125" bestFit="1" customWidth="1"/>
    <col min="16" max="16" width="17.42578125" bestFit="1" customWidth="1"/>
    <col min="17" max="17" width="12.85546875" bestFit="1" customWidth="1"/>
    <col min="18" max="18" width="11.7109375" style="18" bestFit="1" customWidth="1"/>
    <col min="19" max="19" width="10.5703125" style="18" bestFit="1" customWidth="1"/>
    <col min="20" max="22" width="10.5703125" bestFit="1" customWidth="1"/>
    <col min="23" max="23" width="9.42578125" style="18" bestFit="1" customWidth="1"/>
    <col min="24" max="24" width="11.7109375" bestFit="1" customWidth="1"/>
    <col min="25" max="25" width="15.140625" bestFit="1" customWidth="1"/>
    <col min="26" max="27" width="14" bestFit="1" customWidth="1"/>
    <col min="28" max="43" width="10.5703125" bestFit="1" customWidth="1"/>
  </cols>
  <sheetData>
    <row r="1" spans="1:43" x14ac:dyDescent="0.25">
      <c r="A1" s="9" t="s">
        <v>25</v>
      </c>
      <c r="B1" s="8" t="s">
        <v>0</v>
      </c>
      <c r="C1" s="1" t="s">
        <v>1</v>
      </c>
      <c r="D1" s="1" t="s">
        <v>44</v>
      </c>
      <c r="E1" s="1" t="s">
        <v>23</v>
      </c>
      <c r="F1" s="1" t="s">
        <v>24</v>
      </c>
      <c r="G1" s="1" t="s">
        <v>45</v>
      </c>
      <c r="H1" s="1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2</v>
      </c>
      <c r="N1" s="3" t="s">
        <v>3</v>
      </c>
      <c r="O1" s="3" t="s">
        <v>51</v>
      </c>
      <c r="P1" s="3" t="s">
        <v>52</v>
      </c>
      <c r="Q1" s="4" t="s">
        <v>4</v>
      </c>
      <c r="R1" s="4" t="s">
        <v>83</v>
      </c>
      <c r="S1" s="4" t="s">
        <v>84</v>
      </c>
      <c r="T1" s="4" t="s">
        <v>5</v>
      </c>
      <c r="U1" s="4" t="s">
        <v>6</v>
      </c>
      <c r="V1" s="4" t="s">
        <v>7</v>
      </c>
      <c r="W1" s="4" t="s">
        <v>85</v>
      </c>
      <c r="X1" s="4" t="s">
        <v>53</v>
      </c>
      <c r="Y1" s="5" t="s">
        <v>56</v>
      </c>
      <c r="Z1" s="5" t="s">
        <v>57</v>
      </c>
      <c r="AA1" s="6" t="s">
        <v>22</v>
      </c>
      <c r="AB1" s="6" t="s">
        <v>8</v>
      </c>
      <c r="AC1" s="6" t="s">
        <v>9</v>
      </c>
      <c r="AD1" s="6" t="s">
        <v>10</v>
      </c>
      <c r="AE1" s="6" t="s">
        <v>11</v>
      </c>
      <c r="AF1" s="6" t="s">
        <v>12</v>
      </c>
      <c r="AG1" s="6" t="s">
        <v>13</v>
      </c>
      <c r="AH1" s="6" t="s">
        <v>14</v>
      </c>
      <c r="AI1" s="6" t="s">
        <v>15</v>
      </c>
      <c r="AJ1" s="6" t="s">
        <v>16</v>
      </c>
      <c r="AK1" s="6" t="s">
        <v>55</v>
      </c>
      <c r="AL1" s="6" t="s">
        <v>54</v>
      </c>
      <c r="AM1" s="7" t="s">
        <v>17</v>
      </c>
      <c r="AN1" s="7" t="s">
        <v>18</v>
      </c>
      <c r="AO1" s="7" t="s">
        <v>19</v>
      </c>
      <c r="AP1" s="7" t="s">
        <v>20</v>
      </c>
      <c r="AQ1" s="7" t="s">
        <v>21</v>
      </c>
    </row>
    <row r="2" spans="1:43" s="18" customFormat="1" x14ac:dyDescent="0.25">
      <c r="A2" s="11" t="s">
        <v>34</v>
      </c>
      <c r="B2" s="18" t="s">
        <v>35</v>
      </c>
      <c r="C2" s="18" t="s">
        <v>35</v>
      </c>
      <c r="D2" s="18" t="s">
        <v>35</v>
      </c>
      <c r="E2" s="18" t="s">
        <v>35</v>
      </c>
      <c r="F2" s="18" t="s">
        <v>35</v>
      </c>
      <c r="G2" s="18" t="s">
        <v>35</v>
      </c>
      <c r="H2" s="18" t="s">
        <v>35</v>
      </c>
      <c r="I2" s="18" t="s">
        <v>35</v>
      </c>
      <c r="J2" s="18" t="s">
        <v>35</v>
      </c>
      <c r="K2" s="18" t="s">
        <v>35</v>
      </c>
      <c r="L2" s="18" t="s">
        <v>35</v>
      </c>
      <c r="N2" s="18" t="s">
        <v>35</v>
      </c>
      <c r="O2" s="18" t="s">
        <v>35</v>
      </c>
      <c r="P2" s="18" t="s">
        <v>35</v>
      </c>
      <c r="Q2" s="18" t="s">
        <v>36</v>
      </c>
      <c r="R2" s="18" t="s">
        <v>35</v>
      </c>
      <c r="S2" s="18" t="s">
        <v>35</v>
      </c>
      <c r="T2" s="18" t="s">
        <v>35</v>
      </c>
      <c r="U2" s="18" t="s">
        <v>35</v>
      </c>
      <c r="V2" s="18" t="s">
        <v>35</v>
      </c>
      <c r="W2" s="18" t="s">
        <v>35</v>
      </c>
      <c r="X2" s="18" t="s">
        <v>35</v>
      </c>
      <c r="Y2" s="18" t="s">
        <v>35</v>
      </c>
      <c r="Z2" s="18" t="s">
        <v>35</v>
      </c>
      <c r="AA2" s="18" t="s">
        <v>35</v>
      </c>
      <c r="AB2" s="18" t="s">
        <v>35</v>
      </c>
      <c r="AC2" s="18" t="s">
        <v>35</v>
      </c>
      <c r="AD2" s="18" t="s">
        <v>35</v>
      </c>
      <c r="AE2" s="18" t="s">
        <v>35</v>
      </c>
      <c r="AF2" s="18" t="s">
        <v>35</v>
      </c>
      <c r="AG2" s="18" t="s">
        <v>35</v>
      </c>
      <c r="AH2" s="18" t="s">
        <v>35</v>
      </c>
      <c r="AI2" s="18" t="s">
        <v>35</v>
      </c>
      <c r="AJ2" s="18" t="s">
        <v>35</v>
      </c>
      <c r="AK2" s="18" t="s">
        <v>35</v>
      </c>
      <c r="AL2" s="18" t="s">
        <v>35</v>
      </c>
      <c r="AM2" s="18" t="s">
        <v>35</v>
      </c>
      <c r="AN2" s="18" t="s">
        <v>35</v>
      </c>
      <c r="AO2" s="18" t="s">
        <v>35</v>
      </c>
      <c r="AP2" s="18" t="s">
        <v>35</v>
      </c>
      <c r="AQ2" s="18" t="s">
        <v>35</v>
      </c>
    </row>
    <row r="3" spans="1:43" x14ac:dyDescent="0.25">
      <c r="A3" s="11" t="s">
        <v>27</v>
      </c>
      <c r="B3" s="18" t="s">
        <v>92</v>
      </c>
      <c r="C3" s="18" t="s">
        <v>92</v>
      </c>
      <c r="D3" s="18" t="s">
        <v>92</v>
      </c>
      <c r="E3" s="18" t="s">
        <v>95</v>
      </c>
      <c r="F3" s="18" t="s">
        <v>95</v>
      </c>
      <c r="G3" s="18" t="s">
        <v>95</v>
      </c>
      <c r="H3" s="18" t="s">
        <v>95</v>
      </c>
      <c r="I3" t="s">
        <v>95</v>
      </c>
      <c r="J3" t="s">
        <v>95</v>
      </c>
      <c r="K3" s="18" t="s">
        <v>95</v>
      </c>
      <c r="L3" t="s">
        <v>95</v>
      </c>
      <c r="N3" t="s">
        <v>43</v>
      </c>
      <c r="O3" s="18" t="s">
        <v>43</v>
      </c>
      <c r="P3" s="18" t="s">
        <v>95</v>
      </c>
      <c r="Q3" t="s">
        <v>92</v>
      </c>
      <c r="R3" s="18" t="s">
        <v>92</v>
      </c>
      <c r="S3" s="18" t="s">
        <v>92</v>
      </c>
      <c r="T3" t="s">
        <v>92</v>
      </c>
      <c r="U3" t="s">
        <v>92</v>
      </c>
      <c r="V3" t="s">
        <v>92</v>
      </c>
      <c r="W3" s="18" t="s">
        <v>92</v>
      </c>
      <c r="X3" t="s">
        <v>43</v>
      </c>
      <c r="Y3" s="18" t="s">
        <v>95</v>
      </c>
      <c r="Z3" s="18" t="s">
        <v>95</v>
      </c>
      <c r="AA3" s="18" t="s">
        <v>43</v>
      </c>
      <c r="AB3" s="18" t="s">
        <v>43</v>
      </c>
      <c r="AC3" t="s">
        <v>43</v>
      </c>
      <c r="AD3" s="18" t="s">
        <v>43</v>
      </c>
      <c r="AE3" s="18" t="s">
        <v>43</v>
      </c>
      <c r="AF3" s="18" t="s">
        <v>43</v>
      </c>
      <c r="AG3" s="18" t="s">
        <v>43</v>
      </c>
      <c r="AH3" s="18" t="s">
        <v>43</v>
      </c>
      <c r="AI3" s="18" t="s">
        <v>43</v>
      </c>
      <c r="AJ3" s="18" t="s">
        <v>43</v>
      </c>
      <c r="AK3" s="18" t="s">
        <v>43</v>
      </c>
      <c r="AL3" s="18" t="s">
        <v>43</v>
      </c>
      <c r="AM3" s="18" t="s">
        <v>43</v>
      </c>
      <c r="AN3" s="18" t="s">
        <v>43</v>
      </c>
      <c r="AO3" s="18" t="s">
        <v>43</v>
      </c>
      <c r="AP3" s="18" t="s">
        <v>43</v>
      </c>
      <c r="AQ3" s="18" t="s">
        <v>43</v>
      </c>
    </row>
    <row r="4" spans="1:43" x14ac:dyDescent="0.25">
      <c r="A4" s="18" t="s">
        <v>29</v>
      </c>
      <c r="B4" s="14">
        <v>5343.1358802289315</v>
      </c>
      <c r="C4" s="14">
        <v>1442.3968280514925</v>
      </c>
      <c r="D4" s="14">
        <v>800.94936103904399</v>
      </c>
      <c r="E4" s="58">
        <v>442420326.64431292</v>
      </c>
      <c r="F4" s="58">
        <v>32176023.755950026</v>
      </c>
      <c r="G4" s="14">
        <v>201757.75136692534</v>
      </c>
      <c r="H4" s="14">
        <v>35565.727007825037</v>
      </c>
      <c r="I4" s="14">
        <v>965280.7126785008</v>
      </c>
      <c r="J4" s="14">
        <v>482640.3563392504</v>
      </c>
      <c r="K4" s="14">
        <v>1117312.4249253648</v>
      </c>
      <c r="L4" s="58">
        <v>197078145.50519392</v>
      </c>
      <c r="M4" s="14"/>
      <c r="N4" s="14">
        <v>559.54340000000002</v>
      </c>
      <c r="O4" s="14">
        <v>559.54340000000002</v>
      </c>
      <c r="P4" s="14">
        <v>394156291.01038784</v>
      </c>
      <c r="Q4" s="14">
        <v>8433.4220000000005</v>
      </c>
      <c r="R4" s="14">
        <v>900</v>
      </c>
      <c r="S4" s="58">
        <v>600</v>
      </c>
      <c r="T4" s="58">
        <v>250</v>
      </c>
      <c r="U4" s="58">
        <v>225</v>
      </c>
      <c r="V4" s="58">
        <v>175</v>
      </c>
      <c r="W4" s="58">
        <v>75</v>
      </c>
      <c r="X4" s="58">
        <v>1197</v>
      </c>
      <c r="Y4" s="58">
        <v>2413201.7816962521</v>
      </c>
      <c r="Z4" s="14">
        <v>148865.17338917882</v>
      </c>
      <c r="AA4" s="14">
        <v>658.46820000000002</v>
      </c>
      <c r="AB4" s="14">
        <v>658.46820000000002</v>
      </c>
      <c r="AC4" s="14">
        <v>658.46820000000002</v>
      </c>
      <c r="AD4" s="14">
        <v>658.46820000000002</v>
      </c>
      <c r="AE4" s="14">
        <v>658.46820000000002</v>
      </c>
      <c r="AF4" s="14">
        <v>658.46820000000002</v>
      </c>
      <c r="AG4" s="14">
        <v>658.46820000000002</v>
      </c>
      <c r="AH4" s="14">
        <v>658.46820000000002</v>
      </c>
      <c r="AI4" s="14">
        <v>658.46820000000002</v>
      </c>
      <c r="AJ4" s="14">
        <v>658.46820000000002</v>
      </c>
      <c r="AK4" s="14">
        <v>658.46820000000002</v>
      </c>
      <c r="AL4" s="14">
        <v>658.46820000000002</v>
      </c>
      <c r="AM4" s="14">
        <v>658.46820000000002</v>
      </c>
      <c r="AN4" s="14">
        <v>658.46820000000002</v>
      </c>
      <c r="AO4" s="14">
        <v>658.46820000000002</v>
      </c>
      <c r="AP4" s="14">
        <v>658.46820000000002</v>
      </c>
      <c r="AQ4" s="14">
        <v>658.46820000000002</v>
      </c>
    </row>
    <row r="5" spans="1:43" x14ac:dyDescent="0.25">
      <c r="A5" s="18" t="s">
        <v>30</v>
      </c>
      <c r="B5" s="14">
        <v>724.32618619339962</v>
      </c>
      <c r="C5" s="14">
        <v>214.00546410259537</v>
      </c>
      <c r="D5" s="14">
        <v>98.771752662736318</v>
      </c>
      <c r="E5" s="14">
        <v>120660089.0848126</v>
      </c>
      <c r="F5" s="14">
        <v>12066008.908481261</v>
      </c>
      <c r="G5" s="14">
        <v>35488.851782732541</v>
      </c>
      <c r="H5" s="14">
        <v>16924.860033395544</v>
      </c>
      <c r="I5" s="14">
        <v>723960.53450887557</v>
      </c>
      <c r="J5" s="14">
        <v>361980.26725443779</v>
      </c>
      <c r="K5" s="14">
        <v>36198.026725443779</v>
      </c>
      <c r="L5" s="14">
        <v>36198026.72544378</v>
      </c>
      <c r="M5" s="14"/>
      <c r="N5" s="14">
        <v>419.65755000000001</v>
      </c>
      <c r="O5" s="14">
        <v>419.65755000000001</v>
      </c>
      <c r="P5" s="14">
        <v>72396053.450887561</v>
      </c>
      <c r="Q5" s="14">
        <v>6325.0665000000008</v>
      </c>
      <c r="R5" s="14">
        <v>675</v>
      </c>
      <c r="S5" s="14">
        <v>450</v>
      </c>
      <c r="T5" s="14">
        <v>187.5</v>
      </c>
      <c r="U5" s="14">
        <v>168.75</v>
      </c>
      <c r="V5" s="14">
        <v>131.25</v>
      </c>
      <c r="W5" s="14">
        <v>56.25</v>
      </c>
      <c r="X5" s="14">
        <v>897.75</v>
      </c>
      <c r="Y5" s="14">
        <v>1809901.3362721889</v>
      </c>
      <c r="Z5" s="14">
        <v>90112.090429284988</v>
      </c>
      <c r="AA5" s="14">
        <v>493.85115000000002</v>
      </c>
      <c r="AB5" s="14">
        <v>493.85115000000002</v>
      </c>
      <c r="AC5" s="14">
        <v>493.85115000000002</v>
      </c>
      <c r="AD5" s="14">
        <v>493.85115000000002</v>
      </c>
      <c r="AE5" s="14">
        <v>493.85115000000002</v>
      </c>
      <c r="AF5" s="14">
        <v>493.85115000000002</v>
      </c>
      <c r="AG5" s="14">
        <v>493.85115000000002</v>
      </c>
      <c r="AH5" s="14">
        <v>493.85115000000002</v>
      </c>
      <c r="AI5" s="14">
        <v>493.85115000000002</v>
      </c>
      <c r="AJ5" s="14">
        <v>493.85115000000002</v>
      </c>
      <c r="AK5" s="14">
        <v>493.85115000000002</v>
      </c>
      <c r="AL5" s="14">
        <v>493.85115000000002</v>
      </c>
      <c r="AM5" s="14">
        <v>493.85115000000002</v>
      </c>
      <c r="AN5" s="14">
        <v>493.85115000000002</v>
      </c>
      <c r="AO5" s="14">
        <v>493.85115000000002</v>
      </c>
      <c r="AP5" s="14">
        <v>493.85115000000002</v>
      </c>
      <c r="AQ5" s="14">
        <v>493.85115000000002</v>
      </c>
    </row>
    <row r="6" spans="1:43" x14ac:dyDescent="0.25">
      <c r="A6" s="18" t="s">
        <v>94</v>
      </c>
      <c r="B6" s="14">
        <v>15145.002074952903</v>
      </c>
      <c r="C6" s="14">
        <v>3292.391755424544</v>
      </c>
      <c r="D6" s="14">
        <v>1501.330640473592</v>
      </c>
      <c r="E6" s="14">
        <v>603300445.42406297</v>
      </c>
      <c r="F6" s="14">
        <v>60330044.542406298</v>
      </c>
      <c r="G6" s="14">
        <v>685836.75473922014</v>
      </c>
      <c r="H6" s="14">
        <v>56125.724388566938</v>
      </c>
      <c r="I6" s="14">
        <v>1206600.890848126</v>
      </c>
      <c r="J6" s="14">
        <v>603300.44542406301</v>
      </c>
      <c r="K6" s="14">
        <v>1809901.3362721889</v>
      </c>
      <c r="L6" s="14">
        <v>434376320.70532537</v>
      </c>
      <c r="M6" s="14"/>
      <c r="N6" s="14">
        <v>699.42925000000002</v>
      </c>
      <c r="O6" s="14">
        <v>699.42925000000002</v>
      </c>
      <c r="P6" s="14">
        <v>868752641.41065073</v>
      </c>
      <c r="Q6" s="14">
        <v>10541.7775</v>
      </c>
      <c r="R6" s="14">
        <v>1125</v>
      </c>
      <c r="S6" s="14">
        <v>750</v>
      </c>
      <c r="T6" s="14">
        <v>312.5</v>
      </c>
      <c r="U6" s="14">
        <v>281.25</v>
      </c>
      <c r="V6" s="14">
        <v>218.75</v>
      </c>
      <c r="W6" s="14">
        <v>93.75</v>
      </c>
      <c r="X6" s="14">
        <v>1496.25</v>
      </c>
      <c r="Y6" s="14">
        <v>3016502.2271203152</v>
      </c>
      <c r="Z6" s="14">
        <v>270336.27128785499</v>
      </c>
      <c r="AA6" s="14">
        <v>823.08525000000009</v>
      </c>
      <c r="AB6" s="14">
        <v>823.08525000000009</v>
      </c>
      <c r="AC6" s="14">
        <v>823.08525000000009</v>
      </c>
      <c r="AD6" s="14">
        <v>823.08525000000009</v>
      </c>
      <c r="AE6" s="14">
        <v>823.08525000000009</v>
      </c>
      <c r="AF6" s="14">
        <v>823.08525000000009</v>
      </c>
      <c r="AG6" s="14">
        <v>823.08525000000009</v>
      </c>
      <c r="AH6" s="14">
        <v>823.08525000000009</v>
      </c>
      <c r="AI6" s="14">
        <v>823.08525000000009</v>
      </c>
      <c r="AJ6" s="14">
        <v>823.08525000000009</v>
      </c>
      <c r="AK6" s="14">
        <v>823.08525000000009</v>
      </c>
      <c r="AL6" s="14">
        <v>823.08525000000009</v>
      </c>
      <c r="AM6" s="14">
        <v>823.08525000000009</v>
      </c>
      <c r="AN6" s="14">
        <v>823.08525000000009</v>
      </c>
      <c r="AO6" s="14">
        <v>823.08525000000009</v>
      </c>
      <c r="AP6" s="14">
        <v>823.08525000000009</v>
      </c>
      <c r="AQ6" s="14">
        <v>823.08525000000009</v>
      </c>
    </row>
    <row r="7" spans="1:43" s="18" customFormat="1" x14ac:dyDescent="0.25">
      <c r="B7" s="18" t="s">
        <v>112</v>
      </c>
      <c r="T7" s="20"/>
      <c r="U7" s="20"/>
      <c r="V7" s="20"/>
      <c r="W7" s="20"/>
      <c r="X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</row>
    <row r="8" spans="1:43" x14ac:dyDescent="0.25">
      <c r="H8" s="17"/>
      <c r="I8" s="59"/>
      <c r="R8" s="19"/>
      <c r="S8" s="19"/>
      <c r="T8" s="45"/>
      <c r="U8" s="19"/>
      <c r="V8" s="19"/>
      <c r="W8" s="19"/>
    </row>
    <row r="9" spans="1:43" ht="15.75" thickBot="1" x14ac:dyDescent="0.3">
      <c r="A9" t="s">
        <v>32</v>
      </c>
      <c r="K9" s="18"/>
      <c r="R9" s="19"/>
      <c r="S9" s="19"/>
      <c r="T9" s="19"/>
      <c r="U9" s="19"/>
      <c r="V9" s="19"/>
      <c r="W9" s="19"/>
    </row>
    <row r="10" spans="1:43" ht="15.75" thickBot="1" x14ac:dyDescent="0.3">
      <c r="A10">
        <v>0</v>
      </c>
      <c r="B10" s="22">
        <v>0</v>
      </c>
      <c r="C10" s="34">
        <v>0</v>
      </c>
      <c r="D10" s="21">
        <v>0</v>
      </c>
      <c r="E10" s="21">
        <v>0</v>
      </c>
      <c r="F10" s="21">
        <v>0</v>
      </c>
      <c r="G10" s="21">
        <v>0</v>
      </c>
      <c r="H10" s="32">
        <v>0</v>
      </c>
      <c r="I10" s="22">
        <v>0</v>
      </c>
      <c r="J10" s="21">
        <v>0</v>
      </c>
      <c r="K10" s="29">
        <v>0</v>
      </c>
      <c r="L10" s="29">
        <v>0</v>
      </c>
      <c r="N10" s="21">
        <v>0</v>
      </c>
      <c r="O10" s="21">
        <v>0</v>
      </c>
      <c r="Q10" s="12">
        <v>0</v>
      </c>
      <c r="R10" s="21">
        <v>0</v>
      </c>
      <c r="S10" s="21">
        <v>0</v>
      </c>
      <c r="T10" s="32">
        <v>0</v>
      </c>
      <c r="U10" s="21">
        <v>0</v>
      </c>
      <c r="V10" s="21">
        <v>0</v>
      </c>
      <c r="W10" s="32">
        <v>0</v>
      </c>
      <c r="X10" s="22">
        <f>MIN(A10/100, 0.24*A10/100 + 0.4, 0.07*A10/100 + 0.75, 1)</f>
        <v>0</v>
      </c>
      <c r="Y10" s="21">
        <v>0</v>
      </c>
      <c r="Z10" s="55">
        <f>MIN(0.8*A10/100, 0.34*A10/100 + 0.15, 1)</f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</row>
    <row r="11" spans="1:43" ht="15.75" thickBot="1" x14ac:dyDescent="0.3">
      <c r="A11">
        <v>1</v>
      </c>
      <c r="B11" s="28">
        <v>0</v>
      </c>
      <c r="C11" s="16"/>
      <c r="D11" s="16"/>
      <c r="E11" s="16"/>
      <c r="F11" s="26"/>
      <c r="G11" s="16"/>
      <c r="H11" s="16"/>
      <c r="I11" s="28">
        <v>0</v>
      </c>
      <c r="K11" s="15"/>
      <c r="L11" s="15"/>
      <c r="M11" s="18"/>
      <c r="N11" s="16"/>
      <c r="O11" s="16"/>
      <c r="Q11" s="24">
        <v>1.6661919681002564E-2</v>
      </c>
      <c r="R11" s="16"/>
      <c r="S11" s="16"/>
      <c r="T11" s="16"/>
      <c r="U11" s="16"/>
      <c r="V11" s="16"/>
      <c r="W11" s="16"/>
      <c r="X11" s="28">
        <f t="shared" ref="X11:X51" si="0">MIN(A11/100, 0.24*A11/100 + 0.4, 0.07*A11/100 + 0.75, 1)</f>
        <v>0.01</v>
      </c>
      <c r="Y11" s="16"/>
      <c r="Z11" s="56">
        <f t="shared" ref="Z11:Z51" si="1">MIN(0.8*A11/100, 0.34*A11/100 + 0.15, 1)</f>
        <v>8.0000000000000002E-3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</row>
    <row r="12" spans="1:43" ht="15.75" thickBot="1" x14ac:dyDescent="0.3">
      <c r="A12">
        <v>20</v>
      </c>
      <c r="B12" s="28">
        <v>0</v>
      </c>
      <c r="C12" s="16"/>
      <c r="D12" s="16"/>
      <c r="E12" s="16"/>
      <c r="F12" s="26"/>
      <c r="G12" s="16"/>
      <c r="H12" s="16"/>
      <c r="I12" s="28">
        <v>0</v>
      </c>
      <c r="K12" s="15"/>
      <c r="L12" s="15"/>
      <c r="M12" s="18"/>
      <c r="N12" s="16"/>
      <c r="O12" s="16"/>
      <c r="Q12" s="24">
        <f>135550/Q4</f>
        <v>16.072953541278974</v>
      </c>
      <c r="R12" s="16"/>
      <c r="S12" s="16"/>
      <c r="T12" s="16"/>
      <c r="U12" s="16"/>
      <c r="V12" s="16"/>
      <c r="W12" s="16"/>
      <c r="X12" s="28">
        <f t="shared" si="0"/>
        <v>0.2</v>
      </c>
      <c r="Y12" s="16"/>
      <c r="Z12" s="56">
        <f t="shared" si="1"/>
        <v>0.16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</row>
    <row r="13" spans="1:43" s="18" customFormat="1" ht="15.75" thickBot="1" x14ac:dyDescent="0.3">
      <c r="A13" s="18">
        <v>30</v>
      </c>
      <c r="B13" s="28">
        <v>0</v>
      </c>
      <c r="C13" s="34">
        <v>0</v>
      </c>
      <c r="D13" s="21">
        <v>0</v>
      </c>
      <c r="E13" s="21">
        <v>2.5000000000000001E-2</v>
      </c>
      <c r="F13" s="21">
        <v>0.02</v>
      </c>
      <c r="G13" s="21">
        <v>0</v>
      </c>
      <c r="H13" s="32">
        <v>0</v>
      </c>
      <c r="I13" s="28">
        <v>0</v>
      </c>
      <c r="J13" s="34">
        <v>0.01</v>
      </c>
      <c r="K13" s="29">
        <v>0</v>
      </c>
      <c r="L13" s="29">
        <v>0.03</v>
      </c>
      <c r="N13" s="16"/>
      <c r="O13" s="16"/>
      <c r="P13" s="29">
        <v>0</v>
      </c>
      <c r="Q13" s="27"/>
      <c r="R13" s="16"/>
      <c r="S13" s="16"/>
      <c r="T13" s="16"/>
      <c r="U13" s="16"/>
      <c r="V13" s="16"/>
      <c r="W13" s="16"/>
      <c r="X13" s="28">
        <f>MIN(A13/100, 0.24*A13/100 + 0.4, 0.07*A13/100 + 0.75, 1)</f>
        <v>0.3</v>
      </c>
      <c r="Y13" s="21">
        <v>0</v>
      </c>
      <c r="Z13" s="56">
        <f t="shared" si="1"/>
        <v>0.24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</row>
    <row r="14" spans="1:43" ht="15.75" thickBot="1" x14ac:dyDescent="0.3">
      <c r="A14">
        <v>50</v>
      </c>
      <c r="B14" s="28">
        <v>0</v>
      </c>
      <c r="C14" s="16"/>
      <c r="D14" s="16"/>
      <c r="E14" s="16"/>
      <c r="F14" s="26"/>
      <c r="G14" s="16"/>
      <c r="H14" s="16"/>
      <c r="I14" s="28">
        <v>0</v>
      </c>
      <c r="J14" s="16"/>
      <c r="K14" s="30"/>
      <c r="L14" s="30"/>
      <c r="M14" s="18"/>
      <c r="N14" s="21">
        <v>0.3</v>
      </c>
      <c r="O14" s="21">
        <v>0.3</v>
      </c>
      <c r="P14" s="30"/>
      <c r="Q14" s="25"/>
      <c r="R14" s="21">
        <v>0.23</v>
      </c>
      <c r="S14" s="21">
        <v>0.23</v>
      </c>
      <c r="T14" s="32">
        <v>0.23</v>
      </c>
      <c r="U14" s="21">
        <v>0.23</v>
      </c>
      <c r="V14" s="21">
        <v>0.23</v>
      </c>
      <c r="W14" s="32">
        <v>0.23</v>
      </c>
      <c r="X14" s="28">
        <f>MIN(A14/100, 0.24*A14/100 + 0.4, 0.07*A14/100 + 0.75, 1)</f>
        <v>0.5</v>
      </c>
      <c r="Y14" s="16"/>
      <c r="Z14" s="56">
        <f t="shared" si="1"/>
        <v>0.32</v>
      </c>
      <c r="AA14" s="21">
        <v>0.32</v>
      </c>
      <c r="AB14" s="21">
        <v>0.32</v>
      </c>
      <c r="AC14" s="21">
        <v>0.32</v>
      </c>
      <c r="AD14" s="21">
        <v>0.32</v>
      </c>
      <c r="AE14" s="21">
        <v>0.32</v>
      </c>
      <c r="AF14" s="21">
        <v>0.32</v>
      </c>
      <c r="AG14" s="21">
        <v>0.32</v>
      </c>
      <c r="AH14" s="21">
        <v>0.32</v>
      </c>
      <c r="AI14" s="21">
        <v>0.32</v>
      </c>
      <c r="AJ14" s="21">
        <v>0.32</v>
      </c>
      <c r="AK14" s="21">
        <v>0.32</v>
      </c>
      <c r="AL14" s="21">
        <v>0.32</v>
      </c>
      <c r="AM14" s="21">
        <v>0.32</v>
      </c>
      <c r="AN14" s="21">
        <v>0.32</v>
      </c>
      <c r="AO14" s="21">
        <v>0.32</v>
      </c>
      <c r="AP14" s="21">
        <v>0.32</v>
      </c>
      <c r="AQ14" s="21">
        <v>0.32</v>
      </c>
    </row>
    <row r="15" spans="1:43" ht="15.75" thickBot="1" x14ac:dyDescent="0.3">
      <c r="A15">
        <v>60</v>
      </c>
      <c r="B15" s="28">
        <v>0</v>
      </c>
      <c r="C15" s="16"/>
      <c r="D15" s="16"/>
      <c r="E15" s="16"/>
      <c r="F15" s="26"/>
      <c r="G15" s="16"/>
      <c r="H15" s="16"/>
      <c r="I15" s="28">
        <v>0</v>
      </c>
      <c r="J15" s="16"/>
      <c r="K15" s="30"/>
      <c r="L15" s="30"/>
      <c r="M15" s="18"/>
      <c r="N15" s="16"/>
      <c r="O15" s="16"/>
      <c r="P15" s="30"/>
      <c r="Q15" s="25"/>
      <c r="R15" s="16"/>
      <c r="S15" s="16"/>
      <c r="T15" s="16"/>
      <c r="U15" s="16"/>
      <c r="V15" s="16"/>
      <c r="W15" s="16"/>
      <c r="X15" s="28">
        <f t="shared" si="0"/>
        <v>0.54400000000000004</v>
      </c>
      <c r="Y15" s="16"/>
      <c r="Z15" s="56">
        <f t="shared" si="1"/>
        <v>0.35399999999999998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</row>
    <row r="16" spans="1:43" s="18" customFormat="1" ht="15.75" thickBot="1" x14ac:dyDescent="0.3">
      <c r="A16" s="18">
        <v>61</v>
      </c>
      <c r="B16" s="28">
        <v>0</v>
      </c>
      <c r="C16" s="35">
        <v>0</v>
      </c>
      <c r="D16" s="22">
        <v>0</v>
      </c>
      <c r="E16" s="22">
        <v>0.05</v>
      </c>
      <c r="F16" s="21">
        <v>0.04</v>
      </c>
      <c r="G16" s="22">
        <v>0</v>
      </c>
      <c r="H16" s="33">
        <v>0</v>
      </c>
      <c r="I16" s="28">
        <v>0</v>
      </c>
      <c r="J16" s="34">
        <v>0.02</v>
      </c>
      <c r="K16" s="29">
        <v>0</v>
      </c>
      <c r="L16" s="29">
        <v>0.05</v>
      </c>
      <c r="N16" s="16"/>
      <c r="O16" s="16"/>
      <c r="P16" s="29">
        <v>0.05</v>
      </c>
      <c r="Q16" s="25"/>
      <c r="R16" s="16"/>
      <c r="S16" s="16"/>
      <c r="T16" s="16"/>
      <c r="U16" s="16"/>
      <c r="V16" s="16"/>
      <c r="W16" s="16"/>
      <c r="X16" s="28">
        <f t="shared" si="0"/>
        <v>0.5464</v>
      </c>
      <c r="Y16" s="22">
        <v>0</v>
      </c>
      <c r="Z16" s="56">
        <f t="shared" si="1"/>
        <v>0.35740000000000005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</row>
    <row r="17" spans="1:43" s="18" customFormat="1" ht="15.75" thickBot="1" x14ac:dyDescent="0.3">
      <c r="A17" s="18">
        <v>91</v>
      </c>
      <c r="B17" s="28">
        <v>0</v>
      </c>
      <c r="C17" s="21">
        <v>0.01</v>
      </c>
      <c r="D17" s="21">
        <v>0.01</v>
      </c>
      <c r="E17" s="21">
        <v>7.4999999999999997E-2</v>
      </c>
      <c r="F17" s="21">
        <v>0.06</v>
      </c>
      <c r="G17" s="21">
        <v>0.01</v>
      </c>
      <c r="H17" s="21">
        <v>0.01</v>
      </c>
      <c r="I17" s="28">
        <v>0</v>
      </c>
      <c r="J17" s="34">
        <v>0.05</v>
      </c>
      <c r="K17" s="29">
        <v>1.2500000000000001E-2</v>
      </c>
      <c r="L17" s="31">
        <v>7.4999999999999997E-2</v>
      </c>
      <c r="N17" s="16"/>
      <c r="O17" s="16"/>
      <c r="P17" s="31">
        <v>0.08</v>
      </c>
      <c r="Q17" s="25"/>
      <c r="R17" s="16"/>
      <c r="S17" s="16"/>
      <c r="T17" s="16"/>
      <c r="U17" s="16"/>
      <c r="V17" s="16"/>
      <c r="W17" s="16"/>
      <c r="X17" s="28">
        <f t="shared" si="0"/>
        <v>0.61840000000000006</v>
      </c>
      <c r="Y17" s="21">
        <v>0.01</v>
      </c>
      <c r="Z17" s="56">
        <f t="shared" si="1"/>
        <v>0.45940000000000003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</row>
    <row r="18" spans="1:43" ht="15.75" thickBot="1" x14ac:dyDescent="0.3">
      <c r="A18">
        <v>100</v>
      </c>
      <c r="B18" s="28">
        <v>0</v>
      </c>
      <c r="C18" s="16"/>
      <c r="D18" s="16"/>
      <c r="E18" s="16"/>
      <c r="F18" s="26"/>
      <c r="G18" s="16"/>
      <c r="H18" s="16"/>
      <c r="I18" s="28">
        <v>0</v>
      </c>
      <c r="J18" s="16"/>
      <c r="K18" s="30"/>
      <c r="L18" s="30"/>
      <c r="M18" s="18"/>
      <c r="N18" s="21">
        <v>0.48</v>
      </c>
      <c r="O18" s="21">
        <v>0.48</v>
      </c>
      <c r="P18" s="30"/>
      <c r="Q18" s="25"/>
      <c r="R18" s="21">
        <v>0.4</v>
      </c>
      <c r="S18" s="21">
        <v>0.4</v>
      </c>
      <c r="T18" s="32">
        <v>0.4</v>
      </c>
      <c r="U18" s="21">
        <v>0.4</v>
      </c>
      <c r="V18" s="21">
        <v>0.4</v>
      </c>
      <c r="W18" s="32">
        <v>0.4</v>
      </c>
      <c r="X18" s="28">
        <f t="shared" si="0"/>
        <v>0.64</v>
      </c>
      <c r="Y18" s="16"/>
      <c r="Z18" s="56">
        <f t="shared" si="1"/>
        <v>0.49</v>
      </c>
      <c r="AA18" s="21">
        <v>0.51</v>
      </c>
      <c r="AB18" s="21">
        <v>0.51</v>
      </c>
      <c r="AC18" s="21">
        <v>0.51</v>
      </c>
      <c r="AD18" s="21">
        <v>0.51</v>
      </c>
      <c r="AE18" s="21">
        <v>0.51</v>
      </c>
      <c r="AF18" s="21">
        <v>0.51</v>
      </c>
      <c r="AG18" s="21">
        <v>0.51</v>
      </c>
      <c r="AH18" s="21">
        <v>0.51</v>
      </c>
      <c r="AI18" s="21">
        <v>0.51</v>
      </c>
      <c r="AJ18" s="21">
        <v>0.51</v>
      </c>
      <c r="AK18" s="21">
        <v>0.51</v>
      </c>
      <c r="AL18" s="21">
        <v>0.51</v>
      </c>
      <c r="AM18" s="21">
        <v>0.51</v>
      </c>
      <c r="AN18" s="21">
        <v>0.51</v>
      </c>
      <c r="AO18" s="21">
        <v>0.51</v>
      </c>
      <c r="AP18" s="21">
        <v>0.51</v>
      </c>
      <c r="AQ18" s="21">
        <v>0.51</v>
      </c>
    </row>
    <row r="19" spans="1:43" s="18" customFormat="1" ht="15.75" thickBot="1" x14ac:dyDescent="0.3">
      <c r="A19" s="18">
        <v>122</v>
      </c>
      <c r="B19" s="28">
        <v>0</v>
      </c>
      <c r="C19" s="34">
        <v>0.01</v>
      </c>
      <c r="D19" s="21">
        <v>0.01</v>
      </c>
      <c r="E19" s="21">
        <v>0.1</v>
      </c>
      <c r="F19" s="21">
        <v>7.0000000000000007E-2</v>
      </c>
      <c r="G19" s="21">
        <v>0.01</v>
      </c>
      <c r="H19" s="32">
        <v>0.01</v>
      </c>
      <c r="I19" s="28">
        <v>0</v>
      </c>
      <c r="J19" s="34">
        <v>0.2</v>
      </c>
      <c r="K19" s="29">
        <v>1.2500000000000001E-2</v>
      </c>
      <c r="L19" s="29">
        <v>0.16</v>
      </c>
      <c r="N19" s="16"/>
      <c r="O19" s="16"/>
      <c r="P19" s="29">
        <v>0.1</v>
      </c>
      <c r="Q19" s="25"/>
      <c r="R19" s="26"/>
      <c r="S19" s="26"/>
      <c r="T19" s="26"/>
      <c r="U19" s="26"/>
      <c r="V19" s="26"/>
      <c r="W19" s="26"/>
      <c r="X19" s="28">
        <f t="shared" si="0"/>
        <v>0.69279999999999997</v>
      </c>
      <c r="Y19" s="21">
        <v>0.01</v>
      </c>
      <c r="Z19" s="56">
        <f t="shared" si="1"/>
        <v>0.56480000000000008</v>
      </c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</row>
    <row r="20" spans="1:43" ht="15.75" thickBot="1" x14ac:dyDescent="0.3">
      <c r="A20">
        <v>140</v>
      </c>
      <c r="B20" s="28">
        <v>0</v>
      </c>
      <c r="C20" s="16"/>
      <c r="D20" s="16"/>
      <c r="E20" s="16"/>
      <c r="F20" s="26"/>
      <c r="G20" s="16"/>
      <c r="H20" s="16"/>
      <c r="I20" s="28">
        <v>0</v>
      </c>
      <c r="J20" s="16"/>
      <c r="K20" s="30"/>
      <c r="L20" s="30"/>
      <c r="M20" s="18"/>
      <c r="N20" s="16"/>
      <c r="O20" s="16"/>
      <c r="P20" s="30"/>
      <c r="Q20" s="24">
        <v>1</v>
      </c>
      <c r="R20" s="16"/>
      <c r="S20" s="16"/>
      <c r="T20" s="16"/>
      <c r="U20" s="16"/>
      <c r="V20" s="16"/>
      <c r="W20" s="16"/>
      <c r="X20" s="28">
        <f t="shared" si="0"/>
        <v>0.73599999999999999</v>
      </c>
      <c r="Y20" s="16"/>
      <c r="Z20" s="56">
        <f t="shared" si="1"/>
        <v>0.626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</row>
    <row r="21" spans="1:43" ht="15.75" thickBot="1" x14ac:dyDescent="0.3">
      <c r="A21">
        <v>146</v>
      </c>
      <c r="B21" s="28">
        <v>0</v>
      </c>
      <c r="C21" s="16"/>
      <c r="D21" s="16"/>
      <c r="E21" s="16"/>
      <c r="F21" s="26"/>
      <c r="G21" s="16"/>
      <c r="H21" s="16"/>
      <c r="I21" s="28">
        <v>0</v>
      </c>
      <c r="J21" s="16"/>
      <c r="K21" s="30"/>
      <c r="L21" s="30"/>
      <c r="M21" s="18"/>
      <c r="N21" s="16"/>
      <c r="O21" s="16"/>
      <c r="P21" s="30"/>
      <c r="Q21" s="13"/>
      <c r="R21" s="16"/>
      <c r="S21" s="16"/>
      <c r="T21" s="16"/>
      <c r="U21" s="16"/>
      <c r="V21" s="16"/>
      <c r="W21" s="16"/>
      <c r="X21" s="28">
        <f t="shared" si="0"/>
        <v>0.75039999999999996</v>
      </c>
      <c r="Y21" s="16"/>
      <c r="Z21" s="56">
        <f t="shared" si="1"/>
        <v>0.64639999999999997</v>
      </c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</row>
    <row r="22" spans="1:43" ht="15.75" thickBot="1" x14ac:dyDescent="0.3">
      <c r="A22">
        <v>150</v>
      </c>
      <c r="B22" s="28">
        <v>0</v>
      </c>
      <c r="C22" s="16"/>
      <c r="D22" s="16"/>
      <c r="E22" s="16"/>
      <c r="F22" s="26"/>
      <c r="G22" s="16"/>
      <c r="H22" s="16"/>
      <c r="I22" s="28">
        <v>0</v>
      </c>
      <c r="J22" s="16"/>
      <c r="K22" s="30"/>
      <c r="L22" s="30"/>
      <c r="M22" s="18"/>
      <c r="N22" s="21">
        <v>0.6</v>
      </c>
      <c r="O22" s="21">
        <v>0.6</v>
      </c>
      <c r="P22" s="30"/>
      <c r="Q22" s="13"/>
      <c r="R22" s="21">
        <v>0.57999999999999996</v>
      </c>
      <c r="S22" s="21">
        <v>0.57999999999999996</v>
      </c>
      <c r="T22" s="32">
        <v>0.57999999999999996</v>
      </c>
      <c r="U22" s="21">
        <v>0.57999999999999996</v>
      </c>
      <c r="V22" s="21">
        <v>0.57999999999999996</v>
      </c>
      <c r="W22" s="32">
        <v>0.57999999999999996</v>
      </c>
      <c r="X22" s="28">
        <f t="shared" si="0"/>
        <v>0.76</v>
      </c>
      <c r="Y22" s="16"/>
      <c r="Z22" s="56">
        <f t="shared" si="1"/>
        <v>0.66000000000000014</v>
      </c>
      <c r="AA22" s="21">
        <v>0.63</v>
      </c>
      <c r="AB22" s="21">
        <v>0.63</v>
      </c>
      <c r="AC22" s="21">
        <v>0.63</v>
      </c>
      <c r="AD22" s="21">
        <v>0.63</v>
      </c>
      <c r="AE22" s="21">
        <v>0.63</v>
      </c>
      <c r="AF22" s="21">
        <v>0.63</v>
      </c>
      <c r="AG22" s="21">
        <v>0.63</v>
      </c>
      <c r="AH22" s="21">
        <v>0.63</v>
      </c>
      <c r="AI22" s="21">
        <v>0.63</v>
      </c>
      <c r="AJ22" s="21">
        <v>0.63</v>
      </c>
      <c r="AK22" s="21">
        <v>0.63</v>
      </c>
      <c r="AL22" s="21">
        <v>0.63</v>
      </c>
      <c r="AM22" s="21">
        <v>0.63</v>
      </c>
      <c r="AN22" s="21">
        <v>0.63</v>
      </c>
      <c r="AO22" s="21">
        <v>0.63</v>
      </c>
      <c r="AP22" s="21">
        <v>0.63</v>
      </c>
      <c r="AQ22" s="21">
        <v>0.63</v>
      </c>
    </row>
    <row r="23" spans="1:43" s="18" customFormat="1" ht="15.75" thickBot="1" x14ac:dyDescent="0.3">
      <c r="A23" s="18">
        <v>152</v>
      </c>
      <c r="B23" s="28">
        <v>0</v>
      </c>
      <c r="C23" s="35">
        <v>0.01</v>
      </c>
      <c r="D23" s="22">
        <v>0.01</v>
      </c>
      <c r="E23" s="22">
        <v>0.125</v>
      </c>
      <c r="F23" s="21">
        <v>0.08</v>
      </c>
      <c r="G23" s="22">
        <v>0.01</v>
      </c>
      <c r="H23" s="33">
        <v>0.01</v>
      </c>
      <c r="I23" s="28">
        <v>0</v>
      </c>
      <c r="J23" s="34">
        <v>0.25</v>
      </c>
      <c r="K23" s="29">
        <v>1.2500000000000001E-2</v>
      </c>
      <c r="L23" s="29">
        <v>0.27</v>
      </c>
      <c r="N23" s="16"/>
      <c r="O23" s="16"/>
      <c r="P23" s="29">
        <v>0.17</v>
      </c>
      <c r="Q23" s="13"/>
      <c r="R23" s="26"/>
      <c r="S23" s="26"/>
      <c r="T23" s="26"/>
      <c r="U23" s="26"/>
      <c r="V23" s="26"/>
      <c r="W23" s="26"/>
      <c r="X23" s="28">
        <f t="shared" si="0"/>
        <v>0.76479999999999992</v>
      </c>
      <c r="Y23" s="22">
        <v>0.01</v>
      </c>
      <c r="Z23" s="56">
        <f t="shared" si="1"/>
        <v>0.66680000000000006</v>
      </c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</row>
    <row r="24" spans="1:43" s="18" customFormat="1" ht="15.75" thickBot="1" x14ac:dyDescent="0.3">
      <c r="A24" s="18">
        <v>183</v>
      </c>
      <c r="B24" s="28">
        <v>0</v>
      </c>
      <c r="C24" s="21">
        <v>0.01</v>
      </c>
      <c r="D24" s="21">
        <v>0.01</v>
      </c>
      <c r="E24" s="21">
        <v>0.15</v>
      </c>
      <c r="F24" s="21">
        <v>0.09</v>
      </c>
      <c r="G24" s="21">
        <v>0.01</v>
      </c>
      <c r="H24" s="21">
        <v>0.01</v>
      </c>
      <c r="I24" s="28">
        <v>0</v>
      </c>
      <c r="J24" s="34">
        <v>0.3</v>
      </c>
      <c r="K24" s="29">
        <v>1.2500000000000001E-2</v>
      </c>
      <c r="L24" s="31">
        <v>0.35</v>
      </c>
      <c r="N24" s="16"/>
      <c r="O24" s="16"/>
      <c r="P24" s="31">
        <v>0.24</v>
      </c>
      <c r="Q24" s="13"/>
      <c r="R24" s="26"/>
      <c r="S24" s="26"/>
      <c r="T24" s="26"/>
      <c r="U24" s="26"/>
      <c r="V24" s="26"/>
      <c r="W24" s="26"/>
      <c r="X24" s="28">
        <f t="shared" si="0"/>
        <v>0.83920000000000006</v>
      </c>
      <c r="Y24" s="21">
        <v>0.01</v>
      </c>
      <c r="Z24" s="56">
        <f t="shared" si="1"/>
        <v>0.77220000000000011</v>
      </c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</row>
    <row r="25" spans="1:43" ht="15.75" thickBot="1" x14ac:dyDescent="0.3">
      <c r="A25">
        <v>200</v>
      </c>
      <c r="B25" s="28">
        <v>0</v>
      </c>
      <c r="C25" s="16"/>
      <c r="D25" s="16"/>
      <c r="E25" s="16"/>
      <c r="F25" s="26"/>
      <c r="G25" s="16"/>
      <c r="H25" s="16"/>
      <c r="I25" s="28">
        <v>0</v>
      </c>
      <c r="J25" s="16"/>
      <c r="K25" s="30"/>
      <c r="L25" s="30"/>
      <c r="M25" s="18"/>
      <c r="N25" s="21">
        <v>0.69</v>
      </c>
      <c r="O25" s="21">
        <v>0.69</v>
      </c>
      <c r="P25" s="30"/>
      <c r="Q25" s="13"/>
      <c r="R25" s="21">
        <v>0.68</v>
      </c>
      <c r="S25" s="21">
        <v>0.68</v>
      </c>
      <c r="T25" s="32">
        <v>0.68</v>
      </c>
      <c r="U25" s="21">
        <v>0.68</v>
      </c>
      <c r="V25" s="21">
        <v>0.68</v>
      </c>
      <c r="W25" s="32">
        <v>0.68</v>
      </c>
      <c r="X25" s="28">
        <f t="shared" si="0"/>
        <v>0.88</v>
      </c>
      <c r="Y25" s="16"/>
      <c r="Z25" s="56">
        <f t="shared" si="1"/>
        <v>0.83000000000000007</v>
      </c>
      <c r="AA25" s="21">
        <v>0.74</v>
      </c>
      <c r="AB25" s="21">
        <v>0.74</v>
      </c>
      <c r="AC25" s="21">
        <v>0.74</v>
      </c>
      <c r="AD25" s="21">
        <v>0.74</v>
      </c>
      <c r="AE25" s="21">
        <v>0.74</v>
      </c>
      <c r="AF25" s="21">
        <v>0.74</v>
      </c>
      <c r="AG25" s="21">
        <v>0.74</v>
      </c>
      <c r="AH25" s="21">
        <v>0.74</v>
      </c>
      <c r="AI25" s="21">
        <v>0.74</v>
      </c>
      <c r="AJ25" s="21">
        <v>0.74</v>
      </c>
      <c r="AK25" s="21">
        <v>0.74</v>
      </c>
      <c r="AL25" s="21">
        <v>0.74</v>
      </c>
      <c r="AM25" s="21">
        <v>0.74</v>
      </c>
      <c r="AN25" s="21">
        <v>0.74</v>
      </c>
      <c r="AO25" s="21">
        <v>0.74</v>
      </c>
      <c r="AP25" s="21">
        <v>0.74</v>
      </c>
      <c r="AQ25" s="21">
        <v>0.74</v>
      </c>
    </row>
    <row r="26" spans="1:43" ht="15.75" thickBot="1" x14ac:dyDescent="0.3">
      <c r="A26">
        <v>212</v>
      </c>
      <c r="B26" s="28">
        <v>0</v>
      </c>
      <c r="C26" s="16"/>
      <c r="D26" s="16"/>
      <c r="E26" s="16"/>
      <c r="F26" s="26"/>
      <c r="G26" s="16"/>
      <c r="H26" s="16"/>
      <c r="I26" s="28">
        <v>0</v>
      </c>
      <c r="J26" s="16"/>
      <c r="K26" s="30"/>
      <c r="L26" s="30"/>
      <c r="M26" s="18"/>
      <c r="N26" s="16"/>
      <c r="O26" s="16"/>
      <c r="P26" s="30"/>
      <c r="Q26" s="13"/>
      <c r="R26" s="16"/>
      <c r="S26" s="16"/>
      <c r="T26" s="16"/>
      <c r="U26" s="16"/>
      <c r="V26" s="16"/>
      <c r="W26" s="16"/>
      <c r="X26" s="28">
        <f t="shared" si="0"/>
        <v>0.89839999999999998</v>
      </c>
      <c r="Y26" s="16"/>
      <c r="Z26" s="56">
        <f t="shared" si="1"/>
        <v>0.87080000000000002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</row>
    <row r="27" spans="1:43" s="18" customFormat="1" ht="15.75" thickBot="1" x14ac:dyDescent="0.3">
      <c r="A27" s="18">
        <v>213</v>
      </c>
      <c r="B27" s="28">
        <v>0</v>
      </c>
      <c r="C27" s="35">
        <v>0.02</v>
      </c>
      <c r="D27" s="22">
        <v>0.02</v>
      </c>
      <c r="E27" s="22">
        <v>0.17499999999999999</v>
      </c>
      <c r="F27" s="21">
        <v>0.1</v>
      </c>
      <c r="G27" s="22">
        <v>0.02</v>
      </c>
      <c r="H27" s="33">
        <v>0.02</v>
      </c>
      <c r="I27" s="28">
        <v>0</v>
      </c>
      <c r="J27" s="34">
        <v>0.3</v>
      </c>
      <c r="K27" s="29">
        <v>1.2500000000000001E-2</v>
      </c>
      <c r="L27" s="29">
        <v>0.35</v>
      </c>
      <c r="N27" s="16"/>
      <c r="O27" s="16"/>
      <c r="P27" s="29">
        <v>0.3</v>
      </c>
      <c r="Q27" s="13"/>
      <c r="R27" s="16"/>
      <c r="S27" s="16"/>
      <c r="T27" s="16"/>
      <c r="U27" s="16"/>
      <c r="V27" s="16"/>
      <c r="W27" s="16"/>
      <c r="X27" s="28">
        <f t="shared" si="0"/>
        <v>0.89910000000000001</v>
      </c>
      <c r="Y27" s="22">
        <v>0.02</v>
      </c>
      <c r="Z27" s="56">
        <f t="shared" si="1"/>
        <v>0.87420000000000009</v>
      </c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</row>
    <row r="28" spans="1:43" s="18" customFormat="1" ht="15.75" thickBot="1" x14ac:dyDescent="0.3">
      <c r="A28" s="18">
        <v>244</v>
      </c>
      <c r="B28" s="28">
        <v>0</v>
      </c>
      <c r="C28" s="21">
        <v>0.02</v>
      </c>
      <c r="D28" s="21">
        <v>0.02</v>
      </c>
      <c r="E28" s="21">
        <v>0.2</v>
      </c>
      <c r="F28" s="21">
        <v>0.12</v>
      </c>
      <c r="G28" s="21">
        <v>0.02</v>
      </c>
      <c r="H28" s="21">
        <v>0.02</v>
      </c>
      <c r="I28" s="28">
        <v>0</v>
      </c>
      <c r="J28" s="34">
        <v>0.3</v>
      </c>
      <c r="K28" s="29">
        <v>1.2500000000000001E-2</v>
      </c>
      <c r="L28" s="31">
        <v>0.35</v>
      </c>
      <c r="N28" s="16"/>
      <c r="O28" s="16"/>
      <c r="P28" s="31">
        <v>0.3</v>
      </c>
      <c r="Q28" s="13"/>
      <c r="R28" s="16"/>
      <c r="S28" s="16"/>
      <c r="T28" s="16"/>
      <c r="U28" s="16"/>
      <c r="V28" s="16"/>
      <c r="W28" s="16"/>
      <c r="X28" s="28">
        <f t="shared" si="0"/>
        <v>0.92080000000000006</v>
      </c>
      <c r="Y28" s="21">
        <v>0.02</v>
      </c>
      <c r="Z28" s="56">
        <f t="shared" si="1"/>
        <v>0.97960000000000014</v>
      </c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</row>
    <row r="29" spans="1:43" x14ac:dyDescent="0.25">
      <c r="A29">
        <v>248</v>
      </c>
      <c r="B29" s="28">
        <v>0</v>
      </c>
      <c r="C29" s="16"/>
      <c r="D29" s="16"/>
      <c r="E29" s="16"/>
      <c r="F29" s="26"/>
      <c r="G29" s="16"/>
      <c r="H29" s="16"/>
      <c r="I29" s="28">
        <v>0</v>
      </c>
      <c r="J29" s="16"/>
      <c r="K29" s="30"/>
      <c r="L29" s="30"/>
      <c r="M29" s="18"/>
      <c r="N29" s="16"/>
      <c r="O29" s="16"/>
      <c r="P29" s="30"/>
      <c r="Q29" s="13"/>
      <c r="R29" s="16"/>
      <c r="S29" s="16"/>
      <c r="T29" s="16"/>
      <c r="U29" s="16"/>
      <c r="V29" s="16"/>
      <c r="W29" s="16"/>
      <c r="X29" s="28">
        <f t="shared" si="0"/>
        <v>0.92359999999999998</v>
      </c>
      <c r="Y29" s="16"/>
      <c r="Z29" s="56">
        <f t="shared" si="1"/>
        <v>0.99320000000000008</v>
      </c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</row>
    <row r="30" spans="1:43" ht="15.75" thickBot="1" x14ac:dyDescent="0.3">
      <c r="A30">
        <v>250</v>
      </c>
      <c r="B30" s="28">
        <v>0</v>
      </c>
      <c r="C30" s="16"/>
      <c r="D30" s="16"/>
      <c r="E30" s="16"/>
      <c r="F30" s="26"/>
      <c r="G30" s="16"/>
      <c r="H30" s="16"/>
      <c r="I30" s="28">
        <v>0</v>
      </c>
      <c r="J30" s="16"/>
      <c r="K30" s="30"/>
      <c r="L30" s="30"/>
      <c r="M30" s="18"/>
      <c r="N30" s="16"/>
      <c r="O30" s="16"/>
      <c r="P30" s="30"/>
      <c r="Q30" s="13"/>
      <c r="R30" s="16"/>
      <c r="S30" s="16"/>
      <c r="T30" s="16"/>
      <c r="U30" s="16"/>
      <c r="V30" s="16"/>
      <c r="W30" s="16"/>
      <c r="X30" s="28">
        <f t="shared" si="0"/>
        <v>0.92500000000000004</v>
      </c>
      <c r="Y30" s="16"/>
      <c r="Z30" s="56">
        <f t="shared" si="1"/>
        <v>1</v>
      </c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</row>
    <row r="31" spans="1:43" s="18" customFormat="1" ht="15.75" thickBot="1" x14ac:dyDescent="0.3">
      <c r="A31" s="18">
        <v>274</v>
      </c>
      <c r="B31" s="28">
        <v>0</v>
      </c>
      <c r="C31" s="34">
        <v>0.02</v>
      </c>
      <c r="D31" s="21">
        <v>0.02</v>
      </c>
      <c r="E31" s="21">
        <v>0.25</v>
      </c>
      <c r="F31" s="21">
        <v>0.14000000000000001</v>
      </c>
      <c r="G31" s="21">
        <v>0.02</v>
      </c>
      <c r="H31" s="32">
        <v>0.02</v>
      </c>
      <c r="I31" s="28">
        <v>0</v>
      </c>
      <c r="J31" s="34">
        <v>0.3</v>
      </c>
      <c r="K31" s="29">
        <v>1.2500000000000001E-2</v>
      </c>
      <c r="L31" s="29">
        <v>0.35</v>
      </c>
      <c r="N31" s="16"/>
      <c r="O31" s="16"/>
      <c r="P31" s="29">
        <v>0.3</v>
      </c>
      <c r="Q31" s="13"/>
      <c r="R31" s="16"/>
      <c r="S31" s="16"/>
      <c r="T31" s="16"/>
      <c r="U31" s="16"/>
      <c r="V31" s="16"/>
      <c r="W31" s="16"/>
      <c r="X31" s="28">
        <f t="shared" si="0"/>
        <v>0.94179999999999997</v>
      </c>
      <c r="Y31" s="21">
        <v>0.02</v>
      </c>
      <c r="Z31" s="56">
        <f t="shared" si="1"/>
        <v>1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</row>
    <row r="32" spans="1:43" ht="15.75" thickBot="1" x14ac:dyDescent="0.3">
      <c r="A32">
        <v>300</v>
      </c>
      <c r="B32" s="28">
        <v>0</v>
      </c>
      <c r="C32" s="16"/>
      <c r="D32" s="16"/>
      <c r="E32" s="16"/>
      <c r="F32" s="26"/>
      <c r="G32" s="16"/>
      <c r="H32" s="16"/>
      <c r="I32" s="28">
        <v>0</v>
      </c>
      <c r="J32" s="16"/>
      <c r="K32" s="16"/>
      <c r="L32" s="16"/>
      <c r="N32" s="21">
        <v>0.82</v>
      </c>
      <c r="O32" s="21">
        <v>0.82</v>
      </c>
      <c r="P32" s="16"/>
      <c r="Q32" s="13"/>
      <c r="R32" s="21">
        <v>0.8</v>
      </c>
      <c r="S32" s="21">
        <v>0.8</v>
      </c>
      <c r="T32" s="32">
        <v>0.8</v>
      </c>
      <c r="U32" s="21">
        <v>0.8</v>
      </c>
      <c r="V32" s="21">
        <v>0.8</v>
      </c>
      <c r="W32" s="32">
        <v>0.8</v>
      </c>
      <c r="X32" s="28">
        <f t="shared" si="0"/>
        <v>0.96000000000000008</v>
      </c>
      <c r="Y32" s="16"/>
      <c r="Z32" s="56">
        <f t="shared" si="1"/>
        <v>1</v>
      </c>
      <c r="AA32" s="21">
        <v>0.86</v>
      </c>
      <c r="AB32" s="21">
        <v>0.86</v>
      </c>
      <c r="AC32" s="21">
        <v>0.86</v>
      </c>
      <c r="AD32" s="21">
        <v>0.86</v>
      </c>
      <c r="AE32" s="21">
        <v>0.86</v>
      </c>
      <c r="AF32" s="21">
        <v>0.86</v>
      </c>
      <c r="AG32" s="21">
        <v>0.86</v>
      </c>
      <c r="AH32" s="21">
        <v>0.86</v>
      </c>
      <c r="AI32" s="21">
        <v>0.86</v>
      </c>
      <c r="AJ32" s="21">
        <v>0.86</v>
      </c>
      <c r="AK32" s="21">
        <v>0.86</v>
      </c>
      <c r="AL32" s="21">
        <v>0.86</v>
      </c>
      <c r="AM32" s="21">
        <v>0.86</v>
      </c>
      <c r="AN32" s="21">
        <v>0.86</v>
      </c>
      <c r="AO32" s="21">
        <v>0.86</v>
      </c>
      <c r="AP32" s="21">
        <v>0.86</v>
      </c>
      <c r="AQ32" s="21">
        <v>0.86</v>
      </c>
    </row>
    <row r="33" spans="1:43" s="18" customFormat="1" ht="15.75" thickBot="1" x14ac:dyDescent="0.3">
      <c r="A33" s="18">
        <v>305</v>
      </c>
      <c r="B33" s="28">
        <v>0</v>
      </c>
      <c r="C33" s="34">
        <v>0.02</v>
      </c>
      <c r="D33" s="21">
        <v>0.02</v>
      </c>
      <c r="E33" s="21">
        <v>0.3</v>
      </c>
      <c r="F33" s="21">
        <v>0.15</v>
      </c>
      <c r="G33" s="21">
        <v>0.02</v>
      </c>
      <c r="H33" s="32">
        <v>0.02</v>
      </c>
      <c r="I33" s="28">
        <v>0</v>
      </c>
      <c r="J33" s="34">
        <v>0.3</v>
      </c>
      <c r="K33" s="29">
        <v>1.2500000000000001E-2</v>
      </c>
      <c r="L33" s="21">
        <v>0.4</v>
      </c>
      <c r="N33" s="16"/>
      <c r="O33" s="16"/>
      <c r="P33" s="21">
        <v>0.4</v>
      </c>
      <c r="Q33" s="13"/>
      <c r="R33" s="26"/>
      <c r="S33" s="26"/>
      <c r="T33" s="26"/>
      <c r="U33" s="26"/>
      <c r="V33" s="26"/>
      <c r="W33" s="26"/>
      <c r="X33" s="28">
        <f t="shared" si="0"/>
        <v>0.96350000000000002</v>
      </c>
      <c r="Y33" s="21">
        <v>0.02</v>
      </c>
      <c r="Z33" s="56">
        <f t="shared" si="1"/>
        <v>1</v>
      </c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</row>
    <row r="34" spans="1:43" x14ac:dyDescent="0.25">
      <c r="A34">
        <v>329</v>
      </c>
      <c r="B34" s="28">
        <v>0</v>
      </c>
      <c r="C34" s="16"/>
      <c r="D34" s="16"/>
      <c r="F34" s="26"/>
      <c r="G34" s="16"/>
      <c r="H34" s="16"/>
      <c r="I34" s="28">
        <v>0</v>
      </c>
      <c r="K34" s="18"/>
      <c r="N34" s="16"/>
      <c r="O34" s="16"/>
      <c r="Q34" s="13"/>
      <c r="R34" s="16"/>
      <c r="S34" s="16"/>
      <c r="T34" s="16"/>
      <c r="U34" s="16"/>
      <c r="V34" s="16"/>
      <c r="W34" s="16"/>
      <c r="X34" s="28">
        <f t="shared" si="0"/>
        <v>0.98029999999999995</v>
      </c>
      <c r="Y34" s="36"/>
      <c r="Z34" s="56">
        <f t="shared" si="1"/>
        <v>1</v>
      </c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</row>
    <row r="35" spans="1:43" ht="15.75" thickBot="1" x14ac:dyDescent="0.3">
      <c r="A35">
        <v>350</v>
      </c>
      <c r="B35" s="28">
        <v>0</v>
      </c>
      <c r="C35" s="16"/>
      <c r="D35" s="16"/>
      <c r="F35" s="26"/>
      <c r="G35" s="16"/>
      <c r="H35" s="16"/>
      <c r="I35" s="28">
        <v>0</v>
      </c>
      <c r="K35" s="18"/>
      <c r="N35" s="16"/>
      <c r="O35" s="16"/>
      <c r="Q35" s="13"/>
      <c r="R35" s="16"/>
      <c r="S35" s="16"/>
      <c r="T35" s="16"/>
      <c r="U35" s="16"/>
      <c r="V35" s="16"/>
      <c r="W35" s="16"/>
      <c r="X35" s="28">
        <f t="shared" si="0"/>
        <v>0.995</v>
      </c>
      <c r="Y35" s="36"/>
      <c r="Z35" s="56">
        <f t="shared" si="1"/>
        <v>1</v>
      </c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</row>
    <row r="36" spans="1:43" ht="15.75" thickBot="1" x14ac:dyDescent="0.3">
      <c r="A36">
        <v>400</v>
      </c>
      <c r="B36" s="28">
        <v>0</v>
      </c>
      <c r="C36" s="16"/>
      <c r="D36" s="16"/>
      <c r="F36" s="26"/>
      <c r="G36" s="16"/>
      <c r="H36" s="16"/>
      <c r="I36" s="28">
        <v>0</v>
      </c>
      <c r="K36" s="18"/>
      <c r="N36" s="21">
        <v>0.92</v>
      </c>
      <c r="O36" s="21">
        <v>0.92</v>
      </c>
      <c r="Q36" s="13"/>
      <c r="R36" s="21">
        <v>0.89</v>
      </c>
      <c r="S36" s="21">
        <v>0.89</v>
      </c>
      <c r="T36" s="32">
        <v>0.89</v>
      </c>
      <c r="U36" s="21">
        <v>0.89</v>
      </c>
      <c r="V36" s="21">
        <v>0.89</v>
      </c>
      <c r="W36" s="32">
        <v>0.89</v>
      </c>
      <c r="X36" s="28">
        <f t="shared" si="0"/>
        <v>1</v>
      </c>
      <c r="Y36" s="36"/>
      <c r="Z36" s="56">
        <f t="shared" si="1"/>
        <v>1</v>
      </c>
      <c r="AA36" s="21">
        <v>0.93</v>
      </c>
      <c r="AB36" s="21">
        <v>0.93</v>
      </c>
      <c r="AC36" s="21">
        <v>0.93</v>
      </c>
      <c r="AD36" s="21">
        <v>0.93</v>
      </c>
      <c r="AE36" s="21">
        <v>0.93</v>
      </c>
      <c r="AF36" s="21">
        <v>0.93</v>
      </c>
      <c r="AG36" s="21">
        <v>0.93</v>
      </c>
      <c r="AH36" s="21">
        <v>0.93</v>
      </c>
      <c r="AI36" s="21">
        <v>0.93</v>
      </c>
      <c r="AJ36" s="21">
        <v>0.93</v>
      </c>
      <c r="AK36" s="21">
        <v>0.93</v>
      </c>
      <c r="AL36" s="21">
        <v>0.93</v>
      </c>
      <c r="AM36" s="21">
        <v>0.93</v>
      </c>
      <c r="AN36" s="21">
        <v>0.93</v>
      </c>
      <c r="AO36" s="21">
        <v>0.93</v>
      </c>
      <c r="AP36" s="21">
        <v>0.93</v>
      </c>
      <c r="AQ36" s="21">
        <v>0.93</v>
      </c>
    </row>
    <row r="37" spans="1:43" x14ac:dyDescent="0.25">
      <c r="A37">
        <v>402</v>
      </c>
      <c r="B37" s="28">
        <v>0</v>
      </c>
      <c r="C37" s="16"/>
      <c r="D37" s="16"/>
      <c r="F37" s="26"/>
      <c r="G37" s="16"/>
      <c r="H37" s="16"/>
      <c r="I37" s="28">
        <v>0</v>
      </c>
      <c r="K37" s="18"/>
      <c r="N37" s="16"/>
      <c r="O37" s="16"/>
      <c r="Q37" s="13"/>
      <c r="R37" s="16"/>
      <c r="S37" s="16"/>
      <c r="T37" s="16"/>
      <c r="U37" s="16"/>
      <c r="V37" s="16"/>
      <c r="W37" s="16"/>
      <c r="X37" s="28">
        <f t="shared" si="0"/>
        <v>1</v>
      </c>
      <c r="Y37" s="36"/>
      <c r="Z37" s="56">
        <f t="shared" si="1"/>
        <v>1</v>
      </c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</row>
    <row r="38" spans="1:43" x14ac:dyDescent="0.25">
      <c r="A38">
        <v>421</v>
      </c>
      <c r="B38" s="28">
        <v>0</v>
      </c>
      <c r="C38" s="16"/>
      <c r="D38" s="16"/>
      <c r="F38" s="26"/>
      <c r="G38" s="16"/>
      <c r="H38" s="16"/>
      <c r="I38" s="28">
        <v>0</v>
      </c>
      <c r="K38" s="18"/>
      <c r="N38" s="16"/>
      <c r="O38" s="16"/>
      <c r="Q38" s="13"/>
      <c r="R38" s="16"/>
      <c r="S38" s="16"/>
      <c r="T38" s="16"/>
      <c r="U38" s="16"/>
      <c r="V38" s="16"/>
      <c r="W38" s="16"/>
      <c r="X38" s="28">
        <f t="shared" si="0"/>
        <v>1</v>
      </c>
      <c r="Y38" s="36"/>
      <c r="Z38" s="56">
        <f t="shared" si="1"/>
        <v>1</v>
      </c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</row>
    <row r="39" spans="1:43" x14ac:dyDescent="0.25">
      <c r="A39">
        <v>450</v>
      </c>
      <c r="B39" s="28">
        <v>0</v>
      </c>
      <c r="C39" s="16"/>
      <c r="D39" s="16"/>
      <c r="F39" s="26"/>
      <c r="G39" s="16"/>
      <c r="H39" s="16"/>
      <c r="I39" s="28">
        <v>0</v>
      </c>
      <c r="K39" s="18"/>
      <c r="N39" s="16"/>
      <c r="O39" s="16"/>
      <c r="Q39" s="13"/>
      <c r="R39" s="16"/>
      <c r="S39" s="16"/>
      <c r="T39" s="16"/>
      <c r="U39" s="16"/>
      <c r="V39" s="16"/>
      <c r="W39" s="16"/>
      <c r="X39" s="28">
        <f t="shared" si="0"/>
        <v>1</v>
      </c>
      <c r="Y39" s="36"/>
      <c r="Z39" s="56">
        <f t="shared" si="1"/>
        <v>1</v>
      </c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</row>
    <row r="40" spans="1:43" ht="15.75" thickBot="1" x14ac:dyDescent="0.3">
      <c r="A40">
        <v>487</v>
      </c>
      <c r="B40" s="28">
        <v>0</v>
      </c>
      <c r="C40" s="16"/>
      <c r="D40" s="16"/>
      <c r="F40" s="26"/>
      <c r="G40" s="16"/>
      <c r="H40" s="16"/>
      <c r="I40" s="28">
        <v>0</v>
      </c>
      <c r="K40" s="18"/>
      <c r="N40" s="16"/>
      <c r="O40" s="16"/>
      <c r="Q40" s="13"/>
      <c r="R40" s="16"/>
      <c r="S40" s="16"/>
      <c r="T40" s="16"/>
      <c r="U40" s="16"/>
      <c r="V40" s="16"/>
      <c r="W40" s="16"/>
      <c r="X40" s="28">
        <f t="shared" si="0"/>
        <v>1</v>
      </c>
      <c r="Y40" s="36"/>
      <c r="Z40" s="56">
        <f t="shared" si="1"/>
        <v>1</v>
      </c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</row>
    <row r="41" spans="1:43" ht="15.75" thickBot="1" x14ac:dyDescent="0.3">
      <c r="A41">
        <v>500</v>
      </c>
      <c r="B41" s="28">
        <v>0</v>
      </c>
      <c r="C41" s="16"/>
      <c r="D41" s="16"/>
      <c r="F41" s="26"/>
      <c r="G41" s="16"/>
      <c r="H41" s="16"/>
      <c r="I41" s="28">
        <v>0</v>
      </c>
      <c r="K41" s="18"/>
      <c r="N41" s="21">
        <v>0.99</v>
      </c>
      <c r="O41" s="21">
        <v>0.99</v>
      </c>
      <c r="Q41" s="13"/>
      <c r="R41" s="21">
        <v>0.89</v>
      </c>
      <c r="S41" s="21">
        <v>0.89</v>
      </c>
      <c r="T41" s="32">
        <v>0.89</v>
      </c>
      <c r="U41" s="21">
        <v>0.89</v>
      </c>
      <c r="V41" s="21">
        <v>0.89</v>
      </c>
      <c r="W41" s="32">
        <v>0.89</v>
      </c>
      <c r="X41" s="28">
        <f t="shared" si="0"/>
        <v>1</v>
      </c>
      <c r="Y41" s="36"/>
      <c r="Z41" s="56">
        <f t="shared" si="1"/>
        <v>1</v>
      </c>
      <c r="AA41" s="21">
        <v>0.98</v>
      </c>
      <c r="AB41" s="21">
        <v>0.98</v>
      </c>
      <c r="AC41" s="21">
        <v>0.98</v>
      </c>
      <c r="AD41" s="21">
        <v>0.98</v>
      </c>
      <c r="AE41" s="21">
        <v>0.98</v>
      </c>
      <c r="AF41" s="21">
        <v>0.98</v>
      </c>
      <c r="AG41" s="21">
        <v>0.98</v>
      </c>
      <c r="AH41" s="21">
        <v>0.98</v>
      </c>
      <c r="AI41" s="21">
        <v>0.98</v>
      </c>
      <c r="AJ41" s="21">
        <v>0.98</v>
      </c>
      <c r="AK41" s="21">
        <v>0.98</v>
      </c>
      <c r="AL41" s="21">
        <v>0.98</v>
      </c>
      <c r="AM41" s="21">
        <v>0.98</v>
      </c>
      <c r="AN41" s="21">
        <v>0.98</v>
      </c>
      <c r="AO41" s="21">
        <v>0.98</v>
      </c>
      <c r="AP41" s="21">
        <v>0.98</v>
      </c>
      <c r="AQ41" s="21">
        <v>0.98</v>
      </c>
    </row>
    <row r="42" spans="1:43" ht="15.75" thickBot="1" x14ac:dyDescent="0.3">
      <c r="A42">
        <v>560</v>
      </c>
      <c r="B42" s="28">
        <v>0</v>
      </c>
      <c r="C42" s="16"/>
      <c r="D42" s="16"/>
      <c r="F42" s="26"/>
      <c r="G42" s="16"/>
      <c r="H42" s="16"/>
      <c r="I42" s="28">
        <v>0</v>
      </c>
      <c r="K42" s="18"/>
      <c r="N42" s="16"/>
      <c r="O42" s="16"/>
      <c r="Q42" s="13"/>
      <c r="R42" s="16"/>
      <c r="S42" s="16"/>
      <c r="T42" s="16"/>
      <c r="U42" s="16"/>
      <c r="V42" s="16"/>
      <c r="W42" s="16"/>
      <c r="X42" s="28">
        <f t="shared" si="0"/>
        <v>1</v>
      </c>
      <c r="Y42" s="36"/>
      <c r="Z42" s="56">
        <f t="shared" si="1"/>
        <v>1</v>
      </c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</row>
    <row r="43" spans="1:43" ht="15.75" thickBot="1" x14ac:dyDescent="0.3">
      <c r="A43">
        <v>600</v>
      </c>
      <c r="B43" s="28">
        <v>0</v>
      </c>
      <c r="C43" s="16"/>
      <c r="D43" s="16"/>
      <c r="F43" s="26"/>
      <c r="G43" s="16"/>
      <c r="H43" s="16"/>
      <c r="I43" s="28">
        <v>0</v>
      </c>
      <c r="K43" s="18"/>
      <c r="N43" s="21">
        <v>1</v>
      </c>
      <c r="O43" s="21">
        <v>1</v>
      </c>
      <c r="Q43" s="13"/>
      <c r="R43" s="21">
        <v>1</v>
      </c>
      <c r="S43" s="21">
        <v>1</v>
      </c>
      <c r="T43" s="32">
        <v>1</v>
      </c>
      <c r="U43" s="21">
        <v>1</v>
      </c>
      <c r="V43" s="21">
        <v>1</v>
      </c>
      <c r="W43" s="32">
        <v>1</v>
      </c>
      <c r="X43" s="28">
        <f t="shared" si="0"/>
        <v>1</v>
      </c>
      <c r="Y43" s="36"/>
      <c r="Z43" s="56">
        <f t="shared" si="1"/>
        <v>1</v>
      </c>
      <c r="AA43" s="21">
        <v>1</v>
      </c>
      <c r="AB43" s="21">
        <v>1</v>
      </c>
      <c r="AC43" s="21">
        <v>1</v>
      </c>
      <c r="AD43" s="21">
        <v>1</v>
      </c>
      <c r="AE43" s="21">
        <v>1</v>
      </c>
      <c r="AF43" s="21">
        <v>1</v>
      </c>
      <c r="AG43" s="21">
        <v>1</v>
      </c>
      <c r="AH43" s="21">
        <v>1</v>
      </c>
      <c r="AI43" s="21">
        <v>1</v>
      </c>
      <c r="AJ43" s="21">
        <v>1</v>
      </c>
      <c r="AK43" s="21">
        <v>1</v>
      </c>
      <c r="AL43" s="21">
        <v>1</v>
      </c>
      <c r="AM43" s="21">
        <v>1</v>
      </c>
      <c r="AN43" s="21">
        <v>1</v>
      </c>
      <c r="AO43" s="21">
        <v>1</v>
      </c>
      <c r="AP43" s="21">
        <v>1</v>
      </c>
      <c r="AQ43" s="21">
        <v>1</v>
      </c>
    </row>
    <row r="44" spans="1:43" x14ac:dyDescent="0.25">
      <c r="A44">
        <v>627</v>
      </c>
      <c r="B44" s="28">
        <v>0</v>
      </c>
      <c r="C44" s="16"/>
      <c r="D44" s="16"/>
      <c r="F44" s="19"/>
      <c r="G44" s="16"/>
      <c r="H44" s="16"/>
      <c r="I44" s="28">
        <v>0</v>
      </c>
      <c r="K44" s="18"/>
      <c r="Q44" s="13"/>
      <c r="T44" s="18"/>
      <c r="U44" s="18"/>
      <c r="V44" s="18"/>
      <c r="X44" s="28">
        <f t="shared" si="0"/>
        <v>1</v>
      </c>
      <c r="Y44" s="36"/>
      <c r="Z44" s="56">
        <f t="shared" si="1"/>
        <v>1</v>
      </c>
    </row>
    <row r="45" spans="1:43" x14ac:dyDescent="0.25">
      <c r="A45">
        <v>628</v>
      </c>
      <c r="B45" s="28">
        <v>0</v>
      </c>
      <c r="C45" s="16"/>
      <c r="D45" s="16"/>
      <c r="F45" s="19"/>
      <c r="G45" s="16"/>
      <c r="H45" s="16"/>
      <c r="I45" s="28">
        <v>0</v>
      </c>
      <c r="K45" s="18"/>
      <c r="Q45" s="13"/>
      <c r="R45" s="13"/>
      <c r="S45" s="13"/>
      <c r="X45" s="28">
        <f t="shared" si="0"/>
        <v>1</v>
      </c>
      <c r="Y45" s="36"/>
      <c r="Z45" s="56">
        <f t="shared" si="1"/>
        <v>1</v>
      </c>
    </row>
    <row r="46" spans="1:43" x14ac:dyDescent="0.25">
      <c r="A46">
        <v>715</v>
      </c>
      <c r="B46" s="28">
        <v>0</v>
      </c>
      <c r="C46" s="16"/>
      <c r="D46" s="16"/>
      <c r="F46" s="19"/>
      <c r="G46" s="16"/>
      <c r="H46" s="16"/>
      <c r="I46" s="28">
        <v>0</v>
      </c>
      <c r="K46" s="18"/>
      <c r="Q46" s="13"/>
      <c r="R46" s="13"/>
      <c r="S46" s="13"/>
      <c r="X46" s="28">
        <f t="shared" si="0"/>
        <v>1</v>
      </c>
      <c r="Y46" s="36"/>
      <c r="Z46" s="56">
        <f t="shared" si="1"/>
        <v>1</v>
      </c>
    </row>
    <row r="47" spans="1:43" x14ac:dyDescent="0.25">
      <c r="A47">
        <v>779</v>
      </c>
      <c r="B47" s="28">
        <v>0</v>
      </c>
      <c r="C47" s="16"/>
      <c r="D47" s="16"/>
      <c r="F47" s="19"/>
      <c r="G47" s="16"/>
      <c r="H47" s="16"/>
      <c r="I47" s="28">
        <v>0</v>
      </c>
      <c r="K47" s="18"/>
      <c r="Q47" s="13"/>
      <c r="R47" s="13"/>
      <c r="S47" s="13"/>
      <c r="X47" s="28">
        <f t="shared" si="0"/>
        <v>1</v>
      </c>
      <c r="Y47" s="36"/>
      <c r="Z47" s="56">
        <f t="shared" si="1"/>
        <v>1</v>
      </c>
    </row>
    <row r="48" spans="1:43" x14ac:dyDescent="0.25">
      <c r="A48">
        <v>782</v>
      </c>
      <c r="B48" s="28">
        <v>0</v>
      </c>
      <c r="C48" s="16"/>
      <c r="D48" s="16"/>
      <c r="F48" s="19"/>
      <c r="G48" s="16"/>
      <c r="H48" s="16"/>
      <c r="I48" s="28">
        <v>0</v>
      </c>
      <c r="K48" s="18"/>
      <c r="Q48" s="13"/>
      <c r="R48" s="13"/>
      <c r="S48" s="13"/>
      <c r="X48" s="28">
        <f t="shared" si="0"/>
        <v>1</v>
      </c>
      <c r="Y48" s="36"/>
      <c r="Z48" s="56">
        <f t="shared" si="1"/>
        <v>1</v>
      </c>
    </row>
    <row r="49" spans="1:26" x14ac:dyDescent="0.25">
      <c r="A49">
        <v>877</v>
      </c>
      <c r="B49" s="28">
        <v>0</v>
      </c>
      <c r="C49" s="16"/>
      <c r="D49" s="16"/>
      <c r="F49" s="19"/>
      <c r="G49" s="16"/>
      <c r="H49" s="16"/>
      <c r="I49" s="28">
        <v>0</v>
      </c>
      <c r="K49" s="18"/>
      <c r="Q49" s="13"/>
      <c r="R49" s="13"/>
      <c r="S49" s="13"/>
      <c r="X49" s="28">
        <f t="shared" si="0"/>
        <v>1</v>
      </c>
      <c r="Y49" s="36"/>
      <c r="Z49" s="56">
        <f t="shared" si="1"/>
        <v>1</v>
      </c>
    </row>
    <row r="50" spans="1:26" x14ac:dyDescent="0.25">
      <c r="A50">
        <v>999</v>
      </c>
      <c r="B50" s="28">
        <v>0</v>
      </c>
      <c r="C50" s="16"/>
      <c r="D50" s="16"/>
      <c r="F50" s="19"/>
      <c r="G50" s="16"/>
      <c r="H50" s="16"/>
      <c r="I50" s="28">
        <v>0</v>
      </c>
      <c r="K50" s="18"/>
      <c r="Q50" s="13"/>
      <c r="R50" s="13"/>
      <c r="S50" s="13"/>
      <c r="X50" s="28">
        <f t="shared" si="0"/>
        <v>1</v>
      </c>
      <c r="Y50" s="36"/>
      <c r="Z50" s="56">
        <f t="shared" si="1"/>
        <v>1</v>
      </c>
    </row>
    <row r="51" spans="1:26" ht="15.75" thickBot="1" x14ac:dyDescent="0.3">
      <c r="A51">
        <v>1003</v>
      </c>
      <c r="B51" s="23">
        <v>0</v>
      </c>
      <c r="C51" s="16"/>
      <c r="D51" s="16"/>
      <c r="F51" s="19"/>
      <c r="G51" s="16"/>
      <c r="H51" s="16"/>
      <c r="I51" s="23">
        <v>0</v>
      </c>
      <c r="K51" s="18"/>
      <c r="Q51" s="13"/>
      <c r="R51" s="13"/>
      <c r="S51" s="13"/>
      <c r="X51" s="23">
        <f t="shared" si="0"/>
        <v>1</v>
      </c>
      <c r="Y51" s="36"/>
      <c r="Z51" s="57">
        <f t="shared" si="1"/>
        <v>1</v>
      </c>
    </row>
    <row r="52" spans="1:26" x14ac:dyDescent="0.25">
      <c r="F52" s="14"/>
      <c r="G52" s="14"/>
      <c r="Y52" s="19"/>
    </row>
    <row r="53" spans="1:26" x14ac:dyDescent="0.25">
      <c r="F53" s="15"/>
      <c r="G53" s="15"/>
    </row>
    <row r="54" spans="1:26" x14ac:dyDescent="0.25">
      <c r="B54" s="15"/>
      <c r="C54" s="15"/>
      <c r="F54" s="15"/>
      <c r="G54" s="15"/>
    </row>
    <row r="55" spans="1:26" x14ac:dyDescent="0.25">
      <c r="B55" s="15"/>
      <c r="C55" s="15"/>
      <c r="D55" s="15"/>
      <c r="F55" s="15"/>
      <c r="G55" s="15"/>
    </row>
    <row r="56" spans="1:26" x14ac:dyDescent="0.25">
      <c r="B56" s="15"/>
      <c r="C56" s="15"/>
      <c r="D56" s="15"/>
      <c r="F56" s="15"/>
      <c r="G56" s="15"/>
    </row>
    <row r="57" spans="1:26" x14ac:dyDescent="0.25">
      <c r="B57" s="15"/>
      <c r="C57" s="15"/>
      <c r="D57" s="15"/>
      <c r="F57" s="15"/>
      <c r="G57" s="15"/>
    </row>
    <row r="58" spans="1:26" x14ac:dyDescent="0.25">
      <c r="B58" s="15"/>
      <c r="C58" s="15"/>
      <c r="D58" s="15"/>
      <c r="F58" s="15"/>
      <c r="G58" s="15"/>
    </row>
    <row r="59" spans="1:26" x14ac:dyDescent="0.25">
      <c r="B59" s="15"/>
      <c r="C59" s="15"/>
      <c r="D59" s="15"/>
      <c r="E59" s="18"/>
      <c r="F59" s="15"/>
      <c r="G59" s="15"/>
    </row>
    <row r="60" spans="1:26" x14ac:dyDescent="0.25">
      <c r="B60" s="15"/>
      <c r="C60" s="15"/>
      <c r="D60" s="15"/>
      <c r="E60" s="18"/>
      <c r="F60" s="15"/>
      <c r="G60" s="15"/>
    </row>
    <row r="61" spans="1:26" x14ac:dyDescent="0.25">
      <c r="B61" s="15"/>
      <c r="C61" s="15"/>
      <c r="D61" s="15"/>
      <c r="E61" s="18"/>
      <c r="F61" s="15"/>
      <c r="G61" s="15"/>
      <c r="J61" s="18"/>
    </row>
    <row r="62" spans="1:26" x14ac:dyDescent="0.25">
      <c r="C62" s="15"/>
      <c r="D62" s="15"/>
      <c r="E62" s="18"/>
      <c r="F62" s="15"/>
      <c r="G62" s="15"/>
      <c r="J62" s="18"/>
    </row>
    <row r="63" spans="1:26" x14ac:dyDescent="0.25">
      <c r="D63" s="15"/>
      <c r="E63" s="18"/>
      <c r="F63" s="15"/>
      <c r="G63" s="15"/>
      <c r="J63" s="18"/>
    </row>
    <row r="64" spans="1:26" x14ac:dyDescent="0.25">
      <c r="D64" s="15"/>
      <c r="E64" s="18"/>
      <c r="F64" s="15"/>
      <c r="G64" s="15"/>
      <c r="J64" s="18"/>
    </row>
    <row r="65" spans="4:19" x14ac:dyDescent="0.25">
      <c r="D65" s="15"/>
      <c r="E65" s="18"/>
      <c r="F65" s="15"/>
      <c r="G65" s="15"/>
      <c r="J65" s="18"/>
      <c r="Q65" s="10"/>
      <c r="R65" s="10"/>
      <c r="S65" s="10"/>
    </row>
    <row r="66" spans="4:19" x14ac:dyDescent="0.25">
      <c r="D66" s="15"/>
      <c r="E66" s="18"/>
      <c r="F66" s="15"/>
      <c r="G66" s="15"/>
      <c r="J66" s="18"/>
    </row>
    <row r="67" spans="4:19" x14ac:dyDescent="0.25">
      <c r="J67" s="18"/>
    </row>
    <row r="68" spans="4:19" x14ac:dyDescent="0.25">
      <c r="J68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8"/>
  <sheetViews>
    <sheetView topLeftCell="X1" workbookViewId="0">
      <selection activeCell="B3" sqref="B3"/>
    </sheetView>
  </sheetViews>
  <sheetFormatPr defaultRowHeight="15" x14ac:dyDescent="0.25"/>
  <cols>
    <col min="2" max="2" width="10.28515625" bestFit="1" customWidth="1"/>
    <col min="3" max="4" width="9.28515625" bestFit="1" customWidth="1"/>
    <col min="5" max="5" width="14" bestFit="1" customWidth="1"/>
    <col min="6" max="6" width="12.85546875" bestFit="1" customWidth="1"/>
    <col min="7" max="7" width="10.5703125" bestFit="1" customWidth="1"/>
    <col min="8" max="8" width="10.140625" bestFit="1" customWidth="1"/>
    <col min="9" max="9" width="12.140625" bestFit="1" customWidth="1"/>
    <col min="10" max="10" width="10.5703125" bestFit="1" customWidth="1"/>
    <col min="11" max="11" width="11.5703125" bestFit="1" customWidth="1"/>
    <col min="12" max="12" width="13.7109375" bestFit="1" customWidth="1"/>
    <col min="16" max="16" width="13.7109375" bestFit="1" customWidth="1"/>
    <col min="17" max="17" width="12.140625" bestFit="1" customWidth="1"/>
    <col min="18" max="19" width="12" style="18" customWidth="1"/>
    <col min="20" max="22" width="9.28515625" bestFit="1" customWidth="1"/>
    <col min="23" max="23" width="9.28515625" style="18" bestFit="1" customWidth="1"/>
    <col min="24" max="24" width="9.28515625" bestFit="1" customWidth="1"/>
    <col min="25" max="25" width="11.5703125" bestFit="1" customWidth="1"/>
    <col min="26" max="26" width="10.7109375" bestFit="1" customWidth="1"/>
    <col min="27" max="43" width="9.28515625" bestFit="1" customWidth="1"/>
  </cols>
  <sheetData>
    <row r="1" spans="1:43" s="18" customFormat="1" x14ac:dyDescent="0.25">
      <c r="A1" s="9" t="s">
        <v>25</v>
      </c>
      <c r="B1" s="8" t="s">
        <v>0</v>
      </c>
      <c r="C1" s="1" t="s">
        <v>1</v>
      </c>
      <c r="D1" s="1" t="s">
        <v>44</v>
      </c>
      <c r="E1" s="1" t="s">
        <v>23</v>
      </c>
      <c r="F1" s="1" t="s">
        <v>24</v>
      </c>
      <c r="G1" s="1" t="s">
        <v>45</v>
      </c>
      <c r="H1" s="1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2</v>
      </c>
      <c r="N1" s="3" t="s">
        <v>3</v>
      </c>
      <c r="O1" s="3" t="s">
        <v>51</v>
      </c>
      <c r="P1" s="3" t="s">
        <v>52</v>
      </c>
      <c r="Q1" s="4" t="s">
        <v>4</v>
      </c>
      <c r="R1" s="4" t="s">
        <v>83</v>
      </c>
      <c r="S1" s="4" t="s">
        <v>84</v>
      </c>
      <c r="T1" s="4" t="s">
        <v>5</v>
      </c>
      <c r="U1" s="4" t="s">
        <v>6</v>
      </c>
      <c r="V1" s="4" t="s">
        <v>7</v>
      </c>
      <c r="W1" s="4" t="s">
        <v>85</v>
      </c>
      <c r="X1" s="4" t="s">
        <v>53</v>
      </c>
      <c r="Y1" s="5" t="s">
        <v>56</v>
      </c>
      <c r="Z1" s="5" t="s">
        <v>57</v>
      </c>
      <c r="AA1" s="6" t="s">
        <v>22</v>
      </c>
      <c r="AB1" s="6" t="s">
        <v>8</v>
      </c>
      <c r="AC1" s="6" t="s">
        <v>9</v>
      </c>
      <c r="AD1" s="6" t="s">
        <v>10</v>
      </c>
      <c r="AE1" s="6" t="s">
        <v>11</v>
      </c>
      <c r="AF1" s="6" t="s">
        <v>12</v>
      </c>
      <c r="AG1" s="6" t="s">
        <v>13</v>
      </c>
      <c r="AH1" s="6" t="s">
        <v>14</v>
      </c>
      <c r="AI1" s="6" t="s">
        <v>15</v>
      </c>
      <c r="AJ1" s="6" t="s">
        <v>16</v>
      </c>
      <c r="AK1" s="6" t="s">
        <v>55</v>
      </c>
      <c r="AL1" s="6" t="s">
        <v>54</v>
      </c>
      <c r="AM1" s="7" t="s">
        <v>17</v>
      </c>
      <c r="AN1" s="7" t="s">
        <v>18</v>
      </c>
      <c r="AO1" s="7" t="s">
        <v>19</v>
      </c>
      <c r="AP1" s="7" t="s">
        <v>20</v>
      </c>
      <c r="AQ1" s="7" t="s">
        <v>21</v>
      </c>
    </row>
    <row r="2" spans="1:43" s="18" customFormat="1" x14ac:dyDescent="0.25">
      <c r="A2" s="11" t="s">
        <v>27</v>
      </c>
      <c r="B2" s="18" t="s">
        <v>97</v>
      </c>
      <c r="C2" s="18" t="s">
        <v>97</v>
      </c>
      <c r="D2" s="18" t="s">
        <v>97</v>
      </c>
      <c r="E2" s="18" t="s">
        <v>37</v>
      </c>
      <c r="F2" s="18" t="s">
        <v>38</v>
      </c>
      <c r="G2" s="18" t="s">
        <v>79</v>
      </c>
      <c r="H2" s="18" t="s">
        <v>80</v>
      </c>
      <c r="I2" s="18" t="s">
        <v>39</v>
      </c>
      <c r="J2" s="18" t="s">
        <v>40</v>
      </c>
      <c r="K2" s="18" t="s">
        <v>41</v>
      </c>
      <c r="L2" s="18" t="s">
        <v>42</v>
      </c>
      <c r="N2" s="18" t="s">
        <v>43</v>
      </c>
      <c r="O2" s="18" t="s">
        <v>43</v>
      </c>
      <c r="P2" s="18" t="s">
        <v>81</v>
      </c>
      <c r="Q2" s="18" t="s">
        <v>28</v>
      </c>
      <c r="R2" s="18" t="s">
        <v>33</v>
      </c>
      <c r="S2" s="18" t="s">
        <v>33</v>
      </c>
      <c r="T2" s="18" t="s">
        <v>33</v>
      </c>
      <c r="U2" s="18" t="s">
        <v>33</v>
      </c>
      <c r="V2" s="18" t="s">
        <v>33</v>
      </c>
      <c r="W2" s="18" t="s">
        <v>33</v>
      </c>
      <c r="X2" s="18" t="s">
        <v>43</v>
      </c>
      <c r="Y2" s="18" t="s">
        <v>91</v>
      </c>
      <c r="Z2" s="18" t="s">
        <v>90</v>
      </c>
      <c r="AA2" s="18" t="s">
        <v>43</v>
      </c>
      <c r="AB2" s="18" t="s">
        <v>43</v>
      </c>
      <c r="AC2" s="18" t="s">
        <v>43</v>
      </c>
      <c r="AD2" s="18" t="s">
        <v>43</v>
      </c>
      <c r="AE2" s="18" t="s">
        <v>43</v>
      </c>
      <c r="AF2" s="18" t="s">
        <v>43</v>
      </c>
      <c r="AG2" s="18" t="s">
        <v>43</v>
      </c>
      <c r="AH2" s="18" t="s">
        <v>43</v>
      </c>
      <c r="AI2" s="18" t="s">
        <v>43</v>
      </c>
      <c r="AJ2" s="18" t="s">
        <v>43</v>
      </c>
      <c r="AK2" s="18" t="s">
        <v>43</v>
      </c>
      <c r="AL2" s="18" t="s">
        <v>43</v>
      </c>
      <c r="AM2" s="18" t="s">
        <v>43</v>
      </c>
      <c r="AN2" s="18" t="s">
        <v>43</v>
      </c>
      <c r="AO2" s="18" t="s">
        <v>43</v>
      </c>
      <c r="AP2" s="18" t="s">
        <v>43</v>
      </c>
      <c r="AQ2" s="18" t="s">
        <v>43</v>
      </c>
    </row>
    <row r="3" spans="1:43" s="18" customFormat="1" x14ac:dyDescent="0.25">
      <c r="A3" s="18" t="s">
        <v>29</v>
      </c>
      <c r="B3" s="18">
        <f>(10464286+7528819+6350000)/3</f>
        <v>8114368.333333333</v>
      </c>
      <c r="C3" s="10">
        <v>2190500</v>
      </c>
      <c r="D3" s="10">
        <v>1216364</v>
      </c>
      <c r="E3" s="49">
        <f>(100000000+500000000+500000000)/3</f>
        <v>366666666.66666669</v>
      </c>
      <c r="F3" s="49">
        <f>(10000000+20000000+50000000)/3</f>
        <v>26666666.666666668</v>
      </c>
      <c r="G3" s="18">
        <v>256761.95833333334</v>
      </c>
      <c r="H3" s="18">
        <v>45261.833333333336</v>
      </c>
      <c r="I3" s="10">
        <v>800000</v>
      </c>
      <c r="J3" s="10">
        <v>400000</v>
      </c>
      <c r="K3" s="10">
        <v>926000</v>
      </c>
      <c r="L3" s="48">
        <v>163333333.33333334</v>
      </c>
      <c r="N3" s="10">
        <v>543</v>
      </c>
      <c r="O3" s="10">
        <v>543</v>
      </c>
      <c r="P3" s="10">
        <v>326666666.66666669</v>
      </c>
      <c r="Q3" s="10">
        <v>702200</v>
      </c>
      <c r="R3" s="25">
        <v>0.9</v>
      </c>
      <c r="S3" s="50">
        <v>0.6</v>
      </c>
      <c r="T3" s="51">
        <v>0.25</v>
      </c>
      <c r="U3" s="51">
        <v>0.22500000000000001</v>
      </c>
      <c r="V3" s="51">
        <v>0.17499999999999999</v>
      </c>
      <c r="W3" s="51">
        <v>7.4999999999999997E-2</v>
      </c>
      <c r="X3" s="52">
        <v>1197</v>
      </c>
      <c r="Y3" s="51">
        <v>2000000</v>
      </c>
      <c r="Z3" s="53">
        <v>175000</v>
      </c>
      <c r="AA3" s="18">
        <v>639</v>
      </c>
      <c r="AB3" s="18">
        <v>639</v>
      </c>
      <c r="AC3" s="18">
        <v>639</v>
      </c>
      <c r="AD3" s="18">
        <v>639</v>
      </c>
      <c r="AE3" s="18">
        <v>639</v>
      </c>
      <c r="AF3" s="18">
        <v>639</v>
      </c>
      <c r="AG3" s="18">
        <v>639</v>
      </c>
      <c r="AH3" s="18">
        <v>639</v>
      </c>
      <c r="AI3" s="18">
        <v>639</v>
      </c>
      <c r="AJ3" s="18">
        <v>639</v>
      </c>
      <c r="AK3" s="18">
        <v>639</v>
      </c>
      <c r="AL3" s="18">
        <v>639</v>
      </c>
      <c r="AM3" s="18">
        <v>639</v>
      </c>
      <c r="AN3" s="18">
        <v>639</v>
      </c>
      <c r="AO3" s="18">
        <v>639</v>
      </c>
      <c r="AP3" s="18">
        <v>639</v>
      </c>
      <c r="AQ3" s="18">
        <v>639</v>
      </c>
    </row>
    <row r="4" spans="1:43" s="18" customFormat="1" x14ac:dyDescent="0.25">
      <c r="A4" s="18" t="s">
        <v>30</v>
      </c>
      <c r="B4" s="10">
        <v>1100000</v>
      </c>
      <c r="C4" s="10">
        <v>325000</v>
      </c>
      <c r="D4" s="10">
        <v>150000</v>
      </c>
      <c r="E4" s="18">
        <v>100000000</v>
      </c>
      <c r="F4" s="14">
        <v>10000000</v>
      </c>
      <c r="G4" s="18">
        <v>45164</v>
      </c>
      <c r="H4" s="18">
        <f>4518+12608+4413</f>
        <v>21539</v>
      </c>
      <c r="I4" s="18" t="s">
        <v>26</v>
      </c>
      <c r="J4" s="18" t="s">
        <v>26</v>
      </c>
      <c r="K4" s="18">
        <v>30000</v>
      </c>
      <c r="L4" s="18">
        <v>30000000</v>
      </c>
      <c r="N4" s="18" t="s">
        <v>26</v>
      </c>
      <c r="O4" s="18" t="s">
        <v>26</v>
      </c>
      <c r="P4" s="18">
        <v>60000000</v>
      </c>
      <c r="Q4" s="18" t="s">
        <v>26</v>
      </c>
      <c r="R4" s="18" t="s">
        <v>26</v>
      </c>
      <c r="S4" s="18" t="s">
        <v>26</v>
      </c>
      <c r="T4" s="18" t="s">
        <v>26</v>
      </c>
      <c r="U4" s="18" t="s">
        <v>26</v>
      </c>
      <c r="V4" s="18" t="s">
        <v>26</v>
      </c>
      <c r="X4" s="18" t="s">
        <v>26</v>
      </c>
      <c r="Y4" s="18" t="s">
        <v>26</v>
      </c>
      <c r="Z4" s="54">
        <v>100000</v>
      </c>
      <c r="AA4" s="18" t="s">
        <v>26</v>
      </c>
      <c r="AB4" s="18" t="s">
        <v>26</v>
      </c>
      <c r="AC4" s="18" t="s">
        <v>26</v>
      </c>
      <c r="AD4" s="18" t="s">
        <v>26</v>
      </c>
      <c r="AE4" s="18" t="s">
        <v>26</v>
      </c>
      <c r="AF4" s="18" t="s">
        <v>26</v>
      </c>
      <c r="AG4" s="18" t="s">
        <v>26</v>
      </c>
      <c r="AH4" s="18" t="s">
        <v>26</v>
      </c>
      <c r="AI4" s="18" t="s">
        <v>26</v>
      </c>
      <c r="AJ4" s="18" t="s">
        <v>26</v>
      </c>
      <c r="AK4" s="18" t="s">
        <v>26</v>
      </c>
      <c r="AL4" s="18" t="s">
        <v>26</v>
      </c>
      <c r="AM4" s="18" t="s">
        <v>26</v>
      </c>
      <c r="AN4" s="18" t="s">
        <v>26</v>
      </c>
      <c r="AO4" s="18" t="s">
        <v>26</v>
      </c>
      <c r="AP4" s="18" t="s">
        <v>26</v>
      </c>
      <c r="AQ4" s="18" t="s">
        <v>26</v>
      </c>
    </row>
    <row r="5" spans="1:43" s="18" customFormat="1" x14ac:dyDescent="0.25">
      <c r="A5" s="18" t="s">
        <v>31</v>
      </c>
      <c r="B5" s="10">
        <v>23000000</v>
      </c>
      <c r="C5" s="10">
        <v>5000000</v>
      </c>
      <c r="D5" s="10">
        <v>2280000</v>
      </c>
      <c r="E5" s="18">
        <v>500000000</v>
      </c>
      <c r="F5" s="14">
        <v>50000000</v>
      </c>
      <c r="G5" s="18">
        <v>872813</v>
      </c>
      <c r="H5" s="18">
        <f>14919+41650+14858</f>
        <v>71427</v>
      </c>
      <c r="I5" s="18" t="s">
        <v>26</v>
      </c>
      <c r="J5" s="18" t="s">
        <v>26</v>
      </c>
      <c r="K5" s="18">
        <v>1500000</v>
      </c>
      <c r="L5" s="18">
        <v>360000000</v>
      </c>
      <c r="N5" s="18" t="s">
        <v>26</v>
      </c>
      <c r="O5" s="18" t="s">
        <v>26</v>
      </c>
      <c r="P5" s="18">
        <v>720000000</v>
      </c>
      <c r="Q5" s="18" t="s">
        <v>26</v>
      </c>
      <c r="R5" s="18" t="s">
        <v>26</v>
      </c>
      <c r="S5" s="18" t="s">
        <v>26</v>
      </c>
      <c r="T5" s="18" t="s">
        <v>26</v>
      </c>
      <c r="U5" s="18" t="s">
        <v>26</v>
      </c>
      <c r="V5" s="18" t="s">
        <v>26</v>
      </c>
      <c r="X5" s="18" t="s">
        <v>26</v>
      </c>
      <c r="Y5" s="18" t="s">
        <v>26</v>
      </c>
      <c r="Z5" s="54">
        <v>300000</v>
      </c>
      <c r="AA5" s="18" t="s">
        <v>26</v>
      </c>
      <c r="AB5" s="18" t="s">
        <v>26</v>
      </c>
      <c r="AC5" s="18" t="s">
        <v>26</v>
      </c>
      <c r="AD5" s="18" t="s">
        <v>26</v>
      </c>
      <c r="AE5" s="18" t="s">
        <v>26</v>
      </c>
      <c r="AF5" s="18" t="s">
        <v>26</v>
      </c>
      <c r="AG5" s="18" t="s">
        <v>26</v>
      </c>
      <c r="AH5" s="18" t="s">
        <v>26</v>
      </c>
      <c r="AI5" s="18" t="s">
        <v>26</v>
      </c>
      <c r="AJ5" s="18" t="s">
        <v>26</v>
      </c>
      <c r="AK5" s="18" t="s">
        <v>26</v>
      </c>
      <c r="AL5" s="18" t="s">
        <v>26</v>
      </c>
      <c r="AM5" s="18" t="s">
        <v>26</v>
      </c>
      <c r="AN5" s="18" t="s">
        <v>26</v>
      </c>
      <c r="AO5" s="18" t="s">
        <v>26</v>
      </c>
      <c r="AP5" s="18" t="s">
        <v>26</v>
      </c>
      <c r="AQ5" s="18" t="s">
        <v>26</v>
      </c>
    </row>
    <row r="6" spans="1:43" s="18" customFormat="1" x14ac:dyDescent="0.25">
      <c r="A6" s="18" t="s">
        <v>58</v>
      </c>
      <c r="B6" s="18">
        <v>2006</v>
      </c>
      <c r="C6" s="18">
        <v>2006</v>
      </c>
      <c r="D6" s="18">
        <v>2006</v>
      </c>
      <c r="E6" s="18">
        <v>2001</v>
      </c>
      <c r="F6" s="18">
        <v>2001</v>
      </c>
      <c r="G6" s="47">
        <v>2021</v>
      </c>
      <c r="H6" s="47">
        <v>2021</v>
      </c>
      <c r="I6" s="18">
        <v>2001</v>
      </c>
      <c r="J6" s="18">
        <v>2001</v>
      </c>
      <c r="K6" s="18">
        <v>2001</v>
      </c>
      <c r="L6" s="18">
        <v>2001</v>
      </c>
      <c r="N6" s="18">
        <v>2010</v>
      </c>
      <c r="O6" s="18">
        <v>2010</v>
      </c>
      <c r="P6" s="18">
        <v>2001</v>
      </c>
      <c r="Q6" s="18" t="s">
        <v>86</v>
      </c>
      <c r="R6" s="18">
        <v>2015</v>
      </c>
      <c r="S6" s="18">
        <v>2015</v>
      </c>
      <c r="T6" s="18">
        <v>2015</v>
      </c>
      <c r="U6" s="18">
        <v>2015</v>
      </c>
      <c r="V6" s="18">
        <v>2015</v>
      </c>
      <c r="W6" s="18">
        <v>2015</v>
      </c>
      <c r="X6" s="20">
        <v>2000</v>
      </c>
      <c r="Y6" s="20">
        <v>2001</v>
      </c>
      <c r="Z6" s="18" t="s">
        <v>102</v>
      </c>
      <c r="AA6" s="20">
        <v>2010</v>
      </c>
      <c r="AB6" s="20">
        <v>2010</v>
      </c>
      <c r="AC6" s="20">
        <v>2010</v>
      </c>
      <c r="AD6" s="20">
        <v>2010</v>
      </c>
      <c r="AE6" s="20">
        <v>2010</v>
      </c>
      <c r="AF6" s="20">
        <v>2010</v>
      </c>
      <c r="AG6" s="20">
        <v>2010</v>
      </c>
      <c r="AH6" s="20">
        <v>2010</v>
      </c>
      <c r="AI6" s="20">
        <v>2010</v>
      </c>
      <c r="AJ6" s="20">
        <v>2010</v>
      </c>
      <c r="AK6" s="20">
        <v>2010</v>
      </c>
      <c r="AL6" s="20">
        <v>2010</v>
      </c>
      <c r="AM6" s="20">
        <v>2010</v>
      </c>
      <c r="AN6" s="20">
        <v>2010</v>
      </c>
      <c r="AO6" s="20">
        <v>2010</v>
      </c>
      <c r="AP6" s="20">
        <v>2010</v>
      </c>
      <c r="AQ6" s="20">
        <v>2010</v>
      </c>
    </row>
    <row r="7" spans="1:43" x14ac:dyDescent="0.25">
      <c r="A7" t="s">
        <v>59</v>
      </c>
      <c r="B7" t="s">
        <v>60</v>
      </c>
      <c r="C7" s="18" t="s">
        <v>60</v>
      </c>
      <c r="D7" s="18" t="s">
        <v>60</v>
      </c>
      <c r="E7" t="s">
        <v>60</v>
      </c>
      <c r="F7" t="s">
        <v>60</v>
      </c>
      <c r="G7" t="s">
        <v>60</v>
      </c>
      <c r="H7" t="s">
        <v>60</v>
      </c>
      <c r="I7" s="18" t="s">
        <v>60</v>
      </c>
      <c r="J7" s="18" t="s">
        <v>60</v>
      </c>
      <c r="K7" s="18" t="s">
        <v>60</v>
      </c>
      <c r="L7" s="18" t="s">
        <v>60</v>
      </c>
      <c r="N7" t="s">
        <v>82</v>
      </c>
      <c r="O7" s="18" t="s">
        <v>82</v>
      </c>
      <c r="P7" s="18" t="s">
        <v>60</v>
      </c>
      <c r="Q7" t="s">
        <v>87</v>
      </c>
      <c r="R7" s="18" t="s">
        <v>88</v>
      </c>
      <c r="S7" s="18" t="s">
        <v>88</v>
      </c>
      <c r="T7" s="18" t="s">
        <v>88</v>
      </c>
      <c r="U7" s="18" t="s">
        <v>88</v>
      </c>
      <c r="V7" s="18" t="s">
        <v>88</v>
      </c>
      <c r="W7" s="18" t="s">
        <v>88</v>
      </c>
      <c r="X7" s="20" t="s">
        <v>89</v>
      </c>
      <c r="Y7" s="20" t="s">
        <v>60</v>
      </c>
      <c r="Z7" t="s">
        <v>60</v>
      </c>
      <c r="AA7" s="20" t="s">
        <v>82</v>
      </c>
      <c r="AB7" s="20" t="s">
        <v>82</v>
      </c>
      <c r="AC7" s="20" t="s">
        <v>82</v>
      </c>
      <c r="AD7" s="20" t="s">
        <v>82</v>
      </c>
      <c r="AE7" s="20" t="s">
        <v>82</v>
      </c>
      <c r="AF7" s="20" t="s">
        <v>82</v>
      </c>
      <c r="AG7" s="20" t="s">
        <v>82</v>
      </c>
      <c r="AH7" s="20" t="s">
        <v>82</v>
      </c>
      <c r="AI7" s="20" t="s">
        <v>82</v>
      </c>
      <c r="AJ7" s="20" t="s">
        <v>82</v>
      </c>
      <c r="AK7" s="20" t="s">
        <v>82</v>
      </c>
      <c r="AL7" s="20" t="s">
        <v>82</v>
      </c>
      <c r="AM7" s="20" t="s">
        <v>82</v>
      </c>
      <c r="AN7" s="20" t="s">
        <v>82</v>
      </c>
      <c r="AO7" s="20" t="s">
        <v>82</v>
      </c>
      <c r="AP7" s="20" t="s">
        <v>82</v>
      </c>
      <c r="AQ7" s="20" t="s">
        <v>82</v>
      </c>
    </row>
    <row r="8" spans="1:43" s="18" customFormat="1" ht="15.75" thickBot="1" x14ac:dyDescent="0.3">
      <c r="X8" s="20"/>
      <c r="Y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</row>
    <row r="9" spans="1:43" s="18" customFormat="1" x14ac:dyDescent="0.25">
      <c r="B9" s="44" t="s">
        <v>103</v>
      </c>
      <c r="C9" s="37"/>
      <c r="D9" s="37"/>
      <c r="E9" s="37"/>
      <c r="F9" s="37"/>
      <c r="G9" s="38"/>
      <c r="X9" s="20"/>
      <c r="Y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</row>
    <row r="10" spans="1:43" s="18" customFormat="1" x14ac:dyDescent="0.25">
      <c r="B10" s="39"/>
      <c r="C10" s="19" t="s">
        <v>99</v>
      </c>
      <c r="D10" s="19">
        <v>1609.3440000000001</v>
      </c>
      <c r="E10" s="19" t="s">
        <v>98</v>
      </c>
      <c r="F10" s="19"/>
      <c r="G10" s="40"/>
      <c r="X10" s="20"/>
      <c r="Y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</row>
    <row r="11" spans="1:43" s="18" customFormat="1" x14ac:dyDescent="0.25">
      <c r="B11" s="39"/>
      <c r="C11" s="19" t="s">
        <v>101</v>
      </c>
      <c r="D11" s="19"/>
      <c r="E11" s="19"/>
      <c r="F11" s="19"/>
      <c r="G11" s="40" t="s">
        <v>100</v>
      </c>
      <c r="X11" s="20"/>
      <c r="Y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</row>
    <row r="12" spans="1:43" s="18" customFormat="1" x14ac:dyDescent="0.25">
      <c r="B12" s="39"/>
      <c r="C12" s="19">
        <v>2001</v>
      </c>
      <c r="D12" s="19">
        <v>0.89596900000000002</v>
      </c>
      <c r="E12" s="19"/>
      <c r="F12" s="19"/>
      <c r="G12" s="40"/>
      <c r="X12" s="20"/>
      <c r="Y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</row>
    <row r="13" spans="1:43" s="18" customFormat="1" x14ac:dyDescent="0.25">
      <c r="B13" s="39"/>
      <c r="C13" s="19">
        <v>2006</v>
      </c>
      <c r="D13" s="19">
        <v>1.256316</v>
      </c>
      <c r="E13" s="19"/>
      <c r="F13" s="19"/>
      <c r="G13" s="40"/>
      <c r="X13" s="20"/>
      <c r="Y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</row>
    <row r="14" spans="1:43" s="18" customFormat="1" x14ac:dyDescent="0.25">
      <c r="B14" s="39"/>
      <c r="C14" s="19">
        <v>2015</v>
      </c>
      <c r="D14" s="19">
        <f>1.109729</f>
        <v>1.109729</v>
      </c>
      <c r="E14" s="19"/>
      <c r="F14" s="19"/>
      <c r="G14" s="40"/>
      <c r="X14" s="20"/>
      <c r="Y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</row>
    <row r="15" spans="1:43" s="18" customFormat="1" x14ac:dyDescent="0.25">
      <c r="B15" s="39"/>
      <c r="C15" s="19">
        <v>2018</v>
      </c>
      <c r="D15" s="19">
        <f>1.181011</f>
        <v>1.181011</v>
      </c>
      <c r="E15" s="19"/>
      <c r="F15" s="19"/>
      <c r="G15" s="40"/>
      <c r="X15" s="20"/>
      <c r="Y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</row>
    <row r="16" spans="1:43" s="18" customFormat="1" ht="15.75" thickBot="1" x14ac:dyDescent="0.3">
      <c r="B16" s="41"/>
      <c r="C16" s="42">
        <v>2021</v>
      </c>
      <c r="D16" s="42">
        <f>1.202794</f>
        <v>1.2027939999999999</v>
      </c>
      <c r="E16" s="42"/>
      <c r="F16" s="42"/>
      <c r="G16" s="43"/>
      <c r="X16" s="20"/>
      <c r="Y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</row>
    <row r="18" spans="1:47" s="18" customFormat="1" x14ac:dyDescent="0.25">
      <c r="A18" s="60" t="s">
        <v>96</v>
      </c>
    </row>
    <row r="19" spans="1:47" x14ac:dyDescent="0.25">
      <c r="A19" t="s">
        <v>27</v>
      </c>
      <c r="B19" t="s">
        <v>92</v>
      </c>
      <c r="C19" s="18" t="s">
        <v>92</v>
      </c>
      <c r="D19" s="18" t="s">
        <v>92</v>
      </c>
      <c r="E19" t="s">
        <v>95</v>
      </c>
      <c r="F19" s="18" t="s">
        <v>95</v>
      </c>
      <c r="G19" s="18" t="s">
        <v>95</v>
      </c>
      <c r="H19" s="18" t="s">
        <v>95</v>
      </c>
      <c r="I19" s="18" t="s">
        <v>95</v>
      </c>
      <c r="J19" s="18" t="s">
        <v>95</v>
      </c>
      <c r="K19" s="18" t="s">
        <v>95</v>
      </c>
      <c r="L19" s="18" t="s">
        <v>95</v>
      </c>
      <c r="N19" s="18" t="s">
        <v>43</v>
      </c>
      <c r="O19" s="18" t="s">
        <v>43</v>
      </c>
      <c r="P19" s="18" t="s">
        <v>95</v>
      </c>
      <c r="Q19" s="18" t="s">
        <v>92</v>
      </c>
      <c r="R19" s="18" t="s">
        <v>92</v>
      </c>
      <c r="S19" s="18" t="s">
        <v>92</v>
      </c>
      <c r="T19" s="18" t="s">
        <v>92</v>
      </c>
      <c r="U19" s="18" t="s">
        <v>92</v>
      </c>
      <c r="V19" s="18" t="s">
        <v>92</v>
      </c>
      <c r="W19" s="18" t="s">
        <v>92</v>
      </c>
      <c r="X19" s="18" t="s">
        <v>43</v>
      </c>
      <c r="Y19" t="s">
        <v>95</v>
      </c>
      <c r="Z19" s="18" t="s">
        <v>95</v>
      </c>
      <c r="AA19" s="18" t="s">
        <v>43</v>
      </c>
      <c r="AB19" s="18" t="s">
        <v>43</v>
      </c>
      <c r="AC19" s="18" t="s">
        <v>43</v>
      </c>
      <c r="AD19" s="18" t="s">
        <v>43</v>
      </c>
      <c r="AE19" s="18" t="s">
        <v>43</v>
      </c>
      <c r="AF19" s="18" t="s">
        <v>43</v>
      </c>
      <c r="AG19" s="18" t="s">
        <v>43</v>
      </c>
      <c r="AH19" s="18" t="s">
        <v>43</v>
      </c>
      <c r="AI19" s="18" t="s">
        <v>43</v>
      </c>
      <c r="AJ19" s="18" t="s">
        <v>43</v>
      </c>
      <c r="AK19" s="18" t="s">
        <v>43</v>
      </c>
      <c r="AL19" s="18" t="s">
        <v>43</v>
      </c>
      <c r="AM19" s="18" t="s">
        <v>43</v>
      </c>
      <c r="AN19" s="18" t="s">
        <v>43</v>
      </c>
      <c r="AO19" s="18" t="s">
        <v>43</v>
      </c>
      <c r="AP19" s="18" t="s">
        <v>43</v>
      </c>
      <c r="AQ19" s="18" t="s">
        <v>43</v>
      </c>
    </row>
    <row r="20" spans="1:47" s="18" customFormat="1" x14ac:dyDescent="0.25">
      <c r="A20" t="s">
        <v>29</v>
      </c>
      <c r="B20" s="14">
        <f>(B3/$D$10)/$D$13</f>
        <v>4013.3491299451739</v>
      </c>
      <c r="C20" s="14">
        <f t="shared" ref="C20:D20" si="0">(C3/$D$10)/$D$13</f>
        <v>1083.4165899311001</v>
      </c>
      <c r="D20" s="14">
        <f t="shared" si="0"/>
        <v>601.61101894314208</v>
      </c>
      <c r="E20" s="14">
        <f t="shared" ref="E20:F22" si="1">E3/$D$12</f>
        <v>409240349.46149552</v>
      </c>
      <c r="F20" s="14">
        <f t="shared" si="1"/>
        <v>29762934.506290585</v>
      </c>
      <c r="G20" s="14">
        <f>G3/$D$16</f>
        <v>213471.26634596894</v>
      </c>
      <c r="H20" s="14">
        <f>H3/$D$16</f>
        <v>37630.577915531117</v>
      </c>
      <c r="I20" s="14">
        <f>I3/$D$12</f>
        <v>892888.03518871742</v>
      </c>
      <c r="J20" s="14">
        <f>J3/$D$12</f>
        <v>446444.01759435871</v>
      </c>
      <c r="K20" s="14">
        <f>K3/$D$12</f>
        <v>1033517.9007309404</v>
      </c>
      <c r="L20" s="14">
        <f>L3/$D$12</f>
        <v>182297973.85102981</v>
      </c>
      <c r="N20" s="10">
        <f>N3</f>
        <v>543</v>
      </c>
      <c r="O20" s="10">
        <f>O3</f>
        <v>543</v>
      </c>
      <c r="P20" s="14">
        <f>P3/$D$12</f>
        <v>364595947.70205963</v>
      </c>
      <c r="Q20" s="14">
        <f>Q3/100</f>
        <v>7022</v>
      </c>
      <c r="R20" s="14">
        <f>R3*1000000/1000</f>
        <v>900</v>
      </c>
      <c r="S20" s="14">
        <f t="shared" ref="S20:W20" si="2">S3*1000000/1000</f>
        <v>600</v>
      </c>
      <c r="T20" s="14">
        <f t="shared" si="2"/>
        <v>250</v>
      </c>
      <c r="U20" s="14">
        <f t="shared" si="2"/>
        <v>225</v>
      </c>
      <c r="V20" s="14">
        <f t="shared" si="2"/>
        <v>175</v>
      </c>
      <c r="W20" s="14">
        <f t="shared" si="2"/>
        <v>75</v>
      </c>
      <c r="X20" s="14">
        <f>X3</f>
        <v>1197</v>
      </c>
      <c r="Y20" s="14">
        <f>Y3/$D$12</f>
        <v>2232220.0879717935</v>
      </c>
      <c r="Z20" s="14">
        <f>Z3/D15</f>
        <v>148178.12873885172</v>
      </c>
      <c r="AA20" s="14">
        <f>AA3</f>
        <v>639</v>
      </c>
      <c r="AB20" s="14">
        <f t="shared" ref="AB20:AQ20" si="3">AB3</f>
        <v>639</v>
      </c>
      <c r="AC20" s="14">
        <f t="shared" si="3"/>
        <v>639</v>
      </c>
      <c r="AD20" s="14">
        <f t="shared" si="3"/>
        <v>639</v>
      </c>
      <c r="AE20" s="14">
        <f t="shared" si="3"/>
        <v>639</v>
      </c>
      <c r="AF20" s="14">
        <f t="shared" si="3"/>
        <v>639</v>
      </c>
      <c r="AG20" s="14">
        <f t="shared" si="3"/>
        <v>639</v>
      </c>
      <c r="AH20" s="14">
        <f t="shared" si="3"/>
        <v>639</v>
      </c>
      <c r="AI20" s="14">
        <f t="shared" si="3"/>
        <v>639</v>
      </c>
      <c r="AJ20" s="14">
        <f t="shared" si="3"/>
        <v>639</v>
      </c>
      <c r="AK20" s="14">
        <f t="shared" si="3"/>
        <v>639</v>
      </c>
      <c r="AL20" s="14">
        <f t="shared" si="3"/>
        <v>639</v>
      </c>
      <c r="AM20" s="14">
        <f t="shared" si="3"/>
        <v>639</v>
      </c>
      <c r="AN20" s="14">
        <f t="shared" si="3"/>
        <v>639</v>
      </c>
      <c r="AO20" s="14">
        <f t="shared" si="3"/>
        <v>639</v>
      </c>
      <c r="AP20" s="14">
        <f t="shared" si="3"/>
        <v>639</v>
      </c>
      <c r="AQ20" s="14">
        <f t="shared" si="3"/>
        <v>639</v>
      </c>
    </row>
    <row r="21" spans="1:47" x14ac:dyDescent="0.25">
      <c r="A21" t="s">
        <v>30</v>
      </c>
      <c r="B21" s="14">
        <f t="shared" ref="B21:D21" si="4">(B4/$D$10)/$D$13</f>
        <v>544.05763475197909</v>
      </c>
      <c r="C21" s="14">
        <f t="shared" si="4"/>
        <v>160.74430117672111</v>
      </c>
      <c r="D21" s="14">
        <f t="shared" si="4"/>
        <v>74.189677466178964</v>
      </c>
      <c r="E21" s="14">
        <f t="shared" si="1"/>
        <v>111611004.39858969</v>
      </c>
      <c r="F21" s="14">
        <f t="shared" si="1"/>
        <v>11161100.439858967</v>
      </c>
      <c r="G21" s="14">
        <f t="shared" ref="G21:H21" si="5">G4/$D$16</f>
        <v>37549.239520649426</v>
      </c>
      <c r="H21" s="14">
        <f t="shared" si="5"/>
        <v>17907.472102454787</v>
      </c>
      <c r="I21" s="14">
        <f>I20*0.75</f>
        <v>669666.02639153809</v>
      </c>
      <c r="J21" s="14">
        <f>J20*0.75</f>
        <v>334833.01319576905</v>
      </c>
      <c r="K21" s="14">
        <f>K4/$D$12</f>
        <v>33483.301319576902</v>
      </c>
      <c r="L21" s="14">
        <f>L4/$D$12</f>
        <v>33483301.319576904</v>
      </c>
      <c r="N21">
        <f>N20*0.75</f>
        <v>407.25</v>
      </c>
      <c r="O21" s="18">
        <f>O20*0.75</f>
        <v>407.25</v>
      </c>
      <c r="P21" s="14">
        <f t="shared" ref="P21:P22" si="6">P4/$D$12</f>
        <v>66966602.639153808</v>
      </c>
      <c r="Q21" s="14">
        <f>Q20*0.75</f>
        <v>5266.5</v>
      </c>
      <c r="R21" s="14">
        <f>R20*0.75</f>
        <v>675</v>
      </c>
      <c r="S21" s="14">
        <f t="shared" ref="S21:W21" si="7">S20*0.75</f>
        <v>450</v>
      </c>
      <c r="T21" s="14">
        <f t="shared" si="7"/>
        <v>187.5</v>
      </c>
      <c r="U21" s="14">
        <f t="shared" si="7"/>
        <v>168.75</v>
      </c>
      <c r="V21" s="14">
        <f t="shared" si="7"/>
        <v>131.25</v>
      </c>
      <c r="W21" s="14">
        <f t="shared" si="7"/>
        <v>56.25</v>
      </c>
      <c r="X21" s="14">
        <f>X20*0.75</f>
        <v>897.75</v>
      </c>
      <c r="Y21" s="14">
        <f>Y20*0.75</f>
        <v>1674165.0659788451</v>
      </c>
      <c r="Z21" s="14">
        <f>Z4/$D$14</f>
        <v>90112.090429284988</v>
      </c>
      <c r="AA21" s="14">
        <f>AA20*0.75</f>
        <v>479.25</v>
      </c>
      <c r="AB21" s="14">
        <f t="shared" ref="AB21:AQ21" si="8">AB20*0.75</f>
        <v>479.25</v>
      </c>
      <c r="AC21" s="14">
        <f t="shared" si="8"/>
        <v>479.25</v>
      </c>
      <c r="AD21" s="14">
        <f t="shared" si="8"/>
        <v>479.25</v>
      </c>
      <c r="AE21" s="14">
        <f t="shared" si="8"/>
        <v>479.25</v>
      </c>
      <c r="AF21" s="14">
        <f t="shared" si="8"/>
        <v>479.25</v>
      </c>
      <c r="AG21" s="14">
        <f t="shared" si="8"/>
        <v>479.25</v>
      </c>
      <c r="AH21" s="14">
        <f t="shared" si="8"/>
        <v>479.25</v>
      </c>
      <c r="AI21" s="14">
        <f t="shared" si="8"/>
        <v>479.25</v>
      </c>
      <c r="AJ21" s="14">
        <f t="shared" si="8"/>
        <v>479.25</v>
      </c>
      <c r="AK21" s="14">
        <f t="shared" si="8"/>
        <v>479.25</v>
      </c>
      <c r="AL21" s="14">
        <f t="shared" si="8"/>
        <v>479.25</v>
      </c>
      <c r="AM21" s="14">
        <f t="shared" si="8"/>
        <v>479.25</v>
      </c>
      <c r="AN21" s="14">
        <f t="shared" si="8"/>
        <v>479.25</v>
      </c>
      <c r="AO21" s="14">
        <f t="shared" si="8"/>
        <v>479.25</v>
      </c>
      <c r="AP21" s="14">
        <f t="shared" si="8"/>
        <v>479.25</v>
      </c>
      <c r="AQ21" s="14">
        <f t="shared" si="8"/>
        <v>479.25</v>
      </c>
      <c r="AR21" s="18"/>
      <c r="AS21" s="18"/>
      <c r="AT21" s="18"/>
      <c r="AU21" s="18"/>
    </row>
    <row r="22" spans="1:47" x14ac:dyDescent="0.25">
      <c r="A22" t="s">
        <v>94</v>
      </c>
      <c r="B22" s="14">
        <f t="shared" ref="B22:D22" si="9">(B5/$D$10)/$D$13</f>
        <v>11375.750544814107</v>
      </c>
      <c r="C22" s="14">
        <f t="shared" si="9"/>
        <v>2472.9892488726323</v>
      </c>
      <c r="D22" s="14">
        <f t="shared" si="9"/>
        <v>1127.6830974859204</v>
      </c>
      <c r="E22" s="14">
        <f t="shared" si="1"/>
        <v>558055021.99294841</v>
      </c>
      <c r="F22" s="14">
        <f t="shared" si="1"/>
        <v>55805502.199294843</v>
      </c>
      <c r="G22" s="14">
        <f t="shared" ref="G22:H22" si="10">G5/$D$16</f>
        <v>725654.60087097215</v>
      </c>
      <c r="H22" s="14">
        <f t="shared" si="10"/>
        <v>59384.233709180466</v>
      </c>
      <c r="I22" s="14">
        <f>I20*1.25</f>
        <v>1116110.0439858967</v>
      </c>
      <c r="J22" s="14">
        <f>J20*1.25</f>
        <v>558055.02199294837</v>
      </c>
      <c r="K22" s="14">
        <f>K5/$D$12</f>
        <v>1674165.0659788451</v>
      </c>
      <c r="L22" s="14">
        <f>L5/$D$12</f>
        <v>401799615.83492285</v>
      </c>
      <c r="N22">
        <f>N20*1.25</f>
        <v>678.75</v>
      </c>
      <c r="O22" s="18">
        <f>O20*1.25</f>
        <v>678.75</v>
      </c>
      <c r="P22" s="14">
        <f t="shared" si="6"/>
        <v>803599231.6698457</v>
      </c>
      <c r="Q22" s="14">
        <f>Q20*1.25</f>
        <v>8777.5</v>
      </c>
      <c r="R22" s="14">
        <f>R20*1.25</f>
        <v>1125</v>
      </c>
      <c r="S22" s="14">
        <f t="shared" ref="S22:W22" si="11">S20*1.25</f>
        <v>750</v>
      </c>
      <c r="T22" s="14">
        <f t="shared" si="11"/>
        <v>312.5</v>
      </c>
      <c r="U22" s="14">
        <f t="shared" si="11"/>
        <v>281.25</v>
      </c>
      <c r="V22" s="14">
        <f t="shared" si="11"/>
        <v>218.75</v>
      </c>
      <c r="W22" s="14">
        <f t="shared" si="11"/>
        <v>93.75</v>
      </c>
      <c r="X22" s="14">
        <f>X20*1.25</f>
        <v>1496.25</v>
      </c>
      <c r="Y22" s="14">
        <f>Y20*1.25</f>
        <v>2790275.1099647419</v>
      </c>
      <c r="Z22" s="14">
        <f>Z5/$D$14</f>
        <v>270336.27128785499</v>
      </c>
      <c r="AA22" s="14">
        <f>AA20*1.25</f>
        <v>798.75</v>
      </c>
      <c r="AB22" s="14">
        <f t="shared" ref="AB22:AQ22" si="12">AB20*1.25</f>
        <v>798.75</v>
      </c>
      <c r="AC22" s="14">
        <f t="shared" si="12"/>
        <v>798.75</v>
      </c>
      <c r="AD22" s="14">
        <f t="shared" si="12"/>
        <v>798.75</v>
      </c>
      <c r="AE22" s="14">
        <f t="shared" si="12"/>
        <v>798.75</v>
      </c>
      <c r="AF22" s="14">
        <f t="shared" si="12"/>
        <v>798.75</v>
      </c>
      <c r="AG22" s="14">
        <f t="shared" si="12"/>
        <v>798.75</v>
      </c>
      <c r="AH22" s="14">
        <f t="shared" si="12"/>
        <v>798.75</v>
      </c>
      <c r="AI22" s="14">
        <f t="shared" si="12"/>
        <v>798.75</v>
      </c>
      <c r="AJ22" s="14">
        <f t="shared" si="12"/>
        <v>798.75</v>
      </c>
      <c r="AK22" s="14">
        <f t="shared" si="12"/>
        <v>798.75</v>
      </c>
      <c r="AL22" s="14">
        <f t="shared" si="12"/>
        <v>798.75</v>
      </c>
      <c r="AM22" s="14">
        <f t="shared" si="12"/>
        <v>798.75</v>
      </c>
      <c r="AN22" s="14">
        <f t="shared" si="12"/>
        <v>798.75</v>
      </c>
      <c r="AO22" s="14">
        <f t="shared" si="12"/>
        <v>798.75</v>
      </c>
      <c r="AP22" s="14">
        <f t="shared" si="12"/>
        <v>798.75</v>
      </c>
      <c r="AQ22" s="14">
        <f t="shared" si="12"/>
        <v>798.75</v>
      </c>
      <c r="AR22" s="18"/>
      <c r="AS22" s="18"/>
      <c r="AT22" s="18"/>
      <c r="AU22" s="18"/>
    </row>
    <row r="24" spans="1:47" x14ac:dyDescent="0.25">
      <c r="A24" s="60"/>
    </row>
    <row r="28" spans="1:47" x14ac:dyDescent="0.25">
      <c r="E28" s="18"/>
    </row>
    <row r="33" spans="5:21" x14ac:dyDescent="0.25">
      <c r="E33" s="18"/>
    </row>
    <row r="36" spans="5:21" x14ac:dyDescent="0.25">
      <c r="T36" s="18"/>
      <c r="U36" s="18"/>
    </row>
    <row r="37" spans="5:21" x14ac:dyDescent="0.25">
      <c r="T37" s="18"/>
      <c r="U37" s="18"/>
    </row>
    <row r="38" spans="5:21" x14ac:dyDescent="0.25">
      <c r="T38" s="18"/>
      <c r="U38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5"/>
  <sheetViews>
    <sheetView topLeftCell="M10" workbookViewId="0">
      <selection activeCell="AA29" sqref="AA29"/>
    </sheetView>
  </sheetViews>
  <sheetFormatPr defaultRowHeight="15" x14ac:dyDescent="0.25"/>
  <cols>
    <col min="1" max="1" width="9.140625" style="18"/>
    <col min="2" max="2" width="10.28515625" style="18" bestFit="1" customWidth="1"/>
    <col min="3" max="4" width="9.28515625" style="18" bestFit="1" customWidth="1"/>
    <col min="5" max="5" width="14" style="18" bestFit="1" customWidth="1"/>
    <col min="6" max="6" width="12.85546875" style="18" bestFit="1" customWidth="1"/>
    <col min="7" max="7" width="10.5703125" style="18" bestFit="1" customWidth="1"/>
    <col min="8" max="8" width="10.140625" style="18" bestFit="1" customWidth="1"/>
    <col min="9" max="9" width="12.140625" style="18" bestFit="1" customWidth="1"/>
    <col min="10" max="10" width="10.5703125" style="18" bestFit="1" customWidth="1"/>
    <col min="11" max="11" width="11.5703125" style="18" bestFit="1" customWidth="1"/>
    <col min="12" max="12" width="13.7109375" style="18" bestFit="1" customWidth="1"/>
    <col min="13" max="15" width="9.140625" style="18"/>
    <col min="16" max="16" width="13.7109375" style="18" bestFit="1" customWidth="1"/>
    <col min="17" max="17" width="12.140625" style="18" bestFit="1" customWidth="1"/>
    <col min="18" max="19" width="12" style="18" customWidth="1"/>
    <col min="20" max="24" width="9.28515625" style="18" bestFit="1" customWidth="1"/>
    <col min="25" max="25" width="11.5703125" style="18" bestFit="1" customWidth="1"/>
    <col min="26" max="26" width="10.7109375" style="18" bestFit="1" customWidth="1"/>
    <col min="27" max="27" width="9.5703125" style="18" bestFit="1" customWidth="1"/>
    <col min="28" max="43" width="9.28515625" style="18" bestFit="1" customWidth="1"/>
    <col min="44" max="16384" width="9.140625" style="18"/>
  </cols>
  <sheetData>
    <row r="1" spans="1:43" x14ac:dyDescent="0.25">
      <c r="A1" s="9" t="s">
        <v>25</v>
      </c>
      <c r="B1" s="8" t="s">
        <v>0</v>
      </c>
      <c r="C1" s="1" t="s">
        <v>1</v>
      </c>
      <c r="D1" s="1" t="s">
        <v>44</v>
      </c>
      <c r="E1" s="1" t="s">
        <v>23</v>
      </c>
      <c r="F1" s="1" t="s">
        <v>24</v>
      </c>
      <c r="G1" s="1" t="s">
        <v>45</v>
      </c>
      <c r="H1" s="1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2</v>
      </c>
      <c r="N1" s="3" t="s">
        <v>3</v>
      </c>
      <c r="O1" s="3" t="s">
        <v>51</v>
      </c>
      <c r="P1" s="3" t="s">
        <v>52</v>
      </c>
      <c r="Q1" s="4" t="s">
        <v>4</v>
      </c>
      <c r="R1" s="4" t="s">
        <v>83</v>
      </c>
      <c r="S1" s="4" t="s">
        <v>84</v>
      </c>
      <c r="T1" s="4" t="s">
        <v>5</v>
      </c>
      <c r="U1" s="4" t="s">
        <v>6</v>
      </c>
      <c r="V1" s="4" t="s">
        <v>7</v>
      </c>
      <c r="W1" s="4" t="s">
        <v>85</v>
      </c>
      <c r="X1" s="4" t="s">
        <v>53</v>
      </c>
      <c r="Y1" s="5" t="s">
        <v>56</v>
      </c>
      <c r="Z1" s="5" t="s">
        <v>57</v>
      </c>
      <c r="AA1" s="6" t="s">
        <v>22</v>
      </c>
      <c r="AB1" s="6" t="s">
        <v>8</v>
      </c>
      <c r="AC1" s="6" t="s">
        <v>9</v>
      </c>
      <c r="AD1" s="6" t="s">
        <v>10</v>
      </c>
      <c r="AE1" s="6" t="s">
        <v>11</v>
      </c>
      <c r="AF1" s="6" t="s">
        <v>12</v>
      </c>
      <c r="AG1" s="6" t="s">
        <v>13</v>
      </c>
      <c r="AH1" s="6" t="s">
        <v>14</v>
      </c>
      <c r="AI1" s="6" t="s">
        <v>15</v>
      </c>
      <c r="AJ1" s="6" t="s">
        <v>16</v>
      </c>
      <c r="AK1" s="6" t="s">
        <v>55</v>
      </c>
      <c r="AL1" s="6" t="s">
        <v>54</v>
      </c>
      <c r="AM1" s="7" t="s">
        <v>17</v>
      </c>
      <c r="AN1" s="7" t="s">
        <v>18</v>
      </c>
      <c r="AO1" s="7" t="s">
        <v>19</v>
      </c>
      <c r="AP1" s="7" t="s">
        <v>20</v>
      </c>
      <c r="AQ1" s="7" t="s">
        <v>21</v>
      </c>
    </row>
    <row r="2" spans="1:43" x14ac:dyDescent="0.25">
      <c r="A2" s="11" t="s">
        <v>27</v>
      </c>
      <c r="B2" s="18" t="s">
        <v>97</v>
      </c>
      <c r="C2" s="18" t="s">
        <v>97</v>
      </c>
      <c r="D2" s="18" t="s">
        <v>97</v>
      </c>
      <c r="E2" s="18" t="s">
        <v>37</v>
      </c>
      <c r="F2" s="18" t="s">
        <v>38</v>
      </c>
      <c r="G2" s="18" t="s">
        <v>79</v>
      </c>
      <c r="H2" s="18" t="s">
        <v>80</v>
      </c>
      <c r="I2" s="18" t="s">
        <v>39</v>
      </c>
      <c r="J2" s="18" t="s">
        <v>40</v>
      </c>
      <c r="K2" s="18" t="s">
        <v>41</v>
      </c>
      <c r="L2" s="18" t="s">
        <v>42</v>
      </c>
      <c r="N2" s="18" t="s">
        <v>43</v>
      </c>
      <c r="O2" s="18" t="s">
        <v>43</v>
      </c>
      <c r="P2" s="18" t="s">
        <v>81</v>
      </c>
      <c r="Q2" s="18" t="s">
        <v>28</v>
      </c>
      <c r="R2" s="18" t="s">
        <v>33</v>
      </c>
      <c r="S2" s="18" t="s">
        <v>33</v>
      </c>
      <c r="T2" s="18" t="s">
        <v>33</v>
      </c>
      <c r="U2" s="18" t="s">
        <v>33</v>
      </c>
      <c r="V2" s="18" t="s">
        <v>33</v>
      </c>
      <c r="W2" s="18" t="s">
        <v>33</v>
      </c>
      <c r="X2" s="18" t="s">
        <v>43</v>
      </c>
      <c r="Y2" s="18" t="s">
        <v>91</v>
      </c>
      <c r="Z2" s="18" t="s">
        <v>90</v>
      </c>
      <c r="AA2" s="18" t="s">
        <v>43</v>
      </c>
      <c r="AB2" s="18" t="s">
        <v>43</v>
      </c>
      <c r="AC2" s="18" t="s">
        <v>43</v>
      </c>
      <c r="AD2" s="18" t="s">
        <v>43</v>
      </c>
      <c r="AE2" s="18" t="s">
        <v>43</v>
      </c>
      <c r="AF2" s="18" t="s">
        <v>43</v>
      </c>
      <c r="AG2" s="18" t="s">
        <v>43</v>
      </c>
      <c r="AH2" s="18" t="s">
        <v>43</v>
      </c>
      <c r="AI2" s="18" t="s">
        <v>43</v>
      </c>
      <c r="AJ2" s="18" t="s">
        <v>43</v>
      </c>
      <c r="AK2" s="18" t="s">
        <v>43</v>
      </c>
      <c r="AL2" s="18" t="s">
        <v>43</v>
      </c>
      <c r="AM2" s="18" t="s">
        <v>43</v>
      </c>
      <c r="AN2" s="18" t="s">
        <v>43</v>
      </c>
      <c r="AO2" s="18" t="s">
        <v>43</v>
      </c>
      <c r="AP2" s="18" t="s">
        <v>43</v>
      </c>
      <c r="AQ2" s="18" t="s">
        <v>43</v>
      </c>
    </row>
    <row r="3" spans="1:43" x14ac:dyDescent="0.25">
      <c r="A3" s="18" t="s">
        <v>29</v>
      </c>
      <c r="B3" s="18">
        <f>(10464286+7528819+6350000)/3</f>
        <v>8114368.333333333</v>
      </c>
      <c r="C3" s="10">
        <v>2190500</v>
      </c>
      <c r="D3" s="10">
        <v>1216364</v>
      </c>
      <c r="E3" s="49">
        <f>(100000000+500000000+500000000)/3</f>
        <v>366666666.66666669</v>
      </c>
      <c r="F3" s="49">
        <f>(10000000+20000000+50000000)/3</f>
        <v>26666666.666666668</v>
      </c>
      <c r="G3" s="18">
        <v>256761.95833333334</v>
      </c>
      <c r="H3" s="18">
        <v>45261.833333333336</v>
      </c>
      <c r="I3" s="10">
        <v>800000</v>
      </c>
      <c r="J3" s="10">
        <v>400000</v>
      </c>
      <c r="K3" s="10">
        <v>926000</v>
      </c>
      <c r="L3" s="48">
        <v>163333333.33333334</v>
      </c>
      <c r="N3" s="10">
        <v>543</v>
      </c>
      <c r="O3" s="10">
        <v>543</v>
      </c>
      <c r="P3" s="10">
        <v>326666666.66666669</v>
      </c>
      <c r="Q3" s="10">
        <v>702200</v>
      </c>
      <c r="R3" s="25">
        <v>0.9</v>
      </c>
      <c r="S3" s="50">
        <v>0.6</v>
      </c>
      <c r="T3" s="51">
        <v>0.25</v>
      </c>
      <c r="U3" s="51">
        <v>0.22500000000000001</v>
      </c>
      <c r="V3" s="51">
        <v>0.17499999999999999</v>
      </c>
      <c r="W3" s="51">
        <v>7.4999999999999997E-2</v>
      </c>
      <c r="X3" s="52">
        <v>1197</v>
      </c>
      <c r="Y3" s="51">
        <v>2000000</v>
      </c>
      <c r="Z3" s="53">
        <v>175000</v>
      </c>
      <c r="AA3" s="18">
        <v>639</v>
      </c>
      <c r="AB3" s="18">
        <v>639</v>
      </c>
      <c r="AC3" s="18">
        <v>639</v>
      </c>
      <c r="AD3" s="18">
        <v>639</v>
      </c>
      <c r="AE3" s="18">
        <v>639</v>
      </c>
      <c r="AF3" s="18">
        <v>639</v>
      </c>
      <c r="AG3" s="18">
        <v>639</v>
      </c>
      <c r="AH3" s="18">
        <v>639</v>
      </c>
      <c r="AI3" s="18">
        <v>639</v>
      </c>
      <c r="AJ3" s="18">
        <v>639</v>
      </c>
      <c r="AK3" s="18">
        <v>639</v>
      </c>
      <c r="AL3" s="18">
        <v>639</v>
      </c>
      <c r="AM3" s="18">
        <v>639</v>
      </c>
      <c r="AN3" s="18">
        <v>639</v>
      </c>
      <c r="AO3" s="18">
        <v>639</v>
      </c>
      <c r="AP3" s="18">
        <v>639</v>
      </c>
      <c r="AQ3" s="18">
        <v>639</v>
      </c>
    </row>
    <row r="4" spans="1:43" x14ac:dyDescent="0.25">
      <c r="A4" s="18" t="s">
        <v>30</v>
      </c>
      <c r="B4" s="10">
        <v>1100000</v>
      </c>
      <c r="C4" s="10">
        <v>325000</v>
      </c>
      <c r="D4" s="10">
        <v>150000</v>
      </c>
      <c r="E4" s="18">
        <v>100000000</v>
      </c>
      <c r="F4" s="14">
        <v>10000000</v>
      </c>
      <c r="G4" s="18">
        <v>45164</v>
      </c>
      <c r="H4" s="18">
        <f>4518+12608+4413</f>
        <v>21539</v>
      </c>
      <c r="I4" s="18" t="s">
        <v>26</v>
      </c>
      <c r="J4" s="18" t="s">
        <v>26</v>
      </c>
      <c r="K4" s="18">
        <v>30000</v>
      </c>
      <c r="L4" s="18">
        <v>30000000</v>
      </c>
      <c r="N4" s="18" t="s">
        <v>26</v>
      </c>
      <c r="O4" s="18" t="s">
        <v>26</v>
      </c>
      <c r="P4" s="18">
        <v>60000000</v>
      </c>
      <c r="Q4" s="18" t="s">
        <v>26</v>
      </c>
      <c r="R4" s="18" t="s">
        <v>26</v>
      </c>
      <c r="S4" s="18" t="s">
        <v>26</v>
      </c>
      <c r="T4" s="18" t="s">
        <v>26</v>
      </c>
      <c r="U4" s="18" t="s">
        <v>26</v>
      </c>
      <c r="V4" s="18" t="s">
        <v>26</v>
      </c>
      <c r="W4" s="18" t="s">
        <v>26</v>
      </c>
      <c r="X4" s="18" t="s">
        <v>26</v>
      </c>
      <c r="Y4" s="18" t="s">
        <v>26</v>
      </c>
      <c r="Z4" s="54">
        <v>100000</v>
      </c>
      <c r="AA4" s="18" t="s">
        <v>26</v>
      </c>
      <c r="AB4" s="18" t="s">
        <v>26</v>
      </c>
      <c r="AC4" s="18" t="s">
        <v>26</v>
      </c>
      <c r="AD4" s="18" t="s">
        <v>26</v>
      </c>
      <c r="AE4" s="18" t="s">
        <v>26</v>
      </c>
      <c r="AF4" s="18" t="s">
        <v>26</v>
      </c>
      <c r="AG4" s="18" t="s">
        <v>26</v>
      </c>
      <c r="AH4" s="18" t="s">
        <v>26</v>
      </c>
      <c r="AI4" s="18" t="s">
        <v>26</v>
      </c>
      <c r="AJ4" s="18" t="s">
        <v>26</v>
      </c>
      <c r="AK4" s="18" t="s">
        <v>26</v>
      </c>
      <c r="AL4" s="18" t="s">
        <v>26</v>
      </c>
      <c r="AM4" s="18" t="s">
        <v>26</v>
      </c>
      <c r="AN4" s="18" t="s">
        <v>26</v>
      </c>
      <c r="AO4" s="18" t="s">
        <v>26</v>
      </c>
      <c r="AP4" s="18" t="s">
        <v>26</v>
      </c>
      <c r="AQ4" s="18" t="s">
        <v>26</v>
      </c>
    </row>
    <row r="5" spans="1:43" x14ac:dyDescent="0.25">
      <c r="A5" s="18" t="s">
        <v>31</v>
      </c>
      <c r="B5" s="10">
        <v>23000000</v>
      </c>
      <c r="C5" s="10">
        <v>5000000</v>
      </c>
      <c r="D5" s="10">
        <v>2280000</v>
      </c>
      <c r="E5" s="18">
        <v>500000000</v>
      </c>
      <c r="F5" s="14">
        <v>50000000</v>
      </c>
      <c r="G5" s="18">
        <v>872813</v>
      </c>
      <c r="H5" s="18">
        <f>14919+41650+14858</f>
        <v>71427</v>
      </c>
      <c r="I5" s="18" t="s">
        <v>26</v>
      </c>
      <c r="J5" s="18" t="s">
        <v>26</v>
      </c>
      <c r="K5" s="18">
        <v>1500000</v>
      </c>
      <c r="L5" s="18">
        <v>360000000</v>
      </c>
      <c r="N5" s="18" t="s">
        <v>26</v>
      </c>
      <c r="O5" s="18" t="s">
        <v>26</v>
      </c>
      <c r="P5" s="18">
        <v>720000000</v>
      </c>
      <c r="Q5" s="18" t="s">
        <v>26</v>
      </c>
      <c r="R5" s="18" t="s">
        <v>26</v>
      </c>
      <c r="S5" s="18" t="s">
        <v>26</v>
      </c>
      <c r="T5" s="18" t="s">
        <v>26</v>
      </c>
      <c r="U5" s="18" t="s">
        <v>26</v>
      </c>
      <c r="V5" s="18" t="s">
        <v>26</v>
      </c>
      <c r="W5" s="18" t="s">
        <v>26</v>
      </c>
      <c r="X5" s="18" t="s">
        <v>26</v>
      </c>
      <c r="Y5" s="18" t="s">
        <v>26</v>
      </c>
      <c r="Z5" s="54">
        <v>300000</v>
      </c>
      <c r="AA5" s="18" t="s">
        <v>26</v>
      </c>
      <c r="AB5" s="18" t="s">
        <v>26</v>
      </c>
      <c r="AC5" s="18" t="s">
        <v>26</v>
      </c>
      <c r="AD5" s="18" t="s">
        <v>26</v>
      </c>
      <c r="AE5" s="18" t="s">
        <v>26</v>
      </c>
      <c r="AF5" s="18" t="s">
        <v>26</v>
      </c>
      <c r="AG5" s="18" t="s">
        <v>26</v>
      </c>
      <c r="AH5" s="18" t="s">
        <v>26</v>
      </c>
      <c r="AI5" s="18" t="s">
        <v>26</v>
      </c>
      <c r="AJ5" s="18" t="s">
        <v>26</v>
      </c>
      <c r="AK5" s="18" t="s">
        <v>26</v>
      </c>
      <c r="AL5" s="18" t="s">
        <v>26</v>
      </c>
      <c r="AM5" s="18" t="s">
        <v>26</v>
      </c>
      <c r="AN5" s="18" t="s">
        <v>26</v>
      </c>
      <c r="AO5" s="18" t="s">
        <v>26</v>
      </c>
      <c r="AP5" s="18" t="s">
        <v>26</v>
      </c>
      <c r="AQ5" s="18" t="s">
        <v>26</v>
      </c>
    </row>
    <row r="6" spans="1:43" x14ac:dyDescent="0.25">
      <c r="A6" s="18" t="s">
        <v>58</v>
      </c>
      <c r="B6" s="18">
        <v>2006</v>
      </c>
      <c r="C6" s="18">
        <v>2006</v>
      </c>
      <c r="D6" s="18">
        <v>2006</v>
      </c>
      <c r="E6" s="18">
        <v>2001</v>
      </c>
      <c r="F6" s="18">
        <v>2001</v>
      </c>
      <c r="G6" s="47">
        <v>2021</v>
      </c>
      <c r="H6" s="47">
        <v>2021</v>
      </c>
      <c r="I6" s="18">
        <v>2001</v>
      </c>
      <c r="J6" s="18">
        <v>2001</v>
      </c>
      <c r="K6" s="18">
        <v>2001</v>
      </c>
      <c r="L6" s="18">
        <v>2001</v>
      </c>
      <c r="N6" s="18">
        <v>2010</v>
      </c>
      <c r="O6" s="18">
        <v>2010</v>
      </c>
      <c r="P6" s="18">
        <v>2001</v>
      </c>
      <c r="Q6" s="18" t="s">
        <v>86</v>
      </c>
      <c r="R6" s="18">
        <v>2015</v>
      </c>
      <c r="S6" s="18">
        <v>2015</v>
      </c>
      <c r="T6" s="18">
        <v>2015</v>
      </c>
      <c r="U6" s="18">
        <v>2015</v>
      </c>
      <c r="V6" s="18">
        <v>2015</v>
      </c>
      <c r="W6" s="18">
        <v>2015</v>
      </c>
      <c r="X6" s="20">
        <v>2000</v>
      </c>
      <c r="Y6" s="20">
        <v>2001</v>
      </c>
      <c r="Z6" s="18" t="s">
        <v>102</v>
      </c>
      <c r="AA6" s="20">
        <v>2010</v>
      </c>
      <c r="AB6" s="20">
        <v>2010</v>
      </c>
      <c r="AC6" s="20">
        <v>2010</v>
      </c>
      <c r="AD6" s="20">
        <v>2010</v>
      </c>
      <c r="AE6" s="20">
        <v>2010</v>
      </c>
      <c r="AF6" s="20">
        <v>2010</v>
      </c>
      <c r="AG6" s="20">
        <v>2010</v>
      </c>
      <c r="AH6" s="20">
        <v>2010</v>
      </c>
      <c r="AI6" s="20">
        <v>2010</v>
      </c>
      <c r="AJ6" s="20">
        <v>2010</v>
      </c>
      <c r="AK6" s="20">
        <v>2010</v>
      </c>
      <c r="AL6" s="20">
        <v>2010</v>
      </c>
      <c r="AM6" s="20">
        <v>2010</v>
      </c>
      <c r="AN6" s="20">
        <v>2010</v>
      </c>
      <c r="AO6" s="20">
        <v>2010</v>
      </c>
      <c r="AP6" s="20">
        <v>2010</v>
      </c>
      <c r="AQ6" s="20">
        <v>2010</v>
      </c>
    </row>
    <row r="7" spans="1:43" x14ac:dyDescent="0.25">
      <c r="A7" s="18" t="s">
        <v>59</v>
      </c>
      <c r="B7" s="18" t="s">
        <v>60</v>
      </c>
      <c r="C7" s="18" t="s">
        <v>60</v>
      </c>
      <c r="D7" s="18" t="s">
        <v>60</v>
      </c>
      <c r="E7" s="18" t="s">
        <v>60</v>
      </c>
      <c r="F7" s="18" t="s">
        <v>60</v>
      </c>
      <c r="G7" s="18" t="s">
        <v>60</v>
      </c>
      <c r="H7" s="18" t="s">
        <v>60</v>
      </c>
      <c r="I7" s="18" t="s">
        <v>60</v>
      </c>
      <c r="J7" s="18" t="s">
        <v>60</v>
      </c>
      <c r="K7" s="18" t="s">
        <v>60</v>
      </c>
      <c r="L7" s="18" t="s">
        <v>60</v>
      </c>
      <c r="N7" s="18" t="s">
        <v>82</v>
      </c>
      <c r="O7" s="18" t="s">
        <v>82</v>
      </c>
      <c r="P7" s="18" t="s">
        <v>60</v>
      </c>
      <c r="Q7" s="18" t="s">
        <v>87</v>
      </c>
      <c r="R7" s="18" t="s">
        <v>88</v>
      </c>
      <c r="S7" s="18" t="s">
        <v>88</v>
      </c>
      <c r="T7" s="18" t="s">
        <v>88</v>
      </c>
      <c r="U7" s="18" t="s">
        <v>88</v>
      </c>
      <c r="V7" s="18" t="s">
        <v>88</v>
      </c>
      <c r="W7" s="18" t="s">
        <v>88</v>
      </c>
      <c r="X7" s="20" t="s">
        <v>89</v>
      </c>
      <c r="Y7" s="20" t="s">
        <v>60</v>
      </c>
      <c r="Z7" s="18" t="s">
        <v>60</v>
      </c>
      <c r="AA7" s="20" t="s">
        <v>82</v>
      </c>
      <c r="AB7" s="20" t="s">
        <v>82</v>
      </c>
      <c r="AC7" s="20" t="s">
        <v>82</v>
      </c>
      <c r="AD7" s="20" t="s">
        <v>82</v>
      </c>
      <c r="AE7" s="20" t="s">
        <v>82</v>
      </c>
      <c r="AF7" s="20" t="s">
        <v>82</v>
      </c>
      <c r="AG7" s="20" t="s">
        <v>82</v>
      </c>
      <c r="AH7" s="20" t="s">
        <v>82</v>
      </c>
      <c r="AI7" s="20" t="s">
        <v>82</v>
      </c>
      <c r="AJ7" s="20" t="s">
        <v>82</v>
      </c>
      <c r="AK7" s="20" t="s">
        <v>82</v>
      </c>
      <c r="AL7" s="20" t="s">
        <v>82</v>
      </c>
      <c r="AM7" s="20" t="s">
        <v>82</v>
      </c>
      <c r="AN7" s="20" t="s">
        <v>82</v>
      </c>
      <c r="AO7" s="20" t="s">
        <v>82</v>
      </c>
      <c r="AP7" s="20" t="s">
        <v>82</v>
      </c>
      <c r="AQ7" s="20" t="s">
        <v>82</v>
      </c>
    </row>
    <row r="8" spans="1:43" ht="15.75" thickBot="1" x14ac:dyDescent="0.3">
      <c r="X8" s="20"/>
      <c r="Y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</row>
    <row r="9" spans="1:43" s="62" customFormat="1" x14ac:dyDescent="0.25">
      <c r="A9" s="61" t="s">
        <v>110</v>
      </c>
      <c r="X9" s="63"/>
      <c r="Y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</row>
    <row r="10" spans="1:43" s="65" customFormat="1" x14ac:dyDescent="0.25">
      <c r="A10" s="64" t="s">
        <v>93</v>
      </c>
    </row>
    <row r="11" spans="1:43" s="65" customFormat="1" x14ac:dyDescent="0.25">
      <c r="A11" s="66" t="s">
        <v>105</v>
      </c>
    </row>
    <row r="12" spans="1:43" s="65" customFormat="1" x14ac:dyDescent="0.25">
      <c r="A12" s="66" t="s">
        <v>106</v>
      </c>
    </row>
    <row r="13" spans="1:43" s="65" customFormat="1" x14ac:dyDescent="0.25">
      <c r="A13" s="66" t="s">
        <v>107</v>
      </c>
    </row>
    <row r="14" spans="1:43" s="65" customFormat="1" x14ac:dyDescent="0.25">
      <c r="A14" s="66" t="s">
        <v>108</v>
      </c>
    </row>
    <row r="15" spans="1:43" s="70" customFormat="1" x14ac:dyDescent="0.25">
      <c r="A15" s="70" t="s">
        <v>104</v>
      </c>
      <c r="B15" s="70">
        <v>17.600000000000001</v>
      </c>
      <c r="C15" s="70">
        <v>17.600000000000001</v>
      </c>
      <c r="D15" s="70">
        <v>17.600000000000001</v>
      </c>
      <c r="E15" s="71">
        <v>33.9</v>
      </c>
      <c r="F15" s="71">
        <v>33.9</v>
      </c>
      <c r="G15" s="71">
        <v>-12.8</v>
      </c>
      <c r="H15" s="71">
        <v>-12.8</v>
      </c>
      <c r="I15" s="71">
        <v>33.9</v>
      </c>
      <c r="J15" s="71">
        <v>33.9</v>
      </c>
      <c r="K15" s="71">
        <v>33.9</v>
      </c>
      <c r="L15" s="71">
        <v>33.9</v>
      </c>
      <c r="N15" s="70">
        <f>(3.34+4.82+3.73+2.61+2.35+1.43)/6</f>
        <v>3.0466666666666669</v>
      </c>
      <c r="O15" s="70">
        <f>(3.34+4.82+3.73+2.61+2.35+1.43)/6</f>
        <v>3.0466666666666669</v>
      </c>
      <c r="P15" s="71">
        <v>33.9</v>
      </c>
      <c r="Q15" s="70">
        <v>20.100000000000001</v>
      </c>
      <c r="R15" s="70" t="s">
        <v>109</v>
      </c>
      <c r="S15" s="70" t="s">
        <v>109</v>
      </c>
      <c r="T15" s="70" t="s">
        <v>109</v>
      </c>
      <c r="U15" s="70" t="s">
        <v>109</v>
      </c>
      <c r="V15" s="70" t="s">
        <v>109</v>
      </c>
      <c r="W15" s="70" t="s">
        <v>109</v>
      </c>
      <c r="X15" s="70">
        <v>34</v>
      </c>
      <c r="Y15" s="71">
        <v>33.9</v>
      </c>
      <c r="Z15" s="70">
        <v>-5.6</v>
      </c>
      <c r="AA15" s="70">
        <f>(3.34+4.82+3.73+2.61+2.35+1.43)/6</f>
        <v>3.0466666666666669</v>
      </c>
      <c r="AB15" s="70">
        <f t="shared" ref="AB15:AQ15" si="0">(3.34+4.82+3.73+2.61+2.35+1.43)/6</f>
        <v>3.0466666666666669</v>
      </c>
      <c r="AC15" s="70">
        <f t="shared" si="0"/>
        <v>3.0466666666666669</v>
      </c>
      <c r="AD15" s="70">
        <f t="shared" si="0"/>
        <v>3.0466666666666669</v>
      </c>
      <c r="AE15" s="70">
        <f t="shared" si="0"/>
        <v>3.0466666666666669</v>
      </c>
      <c r="AF15" s="70">
        <f t="shared" si="0"/>
        <v>3.0466666666666669</v>
      </c>
      <c r="AG15" s="70">
        <f t="shared" si="0"/>
        <v>3.0466666666666669</v>
      </c>
      <c r="AH15" s="70">
        <f t="shared" si="0"/>
        <v>3.0466666666666669</v>
      </c>
      <c r="AI15" s="70">
        <f t="shared" si="0"/>
        <v>3.0466666666666669</v>
      </c>
      <c r="AJ15" s="70">
        <f t="shared" si="0"/>
        <v>3.0466666666666669</v>
      </c>
      <c r="AK15" s="70">
        <f t="shared" si="0"/>
        <v>3.0466666666666669</v>
      </c>
      <c r="AL15" s="70">
        <f t="shared" si="0"/>
        <v>3.0466666666666669</v>
      </c>
      <c r="AM15" s="70">
        <f t="shared" si="0"/>
        <v>3.0466666666666669</v>
      </c>
      <c r="AN15" s="70">
        <f t="shared" si="0"/>
        <v>3.0466666666666669</v>
      </c>
      <c r="AO15" s="70">
        <f t="shared" si="0"/>
        <v>3.0466666666666669</v>
      </c>
      <c r="AP15" s="70">
        <f t="shared" si="0"/>
        <v>3.0466666666666669</v>
      </c>
      <c r="AQ15" s="70">
        <f t="shared" si="0"/>
        <v>3.0466666666666669</v>
      </c>
    </row>
    <row r="16" spans="1:43" s="72" customFormat="1" x14ac:dyDescent="0.25">
      <c r="A16" s="72" t="s">
        <v>29</v>
      </c>
      <c r="B16" s="72">
        <f>B3*(($B$15/100)+1)</f>
        <v>9542497.1599999983</v>
      </c>
      <c r="C16" s="72">
        <f>C3*(($C$15/100)+1)</f>
        <v>2576028</v>
      </c>
      <c r="D16" s="72">
        <f>D3*(($D$15/100)+1)</f>
        <v>1430444.064</v>
      </c>
      <c r="E16" s="72">
        <f>E3*(($E$15/100)+1)</f>
        <v>490966666.66666669</v>
      </c>
      <c r="F16" s="72">
        <f>F3*(($F$15/100)+1)</f>
        <v>35706666.666666664</v>
      </c>
      <c r="G16" s="72">
        <f>G3*(($G$15/100)+1)</f>
        <v>223896.42766666668</v>
      </c>
      <c r="H16" s="72">
        <f>H3*(($H$15/100)+1)</f>
        <v>39468.318666666666</v>
      </c>
      <c r="I16" s="72">
        <f>I3*(($I$15/100)+1)</f>
        <v>1071200</v>
      </c>
      <c r="J16" s="72">
        <f>J3*(($J$15/100)+1)</f>
        <v>535600</v>
      </c>
      <c r="K16" s="72">
        <f>K3*(($K$15/100)+1)</f>
        <v>1239914</v>
      </c>
      <c r="L16" s="72">
        <f>L3*(($L$15/100)+1)</f>
        <v>218703333.33333334</v>
      </c>
      <c r="N16" s="72">
        <f>N3*((N15/100)+1)</f>
        <v>559.54340000000002</v>
      </c>
      <c r="O16" s="72">
        <f>O3*((O15/100)+1)</f>
        <v>559.54340000000002</v>
      </c>
      <c r="P16" s="72">
        <f>P3*(($P$15/100)+1)</f>
        <v>437406666.66666669</v>
      </c>
      <c r="Q16" s="72">
        <f>Q3*((Q15/100)+1)</f>
        <v>843342.20000000007</v>
      </c>
      <c r="R16" s="73">
        <f t="shared" ref="R16:W18" si="1">R3</f>
        <v>0.9</v>
      </c>
      <c r="S16" s="73">
        <f t="shared" si="1"/>
        <v>0.6</v>
      </c>
      <c r="T16" s="73">
        <f t="shared" si="1"/>
        <v>0.25</v>
      </c>
      <c r="U16" s="73">
        <f t="shared" si="1"/>
        <v>0.22500000000000001</v>
      </c>
      <c r="V16" s="73">
        <f t="shared" si="1"/>
        <v>0.17499999999999999</v>
      </c>
      <c r="W16" s="73">
        <f t="shared" si="1"/>
        <v>7.4999999999999997E-2</v>
      </c>
      <c r="X16" s="72">
        <f>X3*((X15/100)+1)</f>
        <v>1603.98</v>
      </c>
      <c r="Y16" s="72">
        <f>Y3*(($Y$15/100)+1)</f>
        <v>2678000</v>
      </c>
      <c r="Z16" s="72">
        <f>Z3*(($Z$15/100)+1)</f>
        <v>165200</v>
      </c>
      <c r="AA16" s="72">
        <f>AA3*((AA15/100)+1)</f>
        <v>658.46820000000002</v>
      </c>
      <c r="AB16" s="72">
        <f t="shared" ref="AB16:AQ16" si="2">AB3*((AB15/100)+1)</f>
        <v>658.46820000000002</v>
      </c>
      <c r="AC16" s="72">
        <f t="shared" si="2"/>
        <v>658.46820000000002</v>
      </c>
      <c r="AD16" s="72">
        <f t="shared" si="2"/>
        <v>658.46820000000002</v>
      </c>
      <c r="AE16" s="72">
        <f t="shared" si="2"/>
        <v>658.46820000000002</v>
      </c>
      <c r="AF16" s="72">
        <f t="shared" si="2"/>
        <v>658.46820000000002</v>
      </c>
      <c r="AG16" s="72">
        <f t="shared" si="2"/>
        <v>658.46820000000002</v>
      </c>
      <c r="AH16" s="72">
        <f t="shared" si="2"/>
        <v>658.46820000000002</v>
      </c>
      <c r="AI16" s="72">
        <f t="shared" si="2"/>
        <v>658.46820000000002</v>
      </c>
      <c r="AJ16" s="72">
        <f t="shared" si="2"/>
        <v>658.46820000000002</v>
      </c>
      <c r="AK16" s="72">
        <f t="shared" si="2"/>
        <v>658.46820000000002</v>
      </c>
      <c r="AL16" s="72">
        <f t="shared" si="2"/>
        <v>658.46820000000002</v>
      </c>
      <c r="AM16" s="72">
        <f t="shared" si="2"/>
        <v>658.46820000000002</v>
      </c>
      <c r="AN16" s="72">
        <f t="shared" si="2"/>
        <v>658.46820000000002</v>
      </c>
      <c r="AO16" s="72">
        <f t="shared" si="2"/>
        <v>658.46820000000002</v>
      </c>
      <c r="AP16" s="72">
        <f t="shared" si="2"/>
        <v>658.46820000000002</v>
      </c>
      <c r="AQ16" s="72">
        <f t="shared" si="2"/>
        <v>658.46820000000002</v>
      </c>
    </row>
    <row r="17" spans="1:43" s="72" customFormat="1" x14ac:dyDescent="0.25">
      <c r="A17" s="72" t="s">
        <v>30</v>
      </c>
      <c r="B17" s="72">
        <f>B4*(($B$15/100)+1)</f>
        <v>1293600</v>
      </c>
      <c r="C17" s="72">
        <f>C4*(($C$15/100)+1)</f>
        <v>382200</v>
      </c>
      <c r="D17" s="72">
        <f>D4*(($D$15/100)+1)</f>
        <v>176400</v>
      </c>
      <c r="E17" s="72">
        <f>E4*(($E$15/100)+1)</f>
        <v>133900000</v>
      </c>
      <c r="F17" s="72">
        <f>F4*(($F$15/100)+1)</f>
        <v>13390000</v>
      </c>
      <c r="G17" s="72">
        <f>G4*(($G$15/100)+1)</f>
        <v>39383.008000000002</v>
      </c>
      <c r="H17" s="72">
        <f>H4*(($H$15/100)+1)</f>
        <v>18782.008000000002</v>
      </c>
      <c r="I17" s="72" t="s">
        <v>26</v>
      </c>
      <c r="J17" s="72" t="s">
        <v>26</v>
      </c>
      <c r="K17" s="72">
        <f>K4*(($K$15/100)+1)</f>
        <v>40170</v>
      </c>
      <c r="L17" s="72">
        <f>L4*(($L$15/100)+1)</f>
        <v>40170000</v>
      </c>
      <c r="N17" s="72" t="s">
        <v>26</v>
      </c>
      <c r="O17" s="72" t="s">
        <v>26</v>
      </c>
      <c r="P17" s="72">
        <f>P4*(($P$15/100)+1)</f>
        <v>80340000</v>
      </c>
      <c r="Q17" s="73" t="str">
        <f>Q4</f>
        <v>n/a</v>
      </c>
      <c r="R17" s="73" t="str">
        <f t="shared" si="1"/>
        <v>n/a</v>
      </c>
      <c r="S17" s="73" t="str">
        <f t="shared" si="1"/>
        <v>n/a</v>
      </c>
      <c r="T17" s="73" t="str">
        <f t="shared" si="1"/>
        <v>n/a</v>
      </c>
      <c r="U17" s="73" t="str">
        <f t="shared" si="1"/>
        <v>n/a</v>
      </c>
      <c r="V17" s="73" t="str">
        <f t="shared" si="1"/>
        <v>n/a</v>
      </c>
      <c r="W17" s="73" t="str">
        <f t="shared" si="1"/>
        <v>n/a</v>
      </c>
      <c r="X17" s="73" t="str">
        <f>X4</f>
        <v>n/a</v>
      </c>
      <c r="Y17" s="72" t="s">
        <v>26</v>
      </c>
      <c r="Z17" s="74">
        <v>100000</v>
      </c>
      <c r="AA17" s="72" t="s">
        <v>26</v>
      </c>
      <c r="AB17" s="72" t="s">
        <v>26</v>
      </c>
      <c r="AC17" s="72" t="s">
        <v>26</v>
      </c>
      <c r="AD17" s="72" t="s">
        <v>26</v>
      </c>
      <c r="AE17" s="72" t="s">
        <v>26</v>
      </c>
      <c r="AF17" s="72" t="s">
        <v>26</v>
      </c>
      <c r="AG17" s="72" t="s">
        <v>26</v>
      </c>
      <c r="AH17" s="72" t="s">
        <v>26</v>
      </c>
      <c r="AI17" s="72" t="s">
        <v>26</v>
      </c>
      <c r="AJ17" s="72" t="s">
        <v>26</v>
      </c>
      <c r="AK17" s="72" t="s">
        <v>26</v>
      </c>
      <c r="AL17" s="72" t="s">
        <v>26</v>
      </c>
      <c r="AM17" s="72" t="s">
        <v>26</v>
      </c>
      <c r="AN17" s="72" t="s">
        <v>26</v>
      </c>
      <c r="AO17" s="72" t="s">
        <v>26</v>
      </c>
      <c r="AP17" s="72" t="s">
        <v>26</v>
      </c>
      <c r="AQ17" s="72" t="s">
        <v>26</v>
      </c>
    </row>
    <row r="18" spans="1:43" s="72" customFormat="1" x14ac:dyDescent="0.25">
      <c r="A18" s="72" t="s">
        <v>31</v>
      </c>
      <c r="B18" s="72">
        <f>B5*(($B$15/100)+1)</f>
        <v>27048000</v>
      </c>
      <c r="C18" s="72">
        <f>C5*(($C$15/100)+1)</f>
        <v>5880000</v>
      </c>
      <c r="D18" s="72">
        <f>D5*(($D$15/100)+1)</f>
        <v>2681280</v>
      </c>
      <c r="E18" s="72">
        <f>E5*(($E$15/100)+1)</f>
        <v>669500000</v>
      </c>
      <c r="F18" s="72">
        <f>F5*(($F$15/100)+1)</f>
        <v>66950000</v>
      </c>
      <c r="G18" s="72">
        <f>G5*(($G$15/100)+1)</f>
        <v>761092.93599999999</v>
      </c>
      <c r="H18" s="72">
        <f>H5*(($H$15/100)+1)</f>
        <v>62284.343999999997</v>
      </c>
      <c r="I18" s="72" t="s">
        <v>26</v>
      </c>
      <c r="J18" s="72" t="s">
        <v>26</v>
      </c>
      <c r="K18" s="72">
        <f>K5*(($K$15/100)+1)</f>
        <v>2008500</v>
      </c>
      <c r="L18" s="72">
        <f>L5*(($L$15/100)+1)</f>
        <v>482040000</v>
      </c>
      <c r="N18" s="72" t="s">
        <v>26</v>
      </c>
      <c r="O18" s="72" t="s">
        <v>26</v>
      </c>
      <c r="P18" s="72">
        <f>P5*(($P$15/100)+1)</f>
        <v>964080000</v>
      </c>
      <c r="Q18" s="73" t="str">
        <f>Q5</f>
        <v>n/a</v>
      </c>
      <c r="R18" s="73" t="str">
        <f t="shared" si="1"/>
        <v>n/a</v>
      </c>
      <c r="S18" s="73" t="str">
        <f t="shared" si="1"/>
        <v>n/a</v>
      </c>
      <c r="T18" s="73" t="str">
        <f t="shared" si="1"/>
        <v>n/a</v>
      </c>
      <c r="U18" s="73" t="str">
        <f t="shared" si="1"/>
        <v>n/a</v>
      </c>
      <c r="V18" s="73" t="str">
        <f t="shared" si="1"/>
        <v>n/a</v>
      </c>
      <c r="W18" s="73" t="str">
        <f t="shared" si="1"/>
        <v>n/a</v>
      </c>
      <c r="X18" s="73" t="str">
        <f>X5</f>
        <v>n/a</v>
      </c>
      <c r="Y18" s="72" t="s">
        <v>26</v>
      </c>
      <c r="Z18" s="74">
        <v>300000</v>
      </c>
      <c r="AA18" s="72" t="s">
        <v>26</v>
      </c>
      <c r="AB18" s="72" t="s">
        <v>26</v>
      </c>
      <c r="AC18" s="72" t="s">
        <v>26</v>
      </c>
      <c r="AD18" s="72" t="s">
        <v>26</v>
      </c>
      <c r="AE18" s="72" t="s">
        <v>26</v>
      </c>
      <c r="AF18" s="72" t="s">
        <v>26</v>
      </c>
      <c r="AG18" s="72" t="s">
        <v>26</v>
      </c>
      <c r="AH18" s="72" t="s">
        <v>26</v>
      </c>
      <c r="AI18" s="72" t="s">
        <v>26</v>
      </c>
      <c r="AJ18" s="72" t="s">
        <v>26</v>
      </c>
      <c r="AK18" s="72" t="s">
        <v>26</v>
      </c>
      <c r="AL18" s="72" t="s">
        <v>26</v>
      </c>
      <c r="AM18" s="72" t="s">
        <v>26</v>
      </c>
      <c r="AN18" s="72" t="s">
        <v>26</v>
      </c>
      <c r="AO18" s="72" t="s">
        <v>26</v>
      </c>
      <c r="AP18" s="72" t="s">
        <v>26</v>
      </c>
      <c r="AQ18" s="72" t="s">
        <v>26</v>
      </c>
    </row>
    <row r="19" spans="1:43" s="69" customFormat="1" ht="15.75" thickBot="1" x14ac:dyDescent="0.3">
      <c r="A19" s="68"/>
    </row>
    <row r="21" spans="1:43" ht="15.75" thickBot="1" x14ac:dyDescent="0.3"/>
    <row r="22" spans="1:43" s="62" customFormat="1" x14ac:dyDescent="0.25">
      <c r="A22" s="61" t="s">
        <v>111</v>
      </c>
    </row>
    <row r="23" spans="1:43" s="65" customFormat="1" x14ac:dyDescent="0.25">
      <c r="A23" s="64" t="s">
        <v>96</v>
      </c>
    </row>
    <row r="24" spans="1:43" s="65" customFormat="1" ht="15.75" thickBot="1" x14ac:dyDescent="0.3">
      <c r="A24" s="67"/>
    </row>
    <row r="25" spans="1:43" s="65" customFormat="1" x14ac:dyDescent="0.25">
      <c r="A25" s="67"/>
      <c r="C25" s="75" t="s">
        <v>103</v>
      </c>
      <c r="D25" s="62"/>
      <c r="E25" s="62"/>
      <c r="F25" s="62"/>
      <c r="G25" s="62"/>
      <c r="H25" s="76"/>
    </row>
    <row r="26" spans="1:43" s="65" customFormat="1" x14ac:dyDescent="0.25">
      <c r="A26" s="67"/>
      <c r="C26" s="67"/>
      <c r="D26" s="65" t="s">
        <v>99</v>
      </c>
      <c r="E26" s="65">
        <v>1609.3440000000001</v>
      </c>
      <c r="F26" s="65" t="s">
        <v>98</v>
      </c>
      <c r="H26" s="77"/>
    </row>
    <row r="27" spans="1:43" s="65" customFormat="1" x14ac:dyDescent="0.25">
      <c r="A27" s="67"/>
      <c r="C27" s="67"/>
      <c r="D27" s="65" t="s">
        <v>101</v>
      </c>
      <c r="H27" s="77"/>
    </row>
    <row r="28" spans="1:43" s="65" customFormat="1" x14ac:dyDescent="0.25">
      <c r="A28" s="67"/>
      <c r="C28" s="67"/>
      <c r="D28" s="65">
        <v>2015</v>
      </c>
      <c r="E28" s="65">
        <f>1.109729</f>
        <v>1.109729</v>
      </c>
      <c r="H28" s="77"/>
    </row>
    <row r="29" spans="1:43" s="65" customFormat="1" ht="15.75" thickBot="1" x14ac:dyDescent="0.3">
      <c r="A29" s="67"/>
      <c r="C29" s="68"/>
      <c r="D29" s="78" t="s">
        <v>100</v>
      </c>
      <c r="E29" s="69"/>
      <c r="F29" s="69"/>
      <c r="G29" s="69"/>
      <c r="H29" s="78"/>
    </row>
    <row r="30" spans="1:43" s="65" customFormat="1" x14ac:dyDescent="0.25">
      <c r="A30" s="67"/>
    </row>
    <row r="31" spans="1:43" s="79" customFormat="1" x14ac:dyDescent="0.25">
      <c r="A31" s="79" t="s">
        <v>27</v>
      </c>
      <c r="B31" s="79" t="s">
        <v>92</v>
      </c>
      <c r="C31" s="79" t="s">
        <v>92</v>
      </c>
      <c r="D31" s="79" t="s">
        <v>92</v>
      </c>
      <c r="E31" s="79" t="s">
        <v>95</v>
      </c>
      <c r="F31" s="79" t="s">
        <v>95</v>
      </c>
      <c r="G31" s="79" t="s">
        <v>95</v>
      </c>
      <c r="H31" s="79" t="s">
        <v>95</v>
      </c>
      <c r="I31" s="79" t="s">
        <v>95</v>
      </c>
      <c r="J31" s="79" t="s">
        <v>95</v>
      </c>
      <c r="K31" s="79" t="s">
        <v>95</v>
      </c>
      <c r="L31" s="79" t="s">
        <v>95</v>
      </c>
      <c r="N31" s="79" t="s">
        <v>43</v>
      </c>
      <c r="O31" s="79" t="s">
        <v>43</v>
      </c>
      <c r="P31" s="79" t="s">
        <v>95</v>
      </c>
      <c r="Q31" s="79" t="s">
        <v>92</v>
      </c>
      <c r="R31" s="79" t="s">
        <v>92</v>
      </c>
      <c r="S31" s="79" t="s">
        <v>92</v>
      </c>
      <c r="T31" s="79" t="s">
        <v>92</v>
      </c>
      <c r="U31" s="79" t="s">
        <v>92</v>
      </c>
      <c r="V31" s="79" t="s">
        <v>92</v>
      </c>
      <c r="W31" s="79" t="s">
        <v>92</v>
      </c>
      <c r="X31" s="79" t="s">
        <v>43</v>
      </c>
      <c r="Y31" s="79" t="s">
        <v>95</v>
      </c>
      <c r="Z31" s="79" t="s">
        <v>95</v>
      </c>
      <c r="AA31" s="79" t="s">
        <v>43</v>
      </c>
      <c r="AB31" s="79" t="s">
        <v>43</v>
      </c>
      <c r="AC31" s="79" t="s">
        <v>43</v>
      </c>
      <c r="AD31" s="79" t="s">
        <v>43</v>
      </c>
      <c r="AE31" s="79" t="s">
        <v>43</v>
      </c>
      <c r="AF31" s="79" t="s">
        <v>43</v>
      </c>
      <c r="AG31" s="79" t="s">
        <v>43</v>
      </c>
      <c r="AH31" s="79" t="s">
        <v>43</v>
      </c>
      <c r="AI31" s="79" t="s">
        <v>43</v>
      </c>
      <c r="AJ31" s="79" t="s">
        <v>43</v>
      </c>
      <c r="AK31" s="79" t="s">
        <v>43</v>
      </c>
      <c r="AL31" s="79" t="s">
        <v>43</v>
      </c>
      <c r="AM31" s="79" t="s">
        <v>43</v>
      </c>
      <c r="AN31" s="79" t="s">
        <v>43</v>
      </c>
      <c r="AO31" s="79" t="s">
        <v>43</v>
      </c>
      <c r="AP31" s="79" t="s">
        <v>43</v>
      </c>
      <c r="AQ31" s="79" t="s">
        <v>43</v>
      </c>
    </row>
    <row r="32" spans="1:43" s="72" customFormat="1" x14ac:dyDescent="0.25">
      <c r="A32" s="72" t="s">
        <v>29</v>
      </c>
      <c r="B32" s="80">
        <f>(B16/$E$26)/$E$28</f>
        <v>5343.1358802289315</v>
      </c>
      <c r="C32" s="80">
        <f t="shared" ref="C32:D32" si="3">(C16/$E$26)/$E$28</f>
        <v>1442.3968280514925</v>
      </c>
      <c r="D32" s="80">
        <f t="shared" si="3"/>
        <v>800.94936103904399</v>
      </c>
      <c r="E32" s="80">
        <f>E16/$E$28</f>
        <v>442420326.64431292</v>
      </c>
      <c r="F32" s="80">
        <f t="shared" ref="F32:L32" si="4">F16/$E$28</f>
        <v>32176023.755950026</v>
      </c>
      <c r="G32" s="80">
        <f t="shared" si="4"/>
        <v>201757.75136692534</v>
      </c>
      <c r="H32" s="80">
        <f t="shared" si="4"/>
        <v>35565.727007825037</v>
      </c>
      <c r="I32" s="80">
        <f t="shared" si="4"/>
        <v>965280.7126785008</v>
      </c>
      <c r="J32" s="80">
        <f t="shared" si="4"/>
        <v>482640.3563392504</v>
      </c>
      <c r="K32" s="80">
        <f t="shared" si="4"/>
        <v>1117312.4249253648</v>
      </c>
      <c r="L32" s="80">
        <f t="shared" si="4"/>
        <v>197078145.50519392</v>
      </c>
      <c r="N32" s="72">
        <f>N16</f>
        <v>559.54340000000002</v>
      </c>
      <c r="O32" s="72">
        <f>O16</f>
        <v>559.54340000000002</v>
      </c>
      <c r="P32" s="80">
        <f>P16/$E$28</f>
        <v>394156291.01038784</v>
      </c>
      <c r="Q32" s="80">
        <f>Q16/100</f>
        <v>8433.4220000000005</v>
      </c>
      <c r="R32" s="80">
        <f>R16*1000000/1000</f>
        <v>900</v>
      </c>
      <c r="S32" s="80">
        <f t="shared" ref="S32:W32" si="5">S16*1000000/1000</f>
        <v>600</v>
      </c>
      <c r="T32" s="80">
        <f t="shared" si="5"/>
        <v>250</v>
      </c>
      <c r="U32" s="80">
        <f t="shared" si="5"/>
        <v>225</v>
      </c>
      <c r="V32" s="80">
        <f t="shared" si="5"/>
        <v>175</v>
      </c>
      <c r="W32" s="80">
        <f t="shared" si="5"/>
        <v>75</v>
      </c>
      <c r="X32" s="80">
        <f>X3</f>
        <v>1197</v>
      </c>
      <c r="Y32" s="80">
        <f>Y16/$E$28</f>
        <v>2413201.7816962521</v>
      </c>
      <c r="Z32" s="80">
        <f>Z16/$E$28</f>
        <v>148865.17338917882</v>
      </c>
      <c r="AA32" s="80">
        <f>AA16</f>
        <v>658.46820000000002</v>
      </c>
      <c r="AB32" s="80">
        <f t="shared" ref="AA32:AQ32" si="6">AA16</f>
        <v>658.46820000000002</v>
      </c>
      <c r="AC32" s="80">
        <f t="shared" si="6"/>
        <v>658.46820000000002</v>
      </c>
      <c r="AD32" s="80">
        <f t="shared" si="6"/>
        <v>658.46820000000002</v>
      </c>
      <c r="AE32" s="80">
        <f t="shared" si="6"/>
        <v>658.46820000000002</v>
      </c>
      <c r="AF32" s="80">
        <f t="shared" si="6"/>
        <v>658.46820000000002</v>
      </c>
      <c r="AG32" s="80">
        <f t="shared" si="6"/>
        <v>658.46820000000002</v>
      </c>
      <c r="AH32" s="80">
        <f t="shared" si="6"/>
        <v>658.46820000000002</v>
      </c>
      <c r="AI32" s="80">
        <f t="shared" si="6"/>
        <v>658.46820000000002</v>
      </c>
      <c r="AJ32" s="80">
        <f t="shared" si="6"/>
        <v>658.46820000000002</v>
      </c>
      <c r="AK32" s="80">
        <f t="shared" si="6"/>
        <v>658.46820000000002</v>
      </c>
      <c r="AL32" s="80">
        <f t="shared" si="6"/>
        <v>658.46820000000002</v>
      </c>
      <c r="AM32" s="80">
        <f t="shared" si="6"/>
        <v>658.46820000000002</v>
      </c>
      <c r="AN32" s="80">
        <f t="shared" si="6"/>
        <v>658.46820000000002</v>
      </c>
      <c r="AO32" s="80">
        <f t="shared" si="6"/>
        <v>658.46820000000002</v>
      </c>
      <c r="AP32" s="80">
        <f t="shared" si="6"/>
        <v>658.46820000000002</v>
      </c>
      <c r="AQ32" s="80">
        <f t="shared" si="6"/>
        <v>658.46820000000002</v>
      </c>
    </row>
    <row r="33" spans="1:43" s="72" customFormat="1" x14ac:dyDescent="0.25">
      <c r="A33" s="72" t="s">
        <v>30</v>
      </c>
      <c r="B33" s="80">
        <f t="shared" ref="B33:D34" si="7">(B17/$E$26)/$E$28</f>
        <v>724.32618619339962</v>
      </c>
      <c r="C33" s="80">
        <f t="shared" si="7"/>
        <v>214.00546410259537</v>
      </c>
      <c r="D33" s="80">
        <f>(D17/$E$26)/$E$28</f>
        <v>98.771752662736318</v>
      </c>
      <c r="E33" s="80">
        <f t="shared" ref="E33:L34" si="8">E17/$E$28</f>
        <v>120660089.0848126</v>
      </c>
      <c r="F33" s="80">
        <f t="shared" si="8"/>
        <v>12066008.908481261</v>
      </c>
      <c r="G33" s="80">
        <f t="shared" si="8"/>
        <v>35488.851782732541</v>
      </c>
      <c r="H33" s="80">
        <f t="shared" si="8"/>
        <v>16924.860033395544</v>
      </c>
      <c r="I33" s="80">
        <f>I32*0.75</f>
        <v>723960.53450887557</v>
      </c>
      <c r="J33" s="80">
        <f>J32*0.75</f>
        <v>361980.26725443779</v>
      </c>
      <c r="K33" s="80">
        <f t="shared" si="8"/>
        <v>36198.026725443779</v>
      </c>
      <c r="L33" s="80">
        <f t="shared" si="8"/>
        <v>36198026.72544378</v>
      </c>
      <c r="N33" s="72">
        <f>N32*0.75</f>
        <v>419.65755000000001</v>
      </c>
      <c r="O33" s="72">
        <f>O32*0.75</f>
        <v>419.65755000000001</v>
      </c>
      <c r="P33" s="80">
        <f t="shared" ref="P33:P34" si="9">P17/$E$28</f>
        <v>72396053.450887561</v>
      </c>
      <c r="Q33" s="80">
        <f>Q32*0.75</f>
        <v>6325.0665000000008</v>
      </c>
      <c r="R33" s="80">
        <f>R32*0.75</f>
        <v>675</v>
      </c>
      <c r="S33" s="80">
        <f t="shared" ref="S33:W33" si="10">S32*0.75</f>
        <v>450</v>
      </c>
      <c r="T33" s="80">
        <f t="shared" si="10"/>
        <v>187.5</v>
      </c>
      <c r="U33" s="80">
        <f t="shared" si="10"/>
        <v>168.75</v>
      </c>
      <c r="V33" s="80">
        <f t="shared" si="10"/>
        <v>131.25</v>
      </c>
      <c r="W33" s="80">
        <f t="shared" si="10"/>
        <v>56.25</v>
      </c>
      <c r="X33" s="80">
        <f>X32*0.75</f>
        <v>897.75</v>
      </c>
      <c r="Y33" s="80">
        <f>Y32*0.75</f>
        <v>1809901.3362721889</v>
      </c>
      <c r="Z33" s="80">
        <f>Z17/$E$28</f>
        <v>90112.090429284988</v>
      </c>
      <c r="AA33" s="80">
        <f t="shared" ref="AA33" si="11">AA32*0.75</f>
        <v>493.85115000000002</v>
      </c>
      <c r="AB33" s="80">
        <f t="shared" ref="AB33:AQ33" si="12">AB32*0.75</f>
        <v>493.85115000000002</v>
      </c>
      <c r="AC33" s="80">
        <f t="shared" si="12"/>
        <v>493.85115000000002</v>
      </c>
      <c r="AD33" s="80">
        <f t="shared" si="12"/>
        <v>493.85115000000002</v>
      </c>
      <c r="AE33" s="80">
        <f t="shared" si="12"/>
        <v>493.85115000000002</v>
      </c>
      <c r="AF33" s="80">
        <f t="shared" si="12"/>
        <v>493.85115000000002</v>
      </c>
      <c r="AG33" s="80">
        <f t="shared" si="12"/>
        <v>493.85115000000002</v>
      </c>
      <c r="AH33" s="80">
        <f t="shared" si="12"/>
        <v>493.85115000000002</v>
      </c>
      <c r="AI33" s="80">
        <f t="shared" si="12"/>
        <v>493.85115000000002</v>
      </c>
      <c r="AJ33" s="80">
        <f t="shared" si="12"/>
        <v>493.85115000000002</v>
      </c>
      <c r="AK33" s="80">
        <f t="shared" si="12"/>
        <v>493.85115000000002</v>
      </c>
      <c r="AL33" s="80">
        <f t="shared" si="12"/>
        <v>493.85115000000002</v>
      </c>
      <c r="AM33" s="80">
        <f t="shared" si="12"/>
        <v>493.85115000000002</v>
      </c>
      <c r="AN33" s="80">
        <f t="shared" si="12"/>
        <v>493.85115000000002</v>
      </c>
      <c r="AO33" s="80">
        <f t="shared" si="12"/>
        <v>493.85115000000002</v>
      </c>
      <c r="AP33" s="80">
        <f t="shared" si="12"/>
        <v>493.85115000000002</v>
      </c>
      <c r="AQ33" s="80">
        <f t="shared" si="12"/>
        <v>493.85115000000002</v>
      </c>
    </row>
    <row r="34" spans="1:43" s="72" customFormat="1" x14ac:dyDescent="0.25">
      <c r="A34" s="72" t="s">
        <v>94</v>
      </c>
      <c r="B34" s="80">
        <f t="shared" si="7"/>
        <v>15145.002074952903</v>
      </c>
      <c r="C34" s="80">
        <f t="shared" si="7"/>
        <v>3292.391755424544</v>
      </c>
      <c r="D34" s="80">
        <f t="shared" si="7"/>
        <v>1501.330640473592</v>
      </c>
      <c r="E34" s="80">
        <f t="shared" si="8"/>
        <v>603300445.42406297</v>
      </c>
      <c r="F34" s="80">
        <f t="shared" si="8"/>
        <v>60330044.542406298</v>
      </c>
      <c r="G34" s="80">
        <f t="shared" si="8"/>
        <v>685836.75473922014</v>
      </c>
      <c r="H34" s="80">
        <f t="shared" si="8"/>
        <v>56125.724388566938</v>
      </c>
      <c r="I34" s="80">
        <f>I32*1.25</f>
        <v>1206600.890848126</v>
      </c>
      <c r="J34" s="80">
        <f>J32*1.25</f>
        <v>603300.44542406301</v>
      </c>
      <c r="K34" s="80">
        <f t="shared" si="8"/>
        <v>1809901.3362721889</v>
      </c>
      <c r="L34" s="80">
        <f>L18/$E$28</f>
        <v>434376320.70532537</v>
      </c>
      <c r="N34" s="72">
        <f>N32*1.25</f>
        <v>699.42925000000002</v>
      </c>
      <c r="O34" s="72">
        <f>O32*1.25</f>
        <v>699.42925000000002</v>
      </c>
      <c r="P34" s="80">
        <f t="shared" si="9"/>
        <v>868752641.41065073</v>
      </c>
      <c r="Q34" s="80">
        <f>Q32*1.25</f>
        <v>10541.7775</v>
      </c>
      <c r="R34" s="80">
        <f>R32*1.25</f>
        <v>1125</v>
      </c>
      <c r="S34" s="80">
        <f t="shared" ref="S34:W34" si="13">S32*1.25</f>
        <v>750</v>
      </c>
      <c r="T34" s="80">
        <f t="shared" si="13"/>
        <v>312.5</v>
      </c>
      <c r="U34" s="80">
        <f t="shared" si="13"/>
        <v>281.25</v>
      </c>
      <c r="V34" s="80">
        <f t="shared" si="13"/>
        <v>218.75</v>
      </c>
      <c r="W34" s="80">
        <f t="shared" si="13"/>
        <v>93.75</v>
      </c>
      <c r="X34" s="80">
        <f>X32*1.25</f>
        <v>1496.25</v>
      </c>
      <c r="Y34" s="80">
        <f>Y32*1.25</f>
        <v>3016502.2271203152</v>
      </c>
      <c r="Z34" s="80">
        <f>Z18/$E$28</f>
        <v>270336.27128785499</v>
      </c>
      <c r="AA34" s="80">
        <f t="shared" ref="AA34" si="14">AA32*1.25</f>
        <v>823.08525000000009</v>
      </c>
      <c r="AB34" s="80">
        <f t="shared" ref="AB34:AQ34" si="15">AB32*1.25</f>
        <v>823.08525000000009</v>
      </c>
      <c r="AC34" s="80">
        <f t="shared" si="15"/>
        <v>823.08525000000009</v>
      </c>
      <c r="AD34" s="80">
        <f t="shared" si="15"/>
        <v>823.08525000000009</v>
      </c>
      <c r="AE34" s="80">
        <f t="shared" si="15"/>
        <v>823.08525000000009</v>
      </c>
      <c r="AF34" s="80">
        <f t="shared" si="15"/>
        <v>823.08525000000009</v>
      </c>
      <c r="AG34" s="80">
        <f t="shared" si="15"/>
        <v>823.08525000000009</v>
      </c>
      <c r="AH34" s="80">
        <f t="shared" si="15"/>
        <v>823.08525000000009</v>
      </c>
      <c r="AI34" s="80">
        <f t="shared" si="15"/>
        <v>823.08525000000009</v>
      </c>
      <c r="AJ34" s="80">
        <f t="shared" si="15"/>
        <v>823.08525000000009</v>
      </c>
      <c r="AK34" s="80">
        <f t="shared" si="15"/>
        <v>823.08525000000009</v>
      </c>
      <c r="AL34" s="80">
        <f t="shared" si="15"/>
        <v>823.08525000000009</v>
      </c>
      <c r="AM34" s="80">
        <f t="shared" si="15"/>
        <v>823.08525000000009</v>
      </c>
      <c r="AN34" s="80">
        <f t="shared" si="15"/>
        <v>823.08525000000009</v>
      </c>
      <c r="AO34" s="80">
        <f t="shared" si="15"/>
        <v>823.08525000000009</v>
      </c>
      <c r="AP34" s="80">
        <f t="shared" si="15"/>
        <v>823.08525000000009</v>
      </c>
      <c r="AQ34" s="80">
        <f t="shared" si="15"/>
        <v>823.08525000000009</v>
      </c>
    </row>
    <row r="35" spans="1:43" s="69" customFormat="1" ht="15.75" thickBot="1" x14ac:dyDescent="0.3">
      <c r="A35" s="6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D3" sqref="D3"/>
    </sheetView>
  </sheetViews>
  <sheetFormatPr defaultRowHeight="15" x14ac:dyDescent="0.25"/>
  <cols>
    <col min="1" max="1" width="9.140625" style="18"/>
  </cols>
  <sheetData>
    <row r="1" spans="2:12" s="18" customFormat="1" ht="15.75" thickBot="1" x14ac:dyDescent="0.3"/>
    <row r="2" spans="2:12" s="18" customFormat="1" x14ac:dyDescent="0.25">
      <c r="B2" s="44" t="s">
        <v>70</v>
      </c>
      <c r="C2" s="37"/>
      <c r="D2" s="37"/>
      <c r="E2" s="37"/>
      <c r="F2" s="37"/>
      <c r="G2" s="37"/>
      <c r="H2" s="38"/>
    </row>
    <row r="3" spans="2:12" x14ac:dyDescent="0.25">
      <c r="B3" s="39"/>
      <c r="C3" s="19" t="s">
        <v>61</v>
      </c>
      <c r="D3" s="19" t="s">
        <v>63</v>
      </c>
      <c r="E3" s="19"/>
      <c r="F3" s="19"/>
      <c r="G3" s="19"/>
      <c r="H3" s="40"/>
    </row>
    <row r="4" spans="2:12" x14ac:dyDescent="0.25">
      <c r="B4" s="39" t="s">
        <v>66</v>
      </c>
      <c r="C4" s="46">
        <f>4518+12608+4413</f>
        <v>21539</v>
      </c>
      <c r="D4" s="19">
        <f>7460+20802+7302</f>
        <v>35564</v>
      </c>
      <c r="E4" s="19"/>
      <c r="F4" s="19"/>
      <c r="G4" s="19"/>
      <c r="H4" s="40"/>
    </row>
    <row r="5" spans="2:12" x14ac:dyDescent="0.25">
      <c r="B5" s="39" t="s">
        <v>67</v>
      </c>
      <c r="C5" s="19">
        <f>7932+22063+7722</f>
        <v>37717</v>
      </c>
      <c r="D5" s="19">
        <f>13080+36404+12765</f>
        <v>62249</v>
      </c>
      <c r="E5" s="46"/>
      <c r="F5" s="19"/>
      <c r="G5" s="19"/>
      <c r="H5" s="40"/>
    </row>
    <row r="6" spans="2:12" x14ac:dyDescent="0.25">
      <c r="B6" s="39" t="s">
        <v>68</v>
      </c>
      <c r="C6" s="19">
        <f>9035+25215+8825</f>
        <v>43075</v>
      </c>
      <c r="D6" s="46">
        <f>14919+41650+14858</f>
        <v>71427</v>
      </c>
      <c r="E6" s="19"/>
      <c r="F6" s="19" t="s">
        <v>62</v>
      </c>
      <c r="G6" s="19">
        <f>(C4+D4+C5+D5+C6+D6)/6</f>
        <v>45261.833333333336</v>
      </c>
      <c r="H6" s="40"/>
    </row>
    <row r="7" spans="2:12" x14ac:dyDescent="0.25">
      <c r="B7" s="39"/>
      <c r="C7" s="19"/>
      <c r="D7" s="19"/>
      <c r="E7" s="19"/>
      <c r="F7" s="19"/>
      <c r="G7" s="19"/>
      <c r="H7" s="40"/>
    </row>
    <row r="8" spans="2:12" x14ac:dyDescent="0.25">
      <c r="B8" s="39"/>
      <c r="C8" s="19"/>
      <c r="D8" s="19"/>
      <c r="E8" s="19"/>
      <c r="F8" s="19"/>
      <c r="G8" s="19"/>
      <c r="H8" s="40"/>
    </row>
    <row r="9" spans="2:12" x14ac:dyDescent="0.25">
      <c r="B9" s="39" t="s">
        <v>64</v>
      </c>
      <c r="C9" s="19"/>
      <c r="D9" s="19"/>
      <c r="E9" s="19"/>
      <c r="F9" s="19"/>
      <c r="G9" s="19"/>
      <c r="H9" s="40"/>
    </row>
    <row r="10" spans="2:12" ht="15.75" thickBot="1" x14ac:dyDescent="0.3">
      <c r="B10" s="41"/>
      <c r="C10" s="42"/>
      <c r="D10" s="42"/>
      <c r="E10" s="42"/>
      <c r="F10" s="42"/>
      <c r="G10" s="42"/>
      <c r="H10" s="43"/>
    </row>
    <row r="13" spans="2:12" ht="15.75" thickBot="1" x14ac:dyDescent="0.3"/>
    <row r="14" spans="2:12" x14ac:dyDescent="0.25">
      <c r="B14" s="44" t="s">
        <v>65</v>
      </c>
      <c r="C14" s="37"/>
      <c r="D14" s="37"/>
      <c r="E14" s="37"/>
      <c r="F14" s="37"/>
      <c r="G14" s="37"/>
      <c r="H14" s="37"/>
      <c r="I14" s="37"/>
      <c r="J14" s="37"/>
      <c r="K14" s="37"/>
      <c r="L14" s="38"/>
    </row>
    <row r="15" spans="2:12" x14ac:dyDescent="0.25">
      <c r="B15" s="39"/>
      <c r="C15" s="19" t="s">
        <v>71</v>
      </c>
      <c r="D15" s="19" t="s">
        <v>72</v>
      </c>
      <c r="E15" s="19" t="s">
        <v>73</v>
      </c>
      <c r="F15" s="19" t="s">
        <v>74</v>
      </c>
      <c r="G15" s="19" t="s">
        <v>75</v>
      </c>
      <c r="H15" s="19" t="s">
        <v>76</v>
      </c>
      <c r="I15" s="19"/>
      <c r="J15" s="19"/>
      <c r="K15" s="19"/>
      <c r="L15" s="40"/>
    </row>
    <row r="16" spans="2:12" x14ac:dyDescent="0.25">
      <c r="B16" s="39" t="s">
        <v>66</v>
      </c>
      <c r="C16" s="19">
        <f>11692+17539+4232+11701</f>
        <v>45164</v>
      </c>
      <c r="D16" s="19">
        <f>51752+77628+10332+46116</f>
        <v>185828</v>
      </c>
      <c r="E16" s="19">
        <f>17634+26451+8239+17895</f>
        <v>70219</v>
      </c>
      <c r="F16" s="19">
        <f>80312+120468+20244+66764</f>
        <v>287788</v>
      </c>
      <c r="G16" s="19">
        <f>19556+29333+4587+17465</f>
        <v>70941</v>
      </c>
      <c r="H16" s="19">
        <f>38720+58082+6663+34580</f>
        <v>138045</v>
      </c>
      <c r="I16" s="19"/>
      <c r="J16" s="19"/>
      <c r="K16" s="19"/>
      <c r="L16" s="40"/>
    </row>
    <row r="17" spans="2:12" x14ac:dyDescent="0.25">
      <c r="B17" s="39" t="s">
        <v>67</v>
      </c>
      <c r="C17" s="19">
        <f>17634+26451+4232+22025</f>
        <v>70342</v>
      </c>
      <c r="D17" s="19">
        <f>76287+114430+10332+99302</f>
        <v>300351</v>
      </c>
      <c r="E17" s="19">
        <f>26349+39677+8239+30973</f>
        <v>105238</v>
      </c>
      <c r="F17" s="19">
        <f>120564+180846+20244+120451</f>
        <v>442105</v>
      </c>
      <c r="G17" s="19">
        <f>32030+48045+5734+41996</f>
        <v>127805</v>
      </c>
      <c r="H17" s="19">
        <f>57077+85616+8328+74837</f>
        <v>225858</v>
      </c>
      <c r="I17" s="19"/>
      <c r="J17" s="19" t="s">
        <v>78</v>
      </c>
      <c r="K17" s="19">
        <f>MAX(C16:H19)</f>
        <v>872813</v>
      </c>
      <c r="L17" s="40"/>
    </row>
    <row r="18" spans="2:12" s="18" customFormat="1" x14ac:dyDescent="0.25">
      <c r="B18" s="39" t="s">
        <v>69</v>
      </c>
      <c r="C18" s="19">
        <f>19934+29901+8345+29597</f>
        <v>87777</v>
      </c>
      <c r="D18" s="19">
        <f>87979+131969+53358+132151</f>
        <v>405457</v>
      </c>
      <c r="E18" s="19">
        <f>30860+46290+16457+39233</f>
        <v>132840</v>
      </c>
      <c r="F18" s="19">
        <f>136473+204709+106330+174137</f>
        <v>621649</v>
      </c>
      <c r="G18" s="19">
        <f>36969+55480+9046+55609</f>
        <v>157104</v>
      </c>
      <c r="H18" s="19">
        <f>65826+98738+24984+99095</f>
        <v>288643</v>
      </c>
      <c r="I18" s="19"/>
      <c r="J18" s="19" t="s">
        <v>77</v>
      </c>
      <c r="K18" s="19">
        <f>MIN(C16:H19)</f>
        <v>45164</v>
      </c>
      <c r="L18" s="40"/>
    </row>
    <row r="19" spans="2:12" x14ac:dyDescent="0.25">
      <c r="B19" s="39" t="s">
        <v>68</v>
      </c>
      <c r="C19" s="19">
        <f>25684+38527+8345+46116</f>
        <v>118672</v>
      </c>
      <c r="D19" s="19">
        <f>113855+170782+53358+242277</f>
        <v>580272</v>
      </c>
      <c r="E19" s="19">
        <f>40635+60963+16457+59193</f>
        <v>177248</v>
      </c>
      <c r="F19" s="19">
        <f>176724+265087+106330+324672</f>
        <v>872813</v>
      </c>
      <c r="G19" s="19">
        <f>47804+71705+9046+101950</f>
        <v>230505</v>
      </c>
      <c r="H19" s="19">
        <f>85186+127779+24984+181674</f>
        <v>419623</v>
      </c>
      <c r="I19" s="19"/>
      <c r="J19" s="19" t="s">
        <v>62</v>
      </c>
      <c r="K19" s="19">
        <f>SUM(C16:H19)/COUNT(C16:H19)</f>
        <v>256761.95833333334</v>
      </c>
      <c r="L19" s="40"/>
    </row>
    <row r="20" spans="2:12" x14ac:dyDescent="0.25">
      <c r="B20" s="39"/>
      <c r="C20" s="19"/>
      <c r="D20" s="19"/>
      <c r="E20" s="19"/>
      <c r="F20" s="19"/>
      <c r="G20" s="19"/>
      <c r="H20" s="19"/>
      <c r="I20" s="19"/>
      <c r="J20" s="19"/>
      <c r="K20" s="19"/>
      <c r="L20" s="40"/>
    </row>
    <row r="21" spans="2:12" x14ac:dyDescent="0.25">
      <c r="B21" s="39"/>
      <c r="C21" s="19"/>
      <c r="D21" s="19"/>
      <c r="E21" s="19"/>
      <c r="F21" s="19"/>
      <c r="G21" s="19"/>
      <c r="H21" s="19"/>
      <c r="I21" s="19"/>
      <c r="J21" s="19"/>
      <c r="K21" s="19"/>
      <c r="L21" s="40"/>
    </row>
    <row r="22" spans="2:12" x14ac:dyDescent="0.25">
      <c r="B22" s="39" t="s">
        <v>64</v>
      </c>
      <c r="C22" s="19"/>
      <c r="D22" s="19"/>
      <c r="E22" s="19"/>
      <c r="F22" s="19"/>
      <c r="G22" s="19"/>
      <c r="H22" s="19"/>
      <c r="I22" s="19"/>
      <c r="J22" s="19"/>
      <c r="K22" s="19"/>
      <c r="L22" s="40"/>
    </row>
    <row r="23" spans="2:12" ht="15.75" thickBot="1" x14ac:dyDescent="0.3"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flooding_curves</vt:lpstr>
      <vt:lpstr>correction_without_inflation</vt:lpstr>
      <vt:lpstr>correction_reference_year</vt:lpstr>
      <vt:lpstr>power_points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Nirandjan, S.</dc:creator>
  <cp:lastModifiedBy>Nirandjan, S.</cp:lastModifiedBy>
  <dcterms:created xsi:type="dcterms:W3CDTF">2020-12-16T14:54:28Z</dcterms:created>
  <dcterms:modified xsi:type="dcterms:W3CDTF">2021-07-30T18:36:46Z</dcterms:modified>
</cp:coreProperties>
</file>