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-15" windowWidth="20550" windowHeight="948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8" i="3"/>
  <c r="E4"/>
  <c r="E5"/>
  <c r="E6"/>
  <c r="E7"/>
  <c r="Z73" i="2"/>
  <c r="Z72"/>
  <c r="Z71"/>
  <c r="Z70"/>
  <c r="Z69"/>
  <c r="AA18"/>
  <c r="AA17"/>
  <c r="AA16"/>
  <c r="AA15"/>
  <c r="AA14"/>
  <c r="Z8"/>
  <c r="Z7"/>
  <c r="Z6"/>
  <c r="Z5"/>
  <c r="Z4"/>
  <c r="N13" i="1"/>
  <c r="M13"/>
  <c r="E32" i="3"/>
  <c r="E28"/>
  <c r="O6" i="2"/>
  <c r="O3"/>
  <c r="O4"/>
  <c r="O5"/>
  <c r="O7"/>
  <c r="E47" i="3"/>
  <c r="E48"/>
  <c r="E49"/>
  <c r="E50"/>
  <c r="E46"/>
  <c r="E38"/>
  <c r="E39"/>
  <c r="E40"/>
  <c r="E41"/>
  <c r="E37"/>
  <c r="E29"/>
  <c r="E30"/>
  <c r="E31"/>
  <c r="E17"/>
  <c r="E18"/>
  <c r="E19"/>
  <c r="E20"/>
  <c r="E21"/>
  <c r="I16" i="2"/>
  <c r="I17"/>
  <c r="I18"/>
  <c r="I19"/>
  <c r="I20"/>
  <c r="AF5" i="1"/>
  <c r="AF6"/>
  <c r="AF7"/>
  <c r="AF8"/>
  <c r="AF4"/>
  <c r="Q5"/>
  <c r="Q6"/>
  <c r="Q7"/>
  <c r="Q8"/>
  <c r="Q4"/>
  <c r="T8"/>
  <c r="T7"/>
  <c r="G8"/>
  <c r="J8" s="1"/>
  <c r="G7"/>
  <c r="G6"/>
  <c r="G4"/>
  <c r="H3" i="2"/>
  <c r="F3"/>
  <c r="F4"/>
  <c r="H4" s="1"/>
  <c r="F5"/>
  <c r="H5" s="1"/>
  <c r="F6"/>
  <c r="H6" s="1"/>
  <c r="F7"/>
  <c r="H7" s="1"/>
  <c r="AD4" i="1"/>
  <c r="J7" i="2"/>
  <c r="J6"/>
  <c r="J5"/>
  <c r="J4"/>
  <c r="J5" i="1"/>
  <c r="J4"/>
  <c r="Q9"/>
  <c r="AB9"/>
  <c r="Y9"/>
  <c r="Z9"/>
  <c r="W9"/>
  <c r="X9"/>
  <c r="C9"/>
  <c r="AD5"/>
  <c r="AD6"/>
  <c r="AD7"/>
  <c r="AD8"/>
  <c r="J3" i="2"/>
  <c r="AB5" i="1"/>
  <c r="AB6"/>
  <c r="AB7"/>
  <c r="AB8"/>
  <c r="AB4"/>
  <c r="P16"/>
  <c r="X7"/>
  <c r="X8"/>
  <c r="X6"/>
  <c r="X5"/>
  <c r="X4"/>
  <c r="T6"/>
  <c r="T4"/>
  <c r="M5"/>
  <c r="O5" s="1"/>
  <c r="M6"/>
  <c r="M7"/>
  <c r="M8"/>
  <c r="M4"/>
  <c r="K4"/>
  <c r="K5"/>
  <c r="N5" s="1"/>
  <c r="P5" s="1"/>
  <c r="R5" s="1"/>
  <c r="S5" s="1"/>
  <c r="K6"/>
  <c r="N6" s="1"/>
  <c r="K7"/>
  <c r="N7" s="1"/>
  <c r="K8"/>
  <c r="N8" s="1"/>
  <c r="J7"/>
  <c r="J6"/>
  <c r="G5"/>
  <c r="G16"/>
  <c r="H16" s="1"/>
  <c r="H17" s="1"/>
  <c r="G14"/>
  <c r="G13"/>
  <c r="B4" i="2"/>
  <c r="B5"/>
  <c r="B6"/>
  <c r="B7"/>
  <c r="B3"/>
  <c r="C5" i="1"/>
  <c r="C6"/>
  <c r="C7"/>
  <c r="C8"/>
  <c r="C4"/>
  <c r="O7" l="1"/>
  <c r="P7" s="1"/>
  <c r="AD9"/>
  <c r="T5"/>
  <c r="O4"/>
  <c r="P4" s="1"/>
  <c r="O8"/>
  <c r="P8" s="1"/>
  <c r="R8" s="1"/>
  <c r="S8" s="1"/>
  <c r="O6"/>
  <c r="P6" s="1"/>
  <c r="R6" s="1"/>
  <c r="S6" s="1"/>
  <c r="G17"/>
  <c r="N4"/>
  <c r="U8" l="1"/>
  <c r="R7"/>
  <c r="S7" s="1"/>
  <c r="U7"/>
  <c r="U6"/>
  <c r="R4"/>
  <c r="S4" s="1"/>
  <c r="S9" s="1"/>
  <c r="P9"/>
  <c r="U4"/>
  <c r="T9"/>
  <c r="U5"/>
  <c r="U9" s="1"/>
</calcChain>
</file>

<file path=xl/sharedStrings.xml><?xml version="1.0" encoding="utf-8"?>
<sst xmlns="http://schemas.openxmlformats.org/spreadsheetml/2006/main" count="173" uniqueCount="80">
  <si>
    <t>CENTRAL BANK OF INDIA-EVA ANALYSIS</t>
  </si>
  <si>
    <t>Year</t>
  </si>
  <si>
    <t>EBIT</t>
  </si>
  <si>
    <t>NOPAT=EBIT(1-t)</t>
  </si>
  <si>
    <t>Equity capital</t>
  </si>
  <si>
    <t>TVC</t>
  </si>
  <si>
    <t>Borrowings</t>
  </si>
  <si>
    <t>Avg Borrowings</t>
  </si>
  <si>
    <t>EBT</t>
  </si>
  <si>
    <t>Cost Of Debt (kd)=Interest/AvgBorrowings*(1-t)</t>
  </si>
  <si>
    <t>Equity Capital/TVC</t>
  </si>
  <si>
    <t>Borrowings/TVC</t>
  </si>
  <si>
    <t>WACC=E/TVC*ke+B/TVC*kd</t>
  </si>
  <si>
    <t>Avg  TVC</t>
  </si>
  <si>
    <t>Interest</t>
  </si>
  <si>
    <t>NW</t>
  </si>
  <si>
    <t>Borrowing</t>
  </si>
  <si>
    <t>E/TVC*ke</t>
  </si>
  <si>
    <t>B/TVC*kd</t>
  </si>
  <si>
    <t>WACC*Avg TVC</t>
  </si>
  <si>
    <t>EVA=NOPAT-(WACC*AVG TVC)</t>
  </si>
  <si>
    <t>Cost Of Equity(ke)</t>
  </si>
  <si>
    <t>TVC=NW+Borr</t>
  </si>
  <si>
    <t>ROIC=NOPAT/Avg TVC</t>
  </si>
  <si>
    <t>EVA%=ROIC-WACC</t>
  </si>
  <si>
    <t>PAT</t>
  </si>
  <si>
    <t>ROA=PAT/Tot asset</t>
  </si>
  <si>
    <t>Tot Asset</t>
  </si>
  <si>
    <t>EPS</t>
  </si>
  <si>
    <t>Debt/Equity</t>
  </si>
  <si>
    <t>debt</t>
  </si>
  <si>
    <t>Equity</t>
  </si>
  <si>
    <t>Debt/equity</t>
  </si>
  <si>
    <t>Net Sales</t>
  </si>
  <si>
    <t>ROS=NOPAT/Net Sales</t>
  </si>
  <si>
    <t>Avg Equity</t>
  </si>
  <si>
    <t>Avg if Equity</t>
  </si>
  <si>
    <t>Market Capital</t>
  </si>
  <si>
    <t>ROE=PAT/Avg Equity</t>
  </si>
  <si>
    <t>2012-2013</t>
  </si>
  <si>
    <t>2013-2014</t>
  </si>
  <si>
    <t>2014-2015</t>
  </si>
  <si>
    <t>2015-2016</t>
  </si>
  <si>
    <t>2016-2017</t>
  </si>
  <si>
    <t>Years</t>
  </si>
  <si>
    <t>Current Asset(Rs)</t>
  </si>
  <si>
    <t>Current Liability(Rs)</t>
  </si>
  <si>
    <t xml:space="preserve">                Current Ratio</t>
  </si>
  <si>
    <t>MVA=Market capitalisation-Equity</t>
  </si>
  <si>
    <t>MC</t>
  </si>
  <si>
    <t>Ratio(In times)</t>
  </si>
  <si>
    <t>DEBT EQUITY RATIO</t>
  </si>
  <si>
    <t>YEAR</t>
  </si>
  <si>
    <t>Long term debts(Rs)</t>
  </si>
  <si>
    <t>Total asset(Rs)</t>
  </si>
  <si>
    <t>Total asset to debt Ratio</t>
  </si>
  <si>
    <t>Interest coverage Ratio</t>
  </si>
  <si>
    <t>Interest(Rs)</t>
  </si>
  <si>
    <t>EBDIT(RS)</t>
  </si>
  <si>
    <t>Return On Equity</t>
  </si>
  <si>
    <t>Networth(Rs)</t>
  </si>
  <si>
    <t>PAT(Rs)</t>
  </si>
  <si>
    <r>
      <t xml:space="preserve">Ratio(In </t>
    </r>
    <r>
      <rPr>
        <strike/>
        <sz val="12"/>
        <color theme="1"/>
        <rFont val="Times New Roman"/>
        <family val="2"/>
        <scheme val="minor"/>
      </rPr>
      <t>%</t>
    </r>
    <r>
      <rPr>
        <sz val="12"/>
        <color theme="1"/>
        <rFont val="Times New Roman"/>
        <family val="2"/>
        <scheme val="minor"/>
      </rPr>
      <t>)</t>
    </r>
  </si>
  <si>
    <t>Debt</t>
  </si>
  <si>
    <t>1772 (1 - 0.35) / 25646</t>
  </si>
  <si>
    <t>COST OF DEBt</t>
  </si>
  <si>
    <t>NOPAT</t>
  </si>
  <si>
    <t>Market Capitalization</t>
  </si>
  <si>
    <t>Eqity</t>
  </si>
  <si>
    <t>Cost Of Debt</t>
  </si>
  <si>
    <t>Cost Of Equity</t>
  </si>
  <si>
    <t>WACC</t>
  </si>
  <si>
    <t>ROIC</t>
  </si>
  <si>
    <t>EVA</t>
  </si>
  <si>
    <t>MVA</t>
  </si>
  <si>
    <t>Return On Equity Ratio(in %)</t>
  </si>
  <si>
    <t>CurrentRatio(In times)</t>
  </si>
  <si>
    <t>Total asset to debt Ratio(In times)</t>
  </si>
  <si>
    <t>Interest Coverage Ratio (In times)</t>
  </si>
  <si>
    <t>Debt Equity Ratio(In times)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</si>
</sst>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20">
    <font>
      <sz val="11"/>
      <color theme="1"/>
      <name val="Times New Roman"/>
      <family val="2"/>
      <scheme val="minor"/>
    </font>
    <font>
      <sz val="28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  <scheme val="minor"/>
    </font>
    <font>
      <sz val="12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8"/>
      <color theme="1"/>
      <name val="Times New Roman"/>
      <family val="2"/>
      <scheme val="minor"/>
    </font>
    <font>
      <sz val="22"/>
      <color theme="1"/>
      <name val="Times New Roman"/>
      <family val="1"/>
      <scheme val="minor"/>
    </font>
    <font>
      <sz val="18"/>
      <color theme="1"/>
      <name val="Times New Roman"/>
      <family val="1"/>
      <scheme val="minor"/>
    </font>
    <font>
      <sz val="12"/>
      <color theme="1"/>
      <name val="Times New Roman"/>
      <family val="2"/>
    </font>
    <font>
      <strike/>
      <sz val="12"/>
      <color theme="1"/>
      <name val="Times New Roman"/>
      <family val="2"/>
      <scheme val="minor"/>
    </font>
    <font>
      <sz val="12"/>
      <color theme="1"/>
      <name val="Times New Roman"/>
      <family val="1"/>
      <scheme val="minor"/>
    </font>
    <font>
      <sz val="11"/>
      <color theme="1"/>
      <name val="Bookman Old Style"/>
      <family val="1"/>
    </font>
    <font>
      <sz val="12"/>
      <name val="Times New Roman"/>
      <family val="2"/>
    </font>
    <font>
      <b/>
      <sz val="11"/>
      <color theme="1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2"/>
      <color rgb="FF000000"/>
      <name val="Times New Roman"/>
      <family val="1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8" borderId="0" xfId="0" applyFont="1" applyFill="1"/>
    <xf numFmtId="0" fontId="4" fillId="10" borderId="0" xfId="0" applyFont="1" applyFill="1" applyAlignment="1">
      <alignment horizontal="center"/>
    </xf>
    <xf numFmtId="0" fontId="2" fillId="2" borderId="0" xfId="0" applyFont="1" applyFill="1"/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left"/>
    </xf>
    <xf numFmtId="0" fontId="2" fillId="17" borderId="0" xfId="0" applyFont="1" applyFill="1"/>
    <xf numFmtId="0" fontId="2" fillId="10" borderId="0" xfId="0" applyFont="1" applyFill="1" applyAlignment="1">
      <alignment horizontal="left"/>
    </xf>
    <xf numFmtId="0" fontId="2" fillId="0" borderId="1" xfId="0" applyFont="1" applyBorder="1" applyAlignment="1">
      <alignment wrapText="1"/>
    </xf>
    <xf numFmtId="0" fontId="2" fillId="14" borderId="0" xfId="0" applyFont="1" applyFill="1" applyAlignment="1">
      <alignment horizontal="center"/>
    </xf>
    <xf numFmtId="164" fontId="0" fillId="0" borderId="0" xfId="0" applyNumberFormat="1"/>
    <xf numFmtId="0" fontId="2" fillId="12" borderId="0" xfId="0" applyFont="1" applyFill="1" applyAlignment="1">
      <alignment horizontal="left"/>
    </xf>
    <xf numFmtId="0" fontId="0" fillId="19" borderId="0" xfId="0" applyFill="1"/>
    <xf numFmtId="0" fontId="1" fillId="19" borderId="0" xfId="0" applyFont="1" applyFill="1"/>
    <xf numFmtId="0" fontId="0" fillId="0" borderId="0" xfId="0" applyAlignment="1">
      <alignment vertical="center"/>
    </xf>
    <xf numFmtId="0" fontId="0" fillId="19" borderId="0" xfId="0" applyFill="1" applyAlignment="1">
      <alignment horizontal="center"/>
    </xf>
    <xf numFmtId="0" fontId="4" fillId="1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5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10" borderId="0" xfId="0" applyFont="1" applyFill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16" borderId="0" xfId="0" applyNumberFormat="1" applyFont="1" applyFill="1" applyAlignment="1">
      <alignment horizontal="left" wrapText="1" indent="1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wrapText="1"/>
    </xf>
    <xf numFmtId="0" fontId="2" fillId="18" borderId="0" xfId="0" applyFont="1" applyFill="1" applyAlignment="1">
      <alignment wrapText="1"/>
    </xf>
    <xf numFmtId="0" fontId="2" fillId="21" borderId="0" xfId="0" applyFont="1" applyFill="1" applyAlignment="1">
      <alignment horizontal="center" wrapText="1"/>
    </xf>
    <xf numFmtId="0" fontId="4" fillId="22" borderId="0" xfId="0" applyFont="1" applyFill="1" applyAlignment="1">
      <alignment horizontal="center" wrapText="1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6" fillId="20" borderId="0" xfId="0" applyFont="1" applyFill="1"/>
    <xf numFmtId="0" fontId="2" fillId="0" borderId="0" xfId="0" applyFont="1" applyAlignment="1">
      <alignment horizontal="center" wrapText="1"/>
    </xf>
    <xf numFmtId="0" fontId="2" fillId="23" borderId="0" xfId="0" applyFont="1" applyFill="1" applyAlignment="1">
      <alignment horizontal="center"/>
    </xf>
    <xf numFmtId="0" fontId="2" fillId="0" borderId="3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24" borderId="0" xfId="0" applyFont="1" applyFill="1" applyAlignment="1">
      <alignment horizontal="center"/>
    </xf>
    <xf numFmtId="0" fontId="2" fillId="19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5" xfId="0" applyNumberFormat="1" applyFont="1" applyBorder="1" applyAlignment="1">
      <alignment horizontal="center" wrapText="1"/>
    </xf>
    <xf numFmtId="0" fontId="2" fillId="25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16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6" fillId="6" borderId="0" xfId="0" applyFont="1" applyFill="1"/>
    <xf numFmtId="0" fontId="2" fillId="0" borderId="6" xfId="0" applyFont="1" applyBorder="1" applyAlignment="1">
      <alignment wrapText="1"/>
    </xf>
    <xf numFmtId="0" fontId="2" fillId="18" borderId="0" xfId="0" applyFont="1" applyFill="1" applyAlignment="1">
      <alignment horizontal="center" wrapText="1"/>
    </xf>
    <xf numFmtId="0" fontId="0" fillId="6" borderId="0" xfId="0" applyFill="1"/>
    <xf numFmtId="0" fontId="7" fillId="0" borderId="0" xfId="0" applyFont="1"/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7" fillId="0" borderId="0" xfId="0" applyFont="1" applyAlignment="1">
      <alignment wrapText="1"/>
    </xf>
    <xf numFmtId="2" fontId="2" fillId="0" borderId="0" xfId="0" applyNumberFormat="1" applyFont="1" applyAlignment="1">
      <alignment horizontal="right" wrapText="1"/>
    </xf>
    <xf numFmtId="2" fontId="7" fillId="0" borderId="0" xfId="0" applyNumberFormat="1" applyFont="1" applyAlignment="1">
      <alignment wrapText="1"/>
    </xf>
    <xf numFmtId="0" fontId="3" fillId="0" borderId="0" xfId="0" applyFont="1" applyAlignment="1"/>
    <xf numFmtId="0" fontId="8" fillId="0" borderId="2" xfId="0" applyFont="1" applyBorder="1" applyAlignment="1">
      <alignment vertical="top" wrapText="1"/>
    </xf>
    <xf numFmtId="0" fontId="0" fillId="0" borderId="9" xfId="0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2" fontId="0" fillId="0" borderId="9" xfId="0" applyNumberForma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/>
    <xf numFmtId="0" fontId="9" fillId="0" borderId="0" xfId="0" applyFont="1"/>
    <xf numFmtId="0" fontId="11" fillId="0" borderId="0" xfId="0" applyFont="1"/>
    <xf numFmtId="0" fontId="3" fillId="0" borderId="9" xfId="0" applyFont="1" applyBorder="1" applyAlignment="1">
      <alignment horizontal="center"/>
    </xf>
    <xf numFmtId="0" fontId="10" fillId="0" borderId="0" xfId="0" applyFont="1"/>
    <xf numFmtId="10" fontId="0" fillId="0" borderId="0" xfId="0" applyNumberFormat="1"/>
    <xf numFmtId="2" fontId="0" fillId="0" borderId="9" xfId="0" applyNumberFormat="1" applyBorder="1"/>
    <xf numFmtId="0" fontId="14" fillId="0" borderId="9" xfId="0" applyFont="1" applyBorder="1" applyAlignment="1">
      <alignment horizontal="center"/>
    </xf>
    <xf numFmtId="0" fontId="0" fillId="0" borderId="0" xfId="0" applyBorder="1"/>
    <xf numFmtId="0" fontId="3" fillId="0" borderId="9" xfId="0" applyFont="1" applyBorder="1"/>
    <xf numFmtId="0" fontId="12" fillId="0" borderId="9" xfId="0" applyFont="1" applyBorder="1" applyAlignment="1">
      <alignment horizontal="center"/>
    </xf>
    <xf numFmtId="2" fontId="3" fillId="0" borderId="9" xfId="0" applyNumberFormat="1" applyFont="1" applyBorder="1"/>
    <xf numFmtId="0" fontId="12" fillId="0" borderId="9" xfId="0" applyFont="1" applyBorder="1" applyAlignment="1">
      <alignment wrapText="1"/>
    </xf>
    <xf numFmtId="0" fontId="12" fillId="0" borderId="9" xfId="0" applyFont="1" applyBorder="1" applyAlignment="1">
      <alignment horizontal="center" wrapText="1"/>
    </xf>
    <xf numFmtId="0" fontId="15" fillId="0" borderId="0" xfId="0" applyFont="1"/>
    <xf numFmtId="10" fontId="2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2" fillId="0" borderId="9" xfId="0" applyNumberFormat="1" applyFont="1" applyFill="1" applyBorder="1" applyAlignment="1">
      <alignment horizontal="center" vertical="center" wrapText="1"/>
    </xf>
    <xf numFmtId="2" fontId="12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0" fontId="0" fillId="0" borderId="9" xfId="0" applyFill="1" applyBorder="1"/>
    <xf numFmtId="0" fontId="2" fillId="0" borderId="9" xfId="0" applyFont="1" applyFill="1" applyBorder="1" applyAlignment="1"/>
    <xf numFmtId="164" fontId="0" fillId="0" borderId="9" xfId="0" applyNumberFormat="1" applyBorder="1"/>
    <xf numFmtId="10" fontId="3" fillId="0" borderId="9" xfId="0" applyNumberFormat="1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0" fontId="0" fillId="0" borderId="9" xfId="0" applyNumberFormat="1" applyBorder="1"/>
    <xf numFmtId="0" fontId="0" fillId="0" borderId="9" xfId="0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wrapText="1"/>
    </xf>
    <xf numFmtId="0" fontId="3" fillId="0" borderId="9" xfId="0" applyFont="1" applyBorder="1" applyAlignment="1"/>
    <xf numFmtId="0" fontId="17" fillId="0" borderId="9" xfId="0" applyFont="1" applyBorder="1" applyAlignment="1">
      <alignment horizontal="center"/>
    </xf>
    <xf numFmtId="0" fontId="18" fillId="0" borderId="9" xfId="0" applyFont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0" fontId="19" fillId="0" borderId="9" xfId="0" applyFont="1" applyBorder="1" applyAlignment="1">
      <alignment horizontal="center" wrapText="1" readingOrder="1"/>
    </xf>
    <xf numFmtId="2" fontId="3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00FFFF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3"/>
  <c:chart>
    <c:title>
      <c:tx>
        <c:rich>
          <a:bodyPr/>
          <a:lstStyle/>
          <a:p>
            <a:pPr>
              <a:defRPr/>
            </a:pPr>
            <a:r>
              <a:rPr lang="en-GB" sz="1400"/>
              <a:t>Cost</a:t>
            </a:r>
            <a:r>
              <a:rPr lang="en-GB" sz="1400" baseline="0"/>
              <a:t> Of Debt</a:t>
            </a:r>
            <a:endParaRPr lang="en-GB" sz="1400"/>
          </a:p>
        </c:rich>
      </c:tx>
    </c:title>
    <c:plotArea>
      <c:layout/>
      <c:barChart>
        <c:barDir val="col"/>
        <c:grouping val="stacked"/>
        <c:ser>
          <c:idx val="0"/>
          <c:order val="0"/>
          <c:dLbls>
            <c:dLbl>
              <c:idx val="0"/>
              <c:layout>
                <c:manualLayout>
                  <c:x val="0"/>
                  <c:y val="-8.3333333333333343E-2"/>
                </c:manualLayout>
              </c:layout>
              <c:dLblPos val="inEnd"/>
              <c:showVal val="1"/>
            </c:dLbl>
            <c:dLbl>
              <c:idx val="1"/>
              <c:layout>
                <c:manualLayout>
                  <c:x val="-5.5555555555555558E-3"/>
                  <c:y val="-9.7222222222222224E-2"/>
                </c:manualLayout>
              </c:layout>
              <c:dLblPos val="inEnd"/>
              <c:showVal val="1"/>
            </c:dLbl>
            <c:dLbl>
              <c:idx val="2"/>
              <c:layout>
                <c:manualLayout>
                  <c:x val="0"/>
                  <c:y val="-7.8703703703703734E-2"/>
                </c:manualLayout>
              </c:layout>
              <c:dLblPos val="inEnd"/>
              <c:showVal val="1"/>
            </c:dLbl>
            <c:dLbl>
              <c:idx val="3"/>
              <c:layout>
                <c:manualLayout>
                  <c:x val="2.7777777777777822E-3"/>
                  <c:y val="-9.7222222222222224E-2"/>
                </c:manualLayout>
              </c:layout>
              <c:dLblPos val="inEnd"/>
              <c:showVal val="1"/>
            </c:dLbl>
            <c:dLbl>
              <c:idx val="4"/>
              <c:layout>
                <c:manualLayout>
                  <c:x val="-5.5555555555556555E-3"/>
                  <c:y val="-8.7962962962963034E-2"/>
                </c:manualLayout>
              </c:layout>
              <c:dLblPos val="inEnd"/>
              <c:showVal val="1"/>
            </c:dLbl>
            <c:dLblPos val="inEnd"/>
            <c:showVal val="1"/>
          </c:dLbls>
          <c:cat>
            <c:strRef>
              <c:f>Sheet2!$X$4:$X$8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Sheet2!$AA$4:$AA$8</c:f>
              <c:numCache>
                <c:formatCode>0.00%</c:formatCode>
                <c:ptCount val="5"/>
                <c:pt idx="0">
                  <c:v>1.233088397974162</c:v>
                </c:pt>
                <c:pt idx="1">
                  <c:v>0.62167249510898648</c:v>
                </c:pt>
                <c:pt idx="2">
                  <c:v>0.55825621681981752</c:v>
                </c:pt>
                <c:pt idx="3">
                  <c:v>0.74899559490899026</c:v>
                </c:pt>
                <c:pt idx="4">
                  <c:v>1.3694913127611499</c:v>
                </c:pt>
              </c:numCache>
            </c:numRef>
          </c:val>
        </c:ser>
        <c:gapWidth val="300"/>
        <c:axId val="70556672"/>
        <c:axId val="61015168"/>
      </c:barChart>
      <c:catAx>
        <c:axId val="70556672"/>
        <c:scaling>
          <c:orientation val="minMax"/>
        </c:scaling>
        <c:axPos val="b"/>
        <c:numFmt formatCode="General" sourceLinked="1"/>
        <c:majorTickMark val="none"/>
        <c:tickLblPos val="nextTo"/>
        <c:crossAx val="61015168"/>
        <c:crosses val="autoZero"/>
        <c:auto val="1"/>
        <c:lblAlgn val="ctr"/>
        <c:lblOffset val="100"/>
      </c:catAx>
      <c:valAx>
        <c:axId val="61015168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crossAx val="7055667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200"/>
              <a:t>WACC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dLbls>
            <c:dLbl>
              <c:idx val="0"/>
              <c:layout>
                <c:manualLayout>
                  <c:x val="0"/>
                  <c:y val="-8.7962962962963034E-2"/>
                </c:manualLayout>
              </c:layout>
              <c:dLblPos val="inEnd"/>
              <c:showVal val="1"/>
            </c:dLbl>
            <c:dLbl>
              <c:idx val="1"/>
              <c:layout>
                <c:manualLayout>
                  <c:x val="0"/>
                  <c:y val="-0.1111111111111111"/>
                </c:manualLayout>
              </c:layout>
              <c:dLblPos val="inEnd"/>
              <c:showVal val="1"/>
            </c:dLbl>
            <c:dLbl>
              <c:idx val="2"/>
              <c:layout>
                <c:manualLayout>
                  <c:x val="0"/>
                  <c:y val="-0.125"/>
                </c:manualLayout>
              </c:layout>
              <c:dLblPos val="inEnd"/>
              <c:showVal val="1"/>
            </c:dLbl>
            <c:dLbl>
              <c:idx val="3"/>
              <c:layout>
                <c:manualLayout>
                  <c:x val="0"/>
                  <c:y val="-0.125"/>
                </c:manualLayout>
              </c:layout>
              <c:dLblPos val="inEnd"/>
              <c:showVal val="1"/>
            </c:dLbl>
            <c:dLbl>
              <c:idx val="4"/>
              <c:layout>
                <c:manualLayout>
                  <c:x val="0"/>
                  <c:y val="-0.1111111111111111"/>
                </c:manualLayout>
              </c:layout>
              <c:dLblPos val="inEnd"/>
              <c:showVal val="1"/>
            </c:dLbl>
            <c:dLblPos val="inEnd"/>
            <c:showVal val="1"/>
          </c:dLbls>
          <c:cat>
            <c:strRef>
              <c:f>Sheet2!$X$14:$X$18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Sheet2!$AA$14:$AA$18</c:f>
              <c:numCache>
                <c:formatCode>0.00%</c:formatCode>
                <c:ptCount val="5"/>
                <c:pt idx="0">
                  <c:v>0.67505382328664398</c:v>
                </c:pt>
                <c:pt idx="1">
                  <c:v>0.36663715716814504</c:v>
                </c:pt>
                <c:pt idx="2">
                  <c:v>0.34475951762915763</c:v>
                </c:pt>
                <c:pt idx="3">
                  <c:v>0.24704273063740961</c:v>
                </c:pt>
                <c:pt idx="4">
                  <c:v>0.48146241162534209</c:v>
                </c:pt>
              </c:numCache>
            </c:numRef>
          </c:val>
        </c:ser>
        <c:gapWidth val="300"/>
        <c:overlap val="100"/>
        <c:axId val="61048704"/>
        <c:axId val="61050240"/>
      </c:barChart>
      <c:catAx>
        <c:axId val="61048704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61050240"/>
        <c:crosses val="autoZero"/>
        <c:auto val="1"/>
        <c:lblAlgn val="ctr"/>
        <c:lblOffset val="100"/>
      </c:catAx>
      <c:valAx>
        <c:axId val="61050240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crossAx val="61048704"/>
        <c:crosses val="autoZero"/>
        <c:crossBetween val="between"/>
      </c:valAx>
    </c:plotArea>
    <c:plotVisOnly val="1"/>
  </c:chart>
  <c:spPr>
    <a:ln w="22225"/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200"/>
              <a:t>NOPAT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dLbls>
            <c:dLbl>
              <c:idx val="0"/>
              <c:layout>
                <c:manualLayout>
                  <c:x val="5.5555555555555558E-3"/>
                  <c:y val="-7.407407407407407E-2"/>
                </c:manualLayout>
              </c:layout>
              <c:dLblPos val="inEnd"/>
              <c:showVal val="1"/>
            </c:dLbl>
            <c:dLbl>
              <c:idx val="1"/>
              <c:layout>
                <c:manualLayout>
                  <c:x val="-5.5555555555555558E-3"/>
                  <c:y val="-0.10185185185185189"/>
                </c:manualLayout>
              </c:layout>
              <c:dLblPos val="inEnd"/>
              <c:showVal val="1"/>
            </c:dLbl>
            <c:dLbl>
              <c:idx val="2"/>
              <c:layout>
                <c:manualLayout>
                  <c:x val="0"/>
                  <c:y val="-8.7962962962963062E-2"/>
                </c:manualLayout>
              </c:layout>
              <c:dLblPos val="inEnd"/>
              <c:showVal val="1"/>
            </c:dLbl>
            <c:dLbl>
              <c:idx val="3"/>
              <c:layout>
                <c:manualLayout>
                  <c:x val="0"/>
                  <c:y val="-7.8703703703703706E-2"/>
                </c:manualLayout>
              </c:layout>
              <c:dLblPos val="inEnd"/>
              <c:showVal val="1"/>
            </c:dLbl>
            <c:dLbl>
              <c:idx val="4"/>
              <c:layout>
                <c:manualLayout>
                  <c:x val="2.7091366665586577E-3"/>
                  <c:y val="-3.703740157480317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dLblPos val="inEnd"/>
              <c:showVal val="1"/>
            </c:dLbl>
            <c:dLblPos val="inEnd"/>
            <c:showVal val="1"/>
          </c:dLbls>
          <c:cat>
            <c:strRef>
              <c:f>Sheet2!$X$27:$X$31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Sheet2!$Z$27:$Z$31</c:f>
              <c:numCache>
                <c:formatCode>General</c:formatCode>
                <c:ptCount val="5"/>
                <c:pt idx="0">
                  <c:v>13506.955</c:v>
                </c:pt>
                <c:pt idx="1">
                  <c:v>14819.832999999999</c:v>
                </c:pt>
                <c:pt idx="2">
                  <c:v>15904.581</c:v>
                </c:pt>
                <c:pt idx="3">
                  <c:v>15025.646999999999</c:v>
                </c:pt>
                <c:pt idx="4">
                  <c:v>14823.214</c:v>
                </c:pt>
              </c:numCache>
            </c:numRef>
          </c:val>
        </c:ser>
        <c:gapWidth val="300"/>
        <c:axId val="61478784"/>
        <c:axId val="61480320"/>
      </c:barChart>
      <c:catAx>
        <c:axId val="61478784"/>
        <c:scaling>
          <c:orientation val="minMax"/>
        </c:scaling>
        <c:axPos val="b"/>
        <c:majorTickMark val="none"/>
        <c:tickLblPos val="nextTo"/>
        <c:crossAx val="61480320"/>
        <c:crosses val="autoZero"/>
        <c:auto val="1"/>
        <c:lblAlgn val="ctr"/>
        <c:lblOffset val="100"/>
      </c:catAx>
      <c:valAx>
        <c:axId val="614803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147878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200"/>
              <a:t>ROIC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dLbls>
            <c:dLbl>
              <c:idx val="0"/>
              <c:layout>
                <c:manualLayout>
                  <c:x val="-2.7777777777777809E-3"/>
                  <c:y val="-9.2592592592592643E-2"/>
                </c:manualLayout>
              </c:layout>
              <c:dLblPos val="inEnd"/>
              <c:showVal val="1"/>
            </c:dLbl>
            <c:dLbl>
              <c:idx val="1"/>
              <c:layout>
                <c:manualLayout>
                  <c:x val="0"/>
                  <c:y val="-0.14351851851851852"/>
                </c:manualLayout>
              </c:layout>
              <c:dLblPos val="inEnd"/>
              <c:showVal val="1"/>
            </c:dLbl>
            <c:dLbl>
              <c:idx val="2"/>
              <c:layout>
                <c:manualLayout>
                  <c:x val="0"/>
                  <c:y val="-9.7222222222222224E-2"/>
                </c:manualLayout>
              </c:layout>
              <c:dLblPos val="inEnd"/>
              <c:showVal val="1"/>
            </c:dLbl>
            <c:dLbl>
              <c:idx val="3"/>
              <c:layout>
                <c:manualLayout>
                  <c:x val="0"/>
                  <c:y val="-0.13425925925925927"/>
                </c:manualLayout>
              </c:layout>
              <c:dLblPos val="inEnd"/>
              <c:showVal val="1"/>
            </c:dLbl>
            <c:dLbl>
              <c:idx val="4"/>
              <c:layout>
                <c:manualLayout>
                  <c:x val="0"/>
                  <c:y val="-0.10648148148148154"/>
                </c:manualLayout>
              </c:layout>
              <c:dLblPos val="inEnd"/>
              <c:showVal val="1"/>
            </c:dLbl>
            <c:dLblPos val="inEnd"/>
            <c:showVal val="1"/>
          </c:dLbls>
          <c:cat>
            <c:strRef>
              <c:f>Sheet2!$W$41:$W$45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Sheet2!$Z$41:$Z$45</c:f>
              <c:numCache>
                <c:formatCode>0.00%</c:formatCode>
                <c:ptCount val="5"/>
                <c:pt idx="0">
                  <c:v>0.80354633599021486</c:v>
                </c:pt>
                <c:pt idx="1">
                  <c:v>0.4146179079465131</c:v>
                </c:pt>
                <c:pt idx="2">
                  <c:v>0.39125958894151469</c:v>
                </c:pt>
                <c:pt idx="3">
                  <c:v>0.42413538326567918</c:v>
                </c:pt>
                <c:pt idx="4">
                  <c:v>0.54242231631440652</c:v>
                </c:pt>
              </c:numCache>
            </c:numRef>
          </c:val>
        </c:ser>
        <c:gapWidth val="300"/>
        <c:axId val="61500416"/>
        <c:axId val="61530880"/>
      </c:barChart>
      <c:catAx>
        <c:axId val="61500416"/>
        <c:scaling>
          <c:orientation val="minMax"/>
        </c:scaling>
        <c:axPos val="b"/>
        <c:majorTickMark val="none"/>
        <c:tickLblPos val="nextTo"/>
        <c:crossAx val="61530880"/>
        <c:crosses val="autoZero"/>
        <c:auto val="1"/>
        <c:lblAlgn val="ctr"/>
        <c:lblOffset val="100"/>
      </c:catAx>
      <c:valAx>
        <c:axId val="61530880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crossAx val="6150041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200"/>
              <a:t>EVA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dLbls>
            <c:dLbl>
              <c:idx val="0"/>
              <c:layout>
                <c:manualLayout>
                  <c:x val="-5.5555555555555558E-3"/>
                  <c:y val="-0.16666666666666666"/>
                </c:manualLayout>
              </c:layout>
              <c:dLblPos val="inEnd"/>
              <c:showVal val="1"/>
            </c:dLbl>
            <c:dLbl>
              <c:idx val="1"/>
              <c:layout>
                <c:manualLayout>
                  <c:x val="0"/>
                  <c:y val="-0.1111111111111111"/>
                </c:manualLayout>
              </c:layout>
              <c:dLblPos val="inEnd"/>
              <c:showVal val="1"/>
            </c:dLbl>
            <c:dLbl>
              <c:idx val="2"/>
              <c:layout>
                <c:manualLayout>
                  <c:x val="0"/>
                  <c:y val="-8.7962962962963021E-2"/>
                </c:manualLayout>
              </c:layout>
              <c:dLblPos val="inEnd"/>
              <c:showVal val="1"/>
            </c:dLbl>
            <c:dLbl>
              <c:idx val="3"/>
              <c:layout>
                <c:manualLayout>
                  <c:x val="0"/>
                  <c:y val="-8.3333333333333343E-2"/>
                </c:manualLayout>
              </c:layout>
              <c:dLblPos val="inEnd"/>
              <c:showVal val="1"/>
            </c:dLbl>
            <c:dLbl>
              <c:idx val="4"/>
              <c:layout>
                <c:manualLayout>
                  <c:x val="0"/>
                  <c:y val="-0.10185185185185194"/>
                </c:manualLayout>
              </c:layout>
              <c:dLblPos val="inEnd"/>
              <c:showVal val="1"/>
            </c:dLbl>
            <c:dLblPos val="inEnd"/>
            <c:showVal val="1"/>
          </c:dLbls>
          <c:cat>
            <c:strRef>
              <c:f>Sheet2!$W$51:$W$55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Sheet2!$Z$51:$Z$55</c:f>
              <c:numCache>
                <c:formatCode>0.00</c:formatCode>
                <c:ptCount val="5"/>
                <c:pt idx="0">
                  <c:v>2159.8537746866095</c:v>
                </c:pt>
                <c:pt idx="1">
                  <c:v>1714.9927683339829</c:v>
                </c:pt>
                <c:pt idx="2">
                  <c:v>1890.2134838252059</c:v>
                </c:pt>
                <c:pt idx="3">
                  <c:v>6273.7790565782343</c:v>
                </c:pt>
                <c:pt idx="4">
                  <c:v>1665.9006929608604</c:v>
                </c:pt>
              </c:numCache>
            </c:numRef>
          </c:val>
        </c:ser>
        <c:gapWidth val="300"/>
        <c:axId val="61555072"/>
        <c:axId val="61556608"/>
      </c:barChart>
      <c:catAx>
        <c:axId val="61555072"/>
        <c:scaling>
          <c:orientation val="minMax"/>
        </c:scaling>
        <c:axPos val="b"/>
        <c:majorTickMark val="none"/>
        <c:tickLblPos val="nextTo"/>
        <c:crossAx val="61556608"/>
        <c:crosses val="autoZero"/>
        <c:auto val="1"/>
        <c:lblAlgn val="ctr"/>
        <c:lblOffset val="100"/>
      </c:catAx>
      <c:valAx>
        <c:axId val="61556608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6155507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100"/>
              <a:t>MVA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dLbls>
            <c:dLbl>
              <c:idx val="0"/>
              <c:layout>
                <c:manualLayout>
                  <c:x val="0"/>
                  <c:y val="-8.3333333333333343E-2"/>
                </c:manualLayout>
              </c:layout>
              <c:dLblPos val="inEnd"/>
              <c:showVal val="1"/>
            </c:dLbl>
            <c:dLbl>
              <c:idx val="1"/>
              <c:layout>
                <c:manualLayout>
                  <c:x val="0"/>
                  <c:y val="-9.7222222222222224E-2"/>
                </c:manualLayout>
              </c:layout>
              <c:dLblPos val="inEnd"/>
              <c:showVal val="1"/>
            </c:dLbl>
            <c:dLbl>
              <c:idx val="2"/>
              <c:layout>
                <c:manualLayout>
                  <c:x val="0"/>
                  <c:y val="-8.7962962962963034E-2"/>
                </c:manualLayout>
              </c:layout>
              <c:dLblPos val="inEnd"/>
              <c:showVal val="1"/>
            </c:dLbl>
            <c:dLbl>
              <c:idx val="3"/>
              <c:layout>
                <c:manualLayout>
                  <c:x val="0"/>
                  <c:y val="-8.3333333333333343E-2"/>
                </c:manualLayout>
              </c:layout>
              <c:dLblPos val="inEnd"/>
              <c:showVal val="1"/>
            </c:dLbl>
            <c:dLbl>
              <c:idx val="4"/>
              <c:layout>
                <c:manualLayout>
                  <c:x val="2.7777777777777809E-3"/>
                  <c:y val="-6.9444444444444475E-2"/>
                </c:manualLayout>
              </c:layout>
              <c:dLblPos val="inEnd"/>
              <c:showVal val="1"/>
            </c:dLbl>
            <c:dLblPos val="inEnd"/>
            <c:showVal val="1"/>
          </c:dLbls>
          <c:cat>
            <c:strRef>
              <c:f>Sheet2!$W$60:$W$64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Sheet2!$Z$60:$Z$64</c:f>
              <c:numCache>
                <c:formatCode>0.00</c:formatCode>
                <c:ptCount val="5"/>
                <c:pt idx="0">
                  <c:v>79830.168757575739</c:v>
                </c:pt>
                <c:pt idx="1">
                  <c:v>73772.780869565235</c:v>
                </c:pt>
                <c:pt idx="2">
                  <c:v>122739.24434909919</c:v>
                </c:pt>
                <c:pt idx="3">
                  <c:v>141794.08973245611</c:v>
                </c:pt>
                <c:pt idx="4">
                  <c:v>169357.23396695999</c:v>
                </c:pt>
              </c:numCache>
            </c:numRef>
          </c:val>
        </c:ser>
        <c:gapWidth val="300"/>
        <c:axId val="61588992"/>
        <c:axId val="61590528"/>
      </c:barChart>
      <c:catAx>
        <c:axId val="61588992"/>
        <c:scaling>
          <c:orientation val="minMax"/>
        </c:scaling>
        <c:axPos val="b"/>
        <c:majorTickMark val="none"/>
        <c:tickLblPos val="nextTo"/>
        <c:crossAx val="61590528"/>
        <c:crosses val="autoZero"/>
        <c:auto val="1"/>
        <c:lblAlgn val="ctr"/>
        <c:lblOffset val="100"/>
      </c:catAx>
      <c:valAx>
        <c:axId val="61590528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6158899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/>
            </a:pPr>
            <a:r>
              <a:rPr lang="en-GB" sz="1600"/>
              <a:t>Debt Equity Ratio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dLbls>
            <c:delete val="1"/>
          </c:dLbls>
          <c:cat>
            <c:strRef>
              <c:f>Sheet3!$A$17:$A$21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Sheet3!$E$17:$E$21</c:f>
              <c:numCache>
                <c:formatCode>0.00</c:formatCode>
                <c:ptCount val="5"/>
                <c:pt idx="0">
                  <c:v>1.1954345533326585</c:v>
                </c:pt>
                <c:pt idx="1">
                  <c:v>1.3984669912898959</c:v>
                </c:pt>
                <c:pt idx="2">
                  <c:v>1.4878996340131214</c:v>
                </c:pt>
                <c:pt idx="3">
                  <c:v>0.52083359258425466</c:v>
                </c:pt>
                <c:pt idx="4">
                  <c:v>0.53754776136862459</c:v>
                </c:pt>
              </c:numCache>
            </c:numRef>
          </c:val>
        </c:ser>
        <c:dLbls>
          <c:showVal val="1"/>
        </c:dLbls>
        <c:gapWidth val="55"/>
        <c:overlap val="100"/>
        <c:axId val="61627008"/>
        <c:axId val="61608704"/>
      </c:barChart>
      <c:catAx>
        <c:axId val="61627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Years</a:t>
                </a:r>
              </a:p>
            </c:rich>
          </c:tx>
          <c:layout/>
        </c:title>
        <c:majorTickMark val="none"/>
        <c:tickLblPos val="nextTo"/>
        <c:crossAx val="61608704"/>
        <c:crosses val="autoZero"/>
        <c:auto val="1"/>
        <c:lblAlgn val="ctr"/>
        <c:lblOffset val="100"/>
      </c:catAx>
      <c:valAx>
        <c:axId val="61608704"/>
        <c:scaling>
          <c:orientation val="minMax"/>
          <c:max val="1.7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Ratio(In times)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61627008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Total</a:t>
            </a:r>
            <a:r>
              <a:rPr lang="en-US" sz="1600" baseline="0"/>
              <a:t> asset to debt Ratio</a:t>
            </a:r>
            <a:endParaRPr lang="en-US" sz="1600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Sheet3!$E$27</c:f>
              <c:strCache>
                <c:ptCount val="1"/>
                <c:pt idx="0">
                  <c:v>Ratio(In times)</c:v>
                </c:pt>
              </c:strCache>
            </c:strRef>
          </c:tx>
          <c:cat>
            <c:strRef>
              <c:f>Sheet3!$A$28:$A$32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Sheet3!$E$28:$E$32</c:f>
              <c:numCache>
                <c:formatCode>0.00</c:formatCode>
                <c:ptCount val="5"/>
                <c:pt idx="0">
                  <c:v>0.84867981959619754</c:v>
                </c:pt>
                <c:pt idx="1">
                  <c:v>1.0602274426082563</c:v>
                </c:pt>
                <c:pt idx="2">
                  <c:v>1.0620036788236629</c:v>
                </c:pt>
                <c:pt idx="3">
                  <c:v>1.0661389390718861</c:v>
                </c:pt>
                <c:pt idx="4">
                  <c:v>1.0586727453218077</c:v>
                </c:pt>
              </c:numCache>
            </c:numRef>
          </c:val>
        </c:ser>
        <c:gapWidth val="55"/>
        <c:overlap val="100"/>
        <c:axId val="61669760"/>
        <c:axId val="61671680"/>
      </c:barChart>
      <c:catAx>
        <c:axId val="61669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Years</a:t>
                </a:r>
              </a:p>
            </c:rich>
          </c:tx>
          <c:layout/>
        </c:title>
        <c:majorTickMark val="none"/>
        <c:tickLblPos val="nextTo"/>
        <c:crossAx val="61671680"/>
        <c:crosses val="autoZero"/>
        <c:auto val="1"/>
        <c:lblAlgn val="ctr"/>
        <c:lblOffset val="100"/>
      </c:catAx>
      <c:valAx>
        <c:axId val="616716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Ratio(In times)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6166976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Interest</a:t>
            </a:r>
            <a:r>
              <a:rPr lang="en-GB" baseline="0"/>
              <a:t> Coverage Ratio</a:t>
            </a:r>
            <a:endParaRPr lang="en-GB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cat>
            <c:strRef>
              <c:f>Sheet3!$A$37:$A$41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Sheet3!$E$37:$E$41</c:f>
              <c:numCache>
                <c:formatCode>0.00</c:formatCode>
                <c:ptCount val="5"/>
                <c:pt idx="0">
                  <c:v>1.1967719567229091</c:v>
                </c:pt>
                <c:pt idx="1">
                  <c:v>1.1805610388799297</c:v>
                </c:pt>
                <c:pt idx="2">
                  <c:v>1.1857412516941339</c:v>
                </c:pt>
                <c:pt idx="3">
                  <c:v>1.1404155821800452</c:v>
                </c:pt>
                <c:pt idx="4">
                  <c:v>1.170760861151962</c:v>
                </c:pt>
              </c:numCache>
            </c:numRef>
          </c:val>
        </c:ser>
        <c:gapWidth val="55"/>
        <c:overlap val="100"/>
        <c:axId val="61699968"/>
        <c:axId val="61710336"/>
      </c:barChart>
      <c:catAx>
        <c:axId val="61699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Years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1710336"/>
        <c:crosses val="autoZero"/>
        <c:auto val="1"/>
        <c:lblAlgn val="ctr"/>
        <c:lblOffset val="100"/>
      </c:catAx>
      <c:valAx>
        <c:axId val="61710336"/>
        <c:scaling>
          <c:orientation val="minMax"/>
          <c:max val="1.3"/>
          <c:min val="1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Ratio(In times)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61699968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Return</a:t>
            </a:r>
            <a:r>
              <a:rPr lang="en-GB" baseline="0"/>
              <a:t> On Equity</a:t>
            </a:r>
            <a:endParaRPr lang="en-GB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spPr>
            <a:ln w="0"/>
          </c:spPr>
          <c:cat>
            <c:strRef>
              <c:f>Sheet3!$A$46:$A$50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Sheet3!$E$46:$E$50</c:f>
              <c:numCache>
                <c:formatCode>0.00</c:formatCode>
                <c:ptCount val="5"/>
                <c:pt idx="0">
                  <c:v>6.6281587033112714</c:v>
                </c:pt>
                <c:pt idx="1">
                  <c:v>-7.9984495102783288</c:v>
                </c:pt>
                <c:pt idx="2">
                  <c:v>3.4739825089319933</c:v>
                </c:pt>
                <c:pt idx="3">
                  <c:v>-7.7862034660983177</c:v>
                </c:pt>
                <c:pt idx="4">
                  <c:v>-13.587437900879831</c:v>
                </c:pt>
              </c:numCache>
            </c:numRef>
          </c:val>
        </c:ser>
        <c:gapWidth val="55"/>
        <c:overlap val="100"/>
        <c:axId val="61717888"/>
        <c:axId val="64501248"/>
      </c:barChart>
      <c:catAx>
        <c:axId val="61717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Years</a:t>
                </a:r>
              </a:p>
            </c:rich>
          </c:tx>
          <c:layout/>
        </c:title>
        <c:majorTickMark val="none"/>
        <c:tickLblPos val="nextTo"/>
        <c:crossAx val="64501248"/>
        <c:crosses val="autoZero"/>
        <c:auto val="1"/>
        <c:lblAlgn val="ctr"/>
        <c:lblOffset val="100"/>
      </c:catAx>
      <c:valAx>
        <c:axId val="645012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Ratio(In %)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61717888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/>
            </a:pPr>
            <a:r>
              <a:rPr lang="en-GB" sz="1600"/>
              <a:t>Current</a:t>
            </a:r>
            <a:r>
              <a:rPr lang="en-GB" sz="1600" baseline="0"/>
              <a:t> Ratio</a:t>
            </a:r>
            <a:endParaRPr lang="en-GB" sz="1600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dLbls>
            <c:delete val="1"/>
          </c:dLbls>
          <c:cat>
            <c:strRef>
              <c:f>Sheet3!$A$4:$A$8</c:f>
              <c:strCache>
                <c:ptCount val="5"/>
                <c:pt idx="0">
                  <c:v>2012-2013</c:v>
                </c:pt>
                <c:pt idx="1">
                  <c:v>2013-2014</c:v>
                </c:pt>
                <c:pt idx="2">
                  <c:v>2014-2015</c:v>
                </c:pt>
                <c:pt idx="3">
                  <c:v>2015-2016</c:v>
                </c:pt>
                <c:pt idx="4">
                  <c:v>2016-2017</c:v>
                </c:pt>
              </c:strCache>
            </c:strRef>
          </c:cat>
          <c:val>
            <c:numRef>
              <c:f>Sheet3!$E$4:$E$8</c:f>
              <c:numCache>
                <c:formatCode>0.00</c:formatCode>
                <c:ptCount val="5"/>
                <c:pt idx="0">
                  <c:v>0.7426768300357226</c:v>
                </c:pt>
                <c:pt idx="1">
                  <c:v>0.72158967352782999</c:v>
                </c:pt>
                <c:pt idx="2">
                  <c:v>0.71448482331842067</c:v>
                </c:pt>
                <c:pt idx="3">
                  <c:v>0.72287048278473121</c:v>
                </c:pt>
                <c:pt idx="4">
                  <c:v>0.73174804644747748</c:v>
                </c:pt>
              </c:numCache>
            </c:numRef>
          </c:val>
        </c:ser>
        <c:dLbls>
          <c:showVal val="1"/>
        </c:dLbls>
        <c:gapWidth val="55"/>
        <c:overlap val="100"/>
        <c:axId val="64545920"/>
        <c:axId val="64547840"/>
      </c:barChart>
      <c:catAx>
        <c:axId val="64545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200"/>
                  <a:t>Years</a:t>
                </a:r>
              </a:p>
            </c:rich>
          </c:tx>
          <c:layout/>
        </c:title>
        <c:majorTickMark val="none"/>
        <c:tickLblPos val="nextTo"/>
        <c:crossAx val="64547840"/>
        <c:crosses val="autoZero"/>
        <c:auto val="1"/>
        <c:lblAlgn val="ctr"/>
        <c:lblOffset val="100"/>
      </c:catAx>
      <c:valAx>
        <c:axId val="64547840"/>
        <c:scaling>
          <c:orientation val="minMax"/>
          <c:max val="0.75000000000000033"/>
          <c:min val="0.70000000000000029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 sz="1200"/>
                  <a:t>Ratio(In times)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64545920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561975</xdr:colOff>
      <xdr:row>1</xdr:row>
      <xdr:rowOff>180975</xdr:rowOff>
    </xdr:from>
    <xdr:to>
      <xdr:col>36</xdr:col>
      <xdr:colOff>257175</xdr:colOff>
      <xdr:row>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352425</xdr:colOff>
      <xdr:row>9</xdr:row>
      <xdr:rowOff>19050</xdr:rowOff>
    </xdr:from>
    <xdr:to>
      <xdr:col>36</xdr:col>
      <xdr:colOff>47625</xdr:colOff>
      <xdr:row>21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1895475</xdr:colOff>
      <xdr:row>25</xdr:row>
      <xdr:rowOff>438150</xdr:rowOff>
    </xdr:from>
    <xdr:to>
      <xdr:col>34</xdr:col>
      <xdr:colOff>133350</xdr:colOff>
      <xdr:row>34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133350</xdr:colOff>
      <xdr:row>35</xdr:row>
      <xdr:rowOff>142875</xdr:rowOff>
    </xdr:from>
    <xdr:to>
      <xdr:col>34</xdr:col>
      <xdr:colOff>438150</xdr:colOff>
      <xdr:row>44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1647825</xdr:colOff>
      <xdr:row>48</xdr:row>
      <xdr:rowOff>304800</xdr:rowOff>
    </xdr:from>
    <xdr:to>
      <xdr:col>33</xdr:col>
      <xdr:colOff>495300</xdr:colOff>
      <xdr:row>55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47625</xdr:colOff>
      <xdr:row>58</xdr:row>
      <xdr:rowOff>123825</xdr:rowOff>
    </xdr:from>
    <xdr:to>
      <xdr:col>34</xdr:col>
      <xdr:colOff>352425</xdr:colOff>
      <xdr:row>65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14</xdr:row>
      <xdr:rowOff>295275</xdr:rowOff>
    </xdr:from>
    <xdr:to>
      <xdr:col>15</xdr:col>
      <xdr:colOff>28575</xdr:colOff>
      <xdr:row>50</xdr:row>
      <xdr:rowOff>390525</xdr:rowOff>
    </xdr:to>
    <xdr:grpSp>
      <xdr:nvGrpSpPr>
        <xdr:cNvPr id="7" name="Group 6"/>
        <xdr:cNvGrpSpPr/>
      </xdr:nvGrpSpPr>
      <xdr:grpSpPr>
        <a:xfrm>
          <a:off x="6943725" y="4610100"/>
          <a:ext cx="5229225" cy="12534900"/>
          <a:chOff x="5876925" y="4610100"/>
          <a:chExt cx="4867275" cy="12534900"/>
        </a:xfrm>
      </xdr:grpSpPr>
      <xdr:graphicFrame macro="">
        <xdr:nvGraphicFramePr>
          <xdr:cNvPr id="13" name="Chart 12"/>
          <xdr:cNvGraphicFramePr/>
        </xdr:nvGraphicFramePr>
        <xdr:xfrm>
          <a:off x="5876925" y="46101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4" name="Chart 13"/>
          <xdr:cNvGraphicFramePr/>
        </xdr:nvGraphicFramePr>
        <xdr:xfrm>
          <a:off x="6172200" y="79819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5" name="Chart 14"/>
          <xdr:cNvGraphicFramePr/>
        </xdr:nvGraphicFramePr>
        <xdr:xfrm>
          <a:off x="6029325" y="113252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7" name="Chart 16"/>
          <xdr:cNvGraphicFramePr/>
        </xdr:nvGraphicFramePr>
        <xdr:xfrm>
          <a:off x="6153150" y="144018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8</xdr:col>
      <xdr:colOff>57150</xdr:colOff>
      <xdr:row>0</xdr:row>
      <xdr:rowOff>342900</xdr:rowOff>
    </xdr:from>
    <xdr:to>
      <xdr:col>15</xdr:col>
      <xdr:colOff>361950</xdr:colOff>
      <xdr:row>9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opLeftCell="L1" workbookViewId="0">
      <selection activeCell="AB17" sqref="AB17:AB21"/>
    </sheetView>
  </sheetViews>
  <sheetFormatPr defaultRowHeight="15.75"/>
  <cols>
    <col min="1" max="2" width="9.85546875" customWidth="1"/>
    <col min="3" max="3" width="18.7109375" customWidth="1"/>
    <col min="4" max="4" width="12.85546875" customWidth="1"/>
    <col min="5" max="5" width="10.140625" customWidth="1"/>
    <col min="6" max="6" width="11.5703125" customWidth="1"/>
    <col min="7" max="7" width="15" style="25" customWidth="1"/>
    <col min="8" max="8" width="11.85546875" customWidth="1"/>
    <col min="9" max="9" width="13.140625" customWidth="1"/>
    <col min="10" max="10" width="18.28515625" customWidth="1"/>
    <col min="11" max="11" width="18.42578125" customWidth="1"/>
    <col min="12" max="12" width="10" customWidth="1"/>
    <col min="13" max="13" width="16.85546875" customWidth="1"/>
    <col min="14" max="14" width="13.28515625" customWidth="1"/>
    <col min="15" max="15" width="12.5703125" customWidth="1"/>
    <col min="16" max="16" width="15.7109375" customWidth="1"/>
    <col min="17" max="17" width="11.5703125" customWidth="1"/>
    <col min="18" max="18" width="18" customWidth="1"/>
    <col min="19" max="19" width="20.85546875" customWidth="1"/>
    <col min="20" max="20" width="15.85546875" customWidth="1"/>
    <col min="21" max="21" width="9" customWidth="1"/>
    <col min="22" max="23" width="10.85546875" style="23" customWidth="1"/>
    <col min="24" max="24" width="11.85546875" customWidth="1"/>
    <col min="25" max="25" width="11.85546875" style="23" customWidth="1"/>
    <col min="26" max="26" width="12.140625" style="44" customWidth="1"/>
    <col min="27" max="27" width="9.140625" style="23"/>
    <col min="28" max="28" width="14.42578125" style="23" customWidth="1"/>
    <col min="29" max="29" width="10.7109375" style="23" customWidth="1"/>
    <col min="30" max="30" width="11.5703125" style="23" customWidth="1"/>
    <col min="31" max="31" width="10.5703125" customWidth="1"/>
    <col min="32" max="32" width="13.5703125" customWidth="1"/>
  </cols>
  <sheetData>
    <row r="1" spans="1:32" s="18" customFormat="1" ht="58.5" customHeight="1">
      <c r="E1" s="19" t="s">
        <v>0</v>
      </c>
      <c r="G1" s="21"/>
      <c r="V1" s="40"/>
      <c r="W1" s="40"/>
      <c r="Y1" s="40"/>
      <c r="Z1" s="50"/>
      <c r="AA1" s="40"/>
      <c r="AB1" s="40"/>
      <c r="AC1" s="40"/>
      <c r="AD1" s="40"/>
    </row>
    <row r="2" spans="1:32" ht="62.25" customHeight="1">
      <c r="A2" s="28" t="s">
        <v>1</v>
      </c>
      <c r="B2" s="4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22" t="s">
        <v>7</v>
      </c>
      <c r="H2" s="10" t="s">
        <v>8</v>
      </c>
      <c r="I2" s="5" t="s">
        <v>14</v>
      </c>
      <c r="J2" s="34" t="s">
        <v>9</v>
      </c>
      <c r="K2" s="11" t="s">
        <v>10</v>
      </c>
      <c r="L2" s="35" t="s">
        <v>21</v>
      </c>
      <c r="M2" s="12" t="s">
        <v>11</v>
      </c>
      <c r="N2" s="3" t="s">
        <v>17</v>
      </c>
      <c r="O2" s="15" t="s">
        <v>18</v>
      </c>
      <c r="P2" s="36" t="s">
        <v>12</v>
      </c>
      <c r="Q2" s="13" t="s">
        <v>13</v>
      </c>
      <c r="R2" s="17" t="s">
        <v>19</v>
      </c>
      <c r="S2" s="37" t="s">
        <v>20</v>
      </c>
      <c r="T2" s="39" t="s">
        <v>23</v>
      </c>
      <c r="U2" s="38" t="s">
        <v>24</v>
      </c>
      <c r="V2" s="41" t="s">
        <v>25</v>
      </c>
      <c r="W2" s="45" t="s">
        <v>27</v>
      </c>
      <c r="X2" s="42" t="s">
        <v>26</v>
      </c>
      <c r="Y2" s="49" t="s">
        <v>28</v>
      </c>
      <c r="Z2" s="53" t="s">
        <v>29</v>
      </c>
      <c r="AA2" s="54" t="s">
        <v>33</v>
      </c>
      <c r="AB2" s="55" t="s">
        <v>34</v>
      </c>
      <c r="AC2" s="56" t="s">
        <v>35</v>
      </c>
      <c r="AD2" s="38" t="s">
        <v>38</v>
      </c>
      <c r="AE2" s="57" t="s">
        <v>37</v>
      </c>
      <c r="AF2" s="60" t="s">
        <v>48</v>
      </c>
    </row>
    <row r="3" spans="1:32" ht="30" customHeight="1" thickBot="1">
      <c r="B3" s="1"/>
      <c r="C3" s="1"/>
      <c r="D3" s="1"/>
      <c r="E3" s="1">
        <v>0</v>
      </c>
      <c r="F3" s="1"/>
      <c r="G3" s="23"/>
    </row>
    <row r="4" spans="1:32" s="20" customFormat="1" ht="29.25" customHeight="1" thickBot="1">
      <c r="A4" s="23">
        <v>2013</v>
      </c>
      <c r="B4" s="23">
        <v>19295.650000000001</v>
      </c>
      <c r="C4" s="24">
        <f>B4*(1-0.3)</f>
        <v>13506.955</v>
      </c>
      <c r="D4" s="23">
        <v>1044.58</v>
      </c>
      <c r="E4" s="23">
        <v>33618.36</v>
      </c>
      <c r="F4" s="27">
        <v>18305.509999999998</v>
      </c>
      <c r="G4" s="24">
        <f>F4/2</f>
        <v>9152.7549999999992</v>
      </c>
      <c r="H4" s="23">
        <v>1319.96</v>
      </c>
      <c r="I4" s="23">
        <v>16123.08</v>
      </c>
      <c r="J4" s="95">
        <f>(I4/G4)*(1-0.3)</f>
        <v>1.233088397974162</v>
      </c>
      <c r="K4" s="29">
        <f>D4/E4</f>
        <v>3.1071712004987748E-2</v>
      </c>
      <c r="L4" s="29">
        <v>0.11668847826569605</v>
      </c>
      <c r="M4" s="29">
        <f>F4/E4</f>
        <v>0.54450930979381496</v>
      </c>
      <c r="N4" s="29">
        <f>K4*L4</f>
        <v>3.6257107909719796E-3</v>
      </c>
      <c r="O4" s="29">
        <f>M4*J4</f>
        <v>0.67142811249567202</v>
      </c>
      <c r="P4" s="96">
        <f>N4+O4</f>
        <v>0.67505382328664398</v>
      </c>
      <c r="Q4" s="23">
        <f>(E3+E4)/2</f>
        <v>16809.18</v>
      </c>
      <c r="R4" s="24">
        <f>P4*Q4</f>
        <v>11347.10122531339</v>
      </c>
      <c r="S4" s="24">
        <f>C4-R4</f>
        <v>2159.8537746866095</v>
      </c>
      <c r="T4" s="33">
        <f>C4/Q4</f>
        <v>0.80354633599021486</v>
      </c>
      <c r="U4" s="29">
        <f>T4-P4</f>
        <v>0.12849251270357087</v>
      </c>
      <c r="V4" s="23">
        <v>1014.96</v>
      </c>
      <c r="W4" s="46">
        <v>259656.68</v>
      </c>
      <c r="X4" s="47">
        <f>V4/W4</f>
        <v>3.9088537987930832E-3</v>
      </c>
      <c r="Y4" s="23">
        <v>9.7200000000000006</v>
      </c>
      <c r="Z4" s="51">
        <v>1.060381251614712</v>
      </c>
      <c r="AA4" s="23">
        <v>21860.65</v>
      </c>
      <c r="AB4" s="29">
        <f>C4/AA4</f>
        <v>0.61786612017483467</v>
      </c>
      <c r="AC4" s="23">
        <v>8631.57</v>
      </c>
      <c r="AD4" s="29">
        <f>V4/AC4</f>
        <v>0.11758695115720548</v>
      </c>
      <c r="AE4" s="71">
        <v>82491.74875757574</v>
      </c>
      <c r="AF4" s="30">
        <f>AE4-AB17</f>
        <v>79830.168757575739</v>
      </c>
    </row>
    <row r="5" spans="1:32" s="20" customFormat="1" ht="27.75" customHeight="1">
      <c r="A5" s="23">
        <v>2014</v>
      </c>
      <c r="B5" s="23">
        <v>21171.19</v>
      </c>
      <c r="C5" s="24">
        <f t="shared" ref="C5:C8" si="0">B5*(1-0.3)</f>
        <v>14819.832999999999</v>
      </c>
      <c r="D5" s="23">
        <v>1350.44</v>
      </c>
      <c r="E5" s="26">
        <v>37868.339999999997</v>
      </c>
      <c r="F5" s="26">
        <v>22079.78</v>
      </c>
      <c r="G5" s="24">
        <f>(F4+F5)/2</f>
        <v>20192.644999999997</v>
      </c>
      <c r="H5" s="23">
        <v>-994.84</v>
      </c>
      <c r="I5" s="23">
        <v>17933.16</v>
      </c>
      <c r="J5" s="95">
        <f>(I5/G5)*(1-0.3)</f>
        <v>0.62167249510898648</v>
      </c>
      <c r="K5" s="29">
        <f t="shared" ref="K5:K8" si="1">D5/E5</f>
        <v>3.5661452284414905E-2</v>
      </c>
      <c r="L5" s="29">
        <v>0.1166646427973512</v>
      </c>
      <c r="M5" s="29">
        <f t="shared" ref="M5:M8" si="2">F5/E5</f>
        <v>0.58306701587658716</v>
      </c>
      <c r="N5" s="29">
        <f t="shared" ref="N5:N8" si="3">K5*L5</f>
        <v>4.1604305923960486E-3</v>
      </c>
      <c r="O5" s="29">
        <f t="shared" ref="O5:O8" si="4">M5*J5</f>
        <v>0.36247672657574898</v>
      </c>
      <c r="P5" s="96">
        <f t="shared" ref="P5:P8" si="5">(N5+O5)</f>
        <v>0.36663715716814504</v>
      </c>
      <c r="Q5" s="23">
        <f t="shared" ref="Q5:Q8" si="6">(E4+E5)/2</f>
        <v>35743.35</v>
      </c>
      <c r="R5" s="24">
        <f t="shared" ref="R5:R8" si="7">P5*Q5</f>
        <v>13104.840231666016</v>
      </c>
      <c r="S5" s="24">
        <f t="shared" ref="S5:S8" si="8">C5-R5</f>
        <v>1714.9927683339829</v>
      </c>
      <c r="T5" s="33">
        <f t="shared" ref="T5:T8" si="9">C5/Q5</f>
        <v>0.4146179079465131</v>
      </c>
      <c r="U5" s="29">
        <f t="shared" ref="U5:U8" si="10">T5-P5</f>
        <v>4.7980750778368053E-2</v>
      </c>
      <c r="V5" s="23">
        <v>-1262.8399999999999</v>
      </c>
      <c r="W5" s="23">
        <v>277937.32</v>
      </c>
      <c r="X5" s="30">
        <f>V5/W5</f>
        <v>-4.5436143660016574E-3</v>
      </c>
      <c r="Y5" s="23">
        <v>-9.35</v>
      </c>
      <c r="Z5" s="51">
        <v>1.2489170853333362</v>
      </c>
      <c r="AA5" s="23">
        <v>24427.55</v>
      </c>
      <c r="AB5" s="29">
        <f t="shared" ref="AB5:AB8" si="11">C5/AA5</f>
        <v>0.60668519765592532</v>
      </c>
      <c r="AC5" s="23">
        <v>17471.14</v>
      </c>
      <c r="AD5" s="29">
        <f t="shared" ref="AD5:AD8" si="12">V5/AC5</f>
        <v>-7.2281488214277947E-2</v>
      </c>
      <c r="AE5" s="71">
        <v>76740.220869565237</v>
      </c>
      <c r="AF5" s="30">
        <f t="shared" ref="AF5:AF8" si="13">AE5-AB18</f>
        <v>73772.780869565235</v>
      </c>
    </row>
    <row r="6" spans="1:32" ht="29.25" customHeight="1" thickBot="1">
      <c r="A6" s="23">
        <v>2015</v>
      </c>
      <c r="B6" s="23">
        <v>22720.83</v>
      </c>
      <c r="C6" s="24">
        <f t="shared" si="0"/>
        <v>15904.581</v>
      </c>
      <c r="D6" s="23">
        <v>1658.27</v>
      </c>
      <c r="E6" s="26">
        <v>43431.040000000001</v>
      </c>
      <c r="F6" s="26">
        <v>25974.13</v>
      </c>
      <c r="G6" s="24">
        <f>(F5+F6)/2</f>
        <v>24026.955000000002</v>
      </c>
      <c r="H6" s="23">
        <v>890.45</v>
      </c>
      <c r="I6" s="23">
        <v>19161.71</v>
      </c>
      <c r="J6" s="95">
        <f t="shared" ref="J6:J8" si="14">I6/G6*(1-0.3)</f>
        <v>0.55825621681981752</v>
      </c>
      <c r="K6" s="29">
        <f t="shared" si="1"/>
        <v>3.8181678357230221E-2</v>
      </c>
      <c r="L6" s="29">
        <v>0.28526407131922005</v>
      </c>
      <c r="M6" s="29">
        <f t="shared" si="2"/>
        <v>0.59805452505857559</v>
      </c>
      <c r="N6" s="29">
        <f t="shared" si="3"/>
        <v>1.0891861017984443E-2</v>
      </c>
      <c r="O6" s="29">
        <f t="shared" si="4"/>
        <v>0.33386765661117318</v>
      </c>
      <c r="P6" s="96">
        <f t="shared" si="5"/>
        <v>0.34475951762915763</v>
      </c>
      <c r="Q6" s="23">
        <f t="shared" si="6"/>
        <v>40649.69</v>
      </c>
      <c r="R6" s="24">
        <f t="shared" si="7"/>
        <v>14014.367516174794</v>
      </c>
      <c r="S6" s="24">
        <f t="shared" si="8"/>
        <v>1890.2134838252059</v>
      </c>
      <c r="T6" s="33">
        <f t="shared" si="9"/>
        <v>0.39125958894151469</v>
      </c>
      <c r="U6" s="29">
        <f t="shared" si="10"/>
        <v>4.6500071312357061E-2</v>
      </c>
      <c r="V6" s="23">
        <v>606.45000000000005</v>
      </c>
      <c r="W6" s="23">
        <v>299003.44</v>
      </c>
      <c r="X6" s="30">
        <f>V6/W6</f>
        <v>2.0282375346584642E-3</v>
      </c>
      <c r="Y6" s="48">
        <v>3.66</v>
      </c>
      <c r="Z6" s="52">
        <v>1.4878996340131214</v>
      </c>
      <c r="AA6" s="23">
        <v>26408.78</v>
      </c>
      <c r="AB6" s="29">
        <f t="shared" si="11"/>
        <v>0.60224595759440613</v>
      </c>
      <c r="AC6" s="23">
        <v>17466.396666666667</v>
      </c>
      <c r="AD6" s="29">
        <f t="shared" si="12"/>
        <v>3.4720956564404909E-2</v>
      </c>
      <c r="AE6" s="71">
        <v>124397.51434909919</v>
      </c>
      <c r="AF6" s="30">
        <f t="shared" si="13"/>
        <v>122739.24434909919</v>
      </c>
    </row>
    <row r="7" spans="1:32" ht="27" customHeight="1">
      <c r="A7" s="23">
        <v>2016</v>
      </c>
      <c r="B7" s="23">
        <v>21465.21</v>
      </c>
      <c r="C7" s="24">
        <f t="shared" si="0"/>
        <v>15025.646999999999</v>
      </c>
      <c r="D7" s="23">
        <v>1689.71</v>
      </c>
      <c r="E7" s="26">
        <v>27422.03</v>
      </c>
      <c r="F7" s="26">
        <v>9207.89</v>
      </c>
      <c r="G7" s="24">
        <f>(F6+F7)/2</f>
        <v>17591.010000000002</v>
      </c>
      <c r="H7" s="23">
        <v>-2368.67</v>
      </c>
      <c r="I7" s="23">
        <v>18822.27</v>
      </c>
      <c r="J7" s="95">
        <f t="shared" si="14"/>
        <v>0.74899559490899026</v>
      </c>
      <c r="K7" s="29">
        <f t="shared" si="1"/>
        <v>6.1618705836147071E-2</v>
      </c>
      <c r="L7" s="29">
        <v>-7.2353171600793673E-2</v>
      </c>
      <c r="M7" s="29">
        <f t="shared" si="2"/>
        <v>0.33578440399926629</v>
      </c>
      <c r="N7" s="29">
        <f t="shared" si="3"/>
        <v>-4.4583087971815753E-3</v>
      </c>
      <c r="O7" s="29">
        <f t="shared" si="4"/>
        <v>0.25150103943459118</v>
      </c>
      <c r="P7" s="96">
        <f t="shared" si="5"/>
        <v>0.24704273063740961</v>
      </c>
      <c r="Q7" s="23">
        <f t="shared" si="6"/>
        <v>35426.535000000003</v>
      </c>
      <c r="R7" s="24">
        <f t="shared" si="7"/>
        <v>8751.8679434217647</v>
      </c>
      <c r="S7" s="24">
        <f t="shared" si="8"/>
        <v>6273.7790565782343</v>
      </c>
      <c r="T7" s="33">
        <f t="shared" si="9"/>
        <v>0.42413538326567918</v>
      </c>
      <c r="U7" s="29">
        <f t="shared" si="10"/>
        <v>0.17709265262826956</v>
      </c>
      <c r="V7" s="23">
        <v>-1418.19</v>
      </c>
      <c r="W7" s="23">
        <v>293606.21999999997</v>
      </c>
      <c r="X7" s="30">
        <f>V7/W7</f>
        <v>-4.8302450813201446E-3</v>
      </c>
      <c r="Y7" s="23">
        <v>-8.39</v>
      </c>
      <c r="Z7" s="51">
        <v>0.58320011451329312</v>
      </c>
      <c r="AA7" s="23">
        <v>25887.9</v>
      </c>
      <c r="AB7" s="29">
        <f t="shared" si="11"/>
        <v>0.58041196852583632</v>
      </c>
      <c r="AC7" s="23">
        <v>13637.55</v>
      </c>
      <c r="AD7" s="29">
        <f t="shared" si="12"/>
        <v>-0.10399155273491208</v>
      </c>
      <c r="AE7" s="71">
        <v>143483.7997324561</v>
      </c>
      <c r="AF7" s="30">
        <f t="shared" si="13"/>
        <v>141794.08973245611</v>
      </c>
    </row>
    <row r="8" spans="1:32" ht="29.25" customHeight="1">
      <c r="A8" s="23">
        <v>2017</v>
      </c>
      <c r="B8" s="23">
        <v>21176.02</v>
      </c>
      <c r="C8" s="24">
        <f t="shared" si="0"/>
        <v>14823.214</v>
      </c>
      <c r="D8" s="23">
        <v>1902.17</v>
      </c>
      <c r="E8" s="26">
        <v>27233.59</v>
      </c>
      <c r="F8" s="26">
        <v>9282.4500000000007</v>
      </c>
      <c r="G8" s="24">
        <f>(F7+F8)/2</f>
        <v>9245.17</v>
      </c>
      <c r="H8" s="23">
        <v>-3528.9</v>
      </c>
      <c r="I8" s="23">
        <v>18087.400000000001</v>
      </c>
      <c r="J8" s="95">
        <f t="shared" si="14"/>
        <v>1.3694913127611499</v>
      </c>
      <c r="K8" s="29">
        <f t="shared" si="1"/>
        <v>6.9846465339310757E-2</v>
      </c>
      <c r="L8" s="29">
        <v>0.21013646649671847</v>
      </c>
      <c r="M8" s="29">
        <f t="shared" si="2"/>
        <v>0.34084562483315645</v>
      </c>
      <c r="N8" s="29">
        <f t="shared" si="3"/>
        <v>1.4677289423688282E-2</v>
      </c>
      <c r="O8" s="29">
        <f t="shared" si="4"/>
        <v>0.4667851222016538</v>
      </c>
      <c r="P8" s="96">
        <f t="shared" si="5"/>
        <v>0.48146241162534209</v>
      </c>
      <c r="Q8" s="23">
        <f t="shared" si="6"/>
        <v>27327.809999999998</v>
      </c>
      <c r="R8" s="24">
        <f t="shared" si="7"/>
        <v>13157.31330703914</v>
      </c>
      <c r="S8" s="24">
        <f t="shared" si="8"/>
        <v>1665.9006929608604</v>
      </c>
      <c r="T8" s="33">
        <f t="shared" si="9"/>
        <v>0.54242231631440652</v>
      </c>
      <c r="U8" s="29">
        <f t="shared" si="10"/>
        <v>6.0959904689064426E-2</v>
      </c>
      <c r="V8" s="23">
        <v>-2439.1</v>
      </c>
      <c r="W8" s="23">
        <v>323904.78000000003</v>
      </c>
      <c r="X8" s="30">
        <f>V8/W8</f>
        <v>-7.5302994911035266E-3</v>
      </c>
      <c r="Y8" s="23">
        <v>-12.82</v>
      </c>
      <c r="Z8" s="51">
        <v>0.60618696062457356</v>
      </c>
      <c r="AA8" s="23">
        <v>24661.41</v>
      </c>
      <c r="AB8" s="29">
        <f t="shared" si="11"/>
        <v>0.6010692008283387</v>
      </c>
      <c r="AC8" s="23">
        <v>16700.120000000003</v>
      </c>
      <c r="AD8" s="29">
        <f t="shared" si="12"/>
        <v>-0.14605284273406416</v>
      </c>
      <c r="AE8" s="71">
        <v>171259.40396696</v>
      </c>
      <c r="AF8" s="30">
        <f t="shared" si="13"/>
        <v>169357.23396695999</v>
      </c>
    </row>
    <row r="9" spans="1:32" ht="49.5" customHeight="1">
      <c r="C9" s="24">
        <f>AVERAGE(C4:C8)</f>
        <v>14816.045999999998</v>
      </c>
      <c r="N9" s="16"/>
      <c r="P9" s="29">
        <f>AVERAGE(P4:P8)</f>
        <v>0.42299112806933969</v>
      </c>
      <c r="Q9" s="23">
        <f>SUM(Q4:Q8)</f>
        <v>155956.565</v>
      </c>
      <c r="S9" s="24">
        <f>AVERAGE(S4:S8)</f>
        <v>2740.9479552769785</v>
      </c>
      <c r="T9" s="33">
        <f>AVERAGE(T4:T8)</f>
        <v>0.51519630649166559</v>
      </c>
      <c r="U9" s="29">
        <f>AVERAGE(U4:U8)</f>
        <v>9.2205178422325992E-2</v>
      </c>
      <c r="W9" s="23">
        <f>SUM(W4:W8)</f>
        <v>1454108.44</v>
      </c>
      <c r="X9" s="30">
        <f>AVERAGE(X4:X8)</f>
        <v>-2.1934135209947564E-3</v>
      </c>
      <c r="Y9" s="23">
        <f>AVERAGE(Y4:Y8)</f>
        <v>-3.4359999999999999</v>
      </c>
      <c r="Z9" s="51">
        <f>AVERAGE(Z4:Z8)</f>
        <v>0.99731700921980726</v>
      </c>
      <c r="AB9" s="29">
        <f>AVERAGE(AB4:AB8)</f>
        <v>0.60165568895586818</v>
      </c>
      <c r="AD9" s="29">
        <f>AVERAGE(AD4:AD8)</f>
        <v>-3.4003595192328762E-2</v>
      </c>
    </row>
    <row r="10" spans="1:32" ht="28.5" customHeight="1">
      <c r="B10" s="1"/>
      <c r="P10" s="1">
        <v>33618.36</v>
      </c>
    </row>
    <row r="11" spans="1:32">
      <c r="P11" s="2">
        <v>37868.339999999997</v>
      </c>
    </row>
    <row r="12" spans="1:32">
      <c r="K12" s="94" t="s">
        <v>64</v>
      </c>
      <c r="P12" s="2">
        <v>43431.040000000001</v>
      </c>
    </row>
    <row r="13" spans="1:32">
      <c r="F13">
        <v>1334.34</v>
      </c>
      <c r="G13" s="25">
        <f>F13/2</f>
        <v>667.17</v>
      </c>
      <c r="I13">
        <v>1772</v>
      </c>
      <c r="J13">
        <v>1</v>
      </c>
      <c r="K13">
        <v>0.35</v>
      </c>
      <c r="L13">
        <v>25646</v>
      </c>
      <c r="M13">
        <f>(I13*(J13-K13))</f>
        <v>1151.8</v>
      </c>
      <c r="N13" s="85">
        <f>M13/L13</f>
        <v>4.4911487171488733E-2</v>
      </c>
      <c r="P13" s="2">
        <v>27422.03</v>
      </c>
    </row>
    <row r="14" spans="1:32">
      <c r="F14">
        <v>1570</v>
      </c>
      <c r="G14" s="25">
        <f>F14/2</f>
        <v>785</v>
      </c>
      <c r="P14" s="2">
        <v>27233.59</v>
      </c>
    </row>
    <row r="15" spans="1:32">
      <c r="F15">
        <v>1338.58</v>
      </c>
    </row>
    <row r="16" spans="1:32">
      <c r="G16" s="25">
        <f>F13+F14</f>
        <v>2904.34</v>
      </c>
      <c r="H16">
        <f>G16+F15</f>
        <v>4242.92</v>
      </c>
      <c r="P16">
        <f>AVERAGE(P10:P15)</f>
        <v>33914.671999999999</v>
      </c>
    </row>
    <row r="17" spans="7:28">
      <c r="G17" s="25">
        <f>G16/2</f>
        <v>1452.17</v>
      </c>
      <c r="H17">
        <f>H16/3</f>
        <v>1414.3066666666666</v>
      </c>
      <c r="AB17" s="23">
        <v>2661.58</v>
      </c>
    </row>
    <row r="18" spans="7:28">
      <c r="AB18" s="23">
        <v>2967.44</v>
      </c>
    </row>
    <row r="19" spans="7:28">
      <c r="AB19" s="23">
        <v>1658.27</v>
      </c>
    </row>
    <row r="20" spans="7:28">
      <c r="AB20" s="23">
        <v>1689.71</v>
      </c>
    </row>
    <row r="21" spans="7:28">
      <c r="AB21" s="23">
        <v>1902.17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5"/>
  <sheetViews>
    <sheetView tabSelected="1" topLeftCell="U63" workbookViewId="0">
      <selection activeCell="V75" sqref="V75"/>
    </sheetView>
  </sheetViews>
  <sheetFormatPr defaultRowHeight="15"/>
  <cols>
    <col min="2" max="2" width="16.7109375" customWidth="1"/>
    <col min="3" max="3" width="11.140625" customWidth="1"/>
    <col min="4" max="4" width="15.7109375" customWidth="1"/>
    <col min="7" max="7" width="10.5703125" bestFit="1" customWidth="1"/>
    <col min="8" max="8" width="16.28515625" customWidth="1"/>
    <col min="22" max="22" width="3" customWidth="1"/>
    <col min="23" max="23" width="12.85546875" customWidth="1"/>
    <col min="24" max="24" width="11.85546875" customWidth="1"/>
    <col min="25" max="25" width="13.42578125" customWidth="1"/>
    <col min="26" max="26" width="18.5703125" customWidth="1"/>
    <col min="27" max="27" width="16.5703125" customWidth="1"/>
    <col min="30" max="30" width="12.5703125" customWidth="1"/>
  </cols>
  <sheetData>
    <row r="1" spans="1:27" ht="30.75" customHeight="1">
      <c r="A1" s="1"/>
      <c r="C1" s="32" t="s">
        <v>5</v>
      </c>
      <c r="D1" s="1"/>
      <c r="H1" s="43" t="s">
        <v>29</v>
      </c>
      <c r="Y1" t="s">
        <v>65</v>
      </c>
    </row>
    <row r="2" spans="1:27" ht="24" customHeight="1" thickBot="1">
      <c r="A2" s="23" t="s">
        <v>1</v>
      </c>
      <c r="B2" s="1" t="s">
        <v>22</v>
      </c>
      <c r="C2" s="23" t="s">
        <v>15</v>
      </c>
      <c r="D2" s="23" t="s">
        <v>16</v>
      </c>
      <c r="F2" s="23" t="s">
        <v>30</v>
      </c>
      <c r="G2" s="23" t="s">
        <v>31</v>
      </c>
      <c r="H2" s="44" t="s">
        <v>32</v>
      </c>
      <c r="J2" t="s">
        <v>36</v>
      </c>
    </row>
    <row r="3" spans="1:27" ht="49.5" customHeight="1" thickBot="1">
      <c r="A3" s="23">
        <v>2013</v>
      </c>
      <c r="B3" s="23">
        <f>C3+D3</f>
        <v>33618.36</v>
      </c>
      <c r="C3" s="31">
        <v>15312.85</v>
      </c>
      <c r="D3" s="27">
        <v>18305.509999999998</v>
      </c>
      <c r="F3">
        <f>R14+R15</f>
        <v>244343.82</v>
      </c>
      <c r="G3" s="14">
        <v>15312.85</v>
      </c>
      <c r="H3" s="16">
        <f>F3/G3</f>
        <v>15.956782702109667</v>
      </c>
      <c r="J3" t="e">
        <f>#REF!/2</f>
        <v>#REF!</v>
      </c>
      <c r="M3" s="64">
        <v>9282.4500000000007</v>
      </c>
      <c r="N3" s="66">
        <v>296671.19</v>
      </c>
      <c r="O3">
        <f>M3+N3</f>
        <v>305953.64</v>
      </c>
      <c r="S3" s="72"/>
      <c r="X3" s="83" t="s">
        <v>44</v>
      </c>
      <c r="Y3" s="97" t="s">
        <v>14</v>
      </c>
      <c r="Z3" s="98" t="s">
        <v>7</v>
      </c>
      <c r="AA3" s="99" t="s">
        <v>9</v>
      </c>
    </row>
    <row r="4" spans="1:27" ht="30" customHeight="1" thickBot="1">
      <c r="A4" s="23">
        <v>2014</v>
      </c>
      <c r="B4" s="23">
        <f t="shared" ref="B4:B7" si="0">C4+D4</f>
        <v>37868.339999999997</v>
      </c>
      <c r="C4" s="23">
        <v>15788.56</v>
      </c>
      <c r="D4" s="23">
        <v>22079.78</v>
      </c>
      <c r="F4">
        <f>Q14+Q15</f>
        <v>262148.77</v>
      </c>
      <c r="G4" s="59">
        <v>15788.56</v>
      </c>
      <c r="H4" s="16">
        <f>F4/G4</f>
        <v>16.603716235046136</v>
      </c>
      <c r="J4" t="e">
        <f>(#REF!+#REF!)/2</f>
        <v>#REF!</v>
      </c>
      <c r="M4" s="64">
        <v>9207.89</v>
      </c>
      <c r="N4" s="66">
        <v>266184.19</v>
      </c>
      <c r="O4">
        <f t="shared" ref="O4:O7" si="1">M4+N4</f>
        <v>275392.08</v>
      </c>
      <c r="X4" s="83" t="s">
        <v>39</v>
      </c>
      <c r="Y4" s="90">
        <v>16123.08</v>
      </c>
      <c r="Z4" s="100">
        <f>Y4/2</f>
        <v>8061.54</v>
      </c>
      <c r="AA4" s="101">
        <v>1.233088397974162</v>
      </c>
    </row>
    <row r="5" spans="1:27" ht="31.5" customHeight="1" thickBot="1">
      <c r="A5" s="23">
        <v>2015</v>
      </c>
      <c r="B5" s="23">
        <f t="shared" si="0"/>
        <v>43431.040000000001</v>
      </c>
      <c r="C5" s="23">
        <v>17456.91</v>
      </c>
      <c r="D5" s="23">
        <v>25974.13</v>
      </c>
      <c r="F5">
        <f>P14+P15</f>
        <v>281546.52</v>
      </c>
      <c r="G5" s="59">
        <v>17456.91</v>
      </c>
      <c r="H5" s="16">
        <f>F5/G5</f>
        <v>16.128084523549703</v>
      </c>
      <c r="J5" t="e">
        <f>(#REF!+#REF!+#REF!)/3</f>
        <v>#REF!</v>
      </c>
      <c r="M5" s="64">
        <v>25974.13</v>
      </c>
      <c r="N5" s="66">
        <v>255572.39</v>
      </c>
      <c r="O5">
        <f t="shared" si="1"/>
        <v>281546.52</v>
      </c>
      <c r="X5" s="83" t="s">
        <v>40</v>
      </c>
      <c r="Y5" s="90">
        <v>17933.16</v>
      </c>
      <c r="Z5" s="100">
        <f>(Y4+Y5)/2</f>
        <v>17028.12</v>
      </c>
      <c r="AA5" s="101">
        <v>0.62167249510898648</v>
      </c>
    </row>
    <row r="6" spans="1:27" ht="25.5" customHeight="1" thickBot="1">
      <c r="A6" s="23">
        <v>2016</v>
      </c>
      <c r="B6" s="23">
        <f t="shared" si="0"/>
        <v>27422.03</v>
      </c>
      <c r="C6" s="23">
        <v>18214.14</v>
      </c>
      <c r="D6" s="23">
        <v>9207.89</v>
      </c>
      <c r="F6">
        <f>O14+O15</f>
        <v>275392.08</v>
      </c>
      <c r="G6" s="59">
        <v>18214.14</v>
      </c>
      <c r="H6" s="16">
        <f>F6/G6</f>
        <v>15.119686133959661</v>
      </c>
      <c r="J6" t="e">
        <f>(#REF!+#REF!+#REF!+#REF!)/5</f>
        <v>#REF!</v>
      </c>
      <c r="M6" s="64">
        <v>22079.78</v>
      </c>
      <c r="N6" s="66">
        <v>240068.99</v>
      </c>
      <c r="O6">
        <f>M6+N6</f>
        <v>262148.77</v>
      </c>
      <c r="X6" s="83" t="s">
        <v>41</v>
      </c>
      <c r="Y6" s="90">
        <v>19161.71</v>
      </c>
      <c r="Z6" s="100">
        <f>(Y5+Y6)/2</f>
        <v>18547.434999999998</v>
      </c>
      <c r="AA6" s="101">
        <v>0.55825621681981752</v>
      </c>
    </row>
    <row r="7" spans="1:27" ht="29.25" customHeight="1" thickBot="1">
      <c r="A7" s="23">
        <v>2017</v>
      </c>
      <c r="B7" s="23">
        <f t="shared" si="0"/>
        <v>27233.59</v>
      </c>
      <c r="C7" s="23">
        <v>17951.14</v>
      </c>
      <c r="D7" s="23">
        <v>9282.4500000000007</v>
      </c>
      <c r="F7">
        <f>N14+N15</f>
        <v>305953.64</v>
      </c>
      <c r="G7" s="59">
        <v>17951.14</v>
      </c>
      <c r="H7" s="16">
        <f>F7/G7</f>
        <v>17.043688590251094</v>
      </c>
      <c r="J7" t="e">
        <f>(#REF!+#REF!+#REF!+#REF!+#REF!)/5</f>
        <v>#REF!</v>
      </c>
      <c r="M7" s="65">
        <v>18305.509999999998</v>
      </c>
      <c r="N7" s="67">
        <v>226038.31</v>
      </c>
      <c r="O7">
        <f t="shared" si="1"/>
        <v>244343.82</v>
      </c>
      <c r="X7" s="83" t="s">
        <v>42</v>
      </c>
      <c r="Y7" s="90">
        <v>18822.27</v>
      </c>
      <c r="Z7" s="100">
        <f>(Y6+Y7)/2</f>
        <v>18991.989999999998</v>
      </c>
      <c r="AA7" s="101">
        <v>0.74899559490899026</v>
      </c>
    </row>
    <row r="8" spans="1:27" ht="28.5" customHeight="1">
      <c r="X8" s="83" t="s">
        <v>43</v>
      </c>
      <c r="Y8" s="90">
        <v>18087.400000000001</v>
      </c>
      <c r="Z8" s="100">
        <f>(Y7+Y8)/2</f>
        <v>18454.834999999999</v>
      </c>
      <c r="AA8" s="101">
        <v>1.3694913127611499</v>
      </c>
    </row>
    <row r="12" spans="1:27">
      <c r="A12" s="68"/>
      <c r="B12" s="68"/>
      <c r="C12" s="68"/>
      <c r="D12" s="68"/>
      <c r="H12" s="68"/>
    </row>
    <row r="13" spans="1:27" ht="34.5" customHeight="1" thickBot="1">
      <c r="A13" s="68"/>
      <c r="B13" s="68"/>
      <c r="C13" s="68"/>
      <c r="D13" s="68"/>
      <c r="H13" s="68"/>
      <c r="X13" s="80" t="s">
        <v>44</v>
      </c>
      <c r="Y13" s="102" t="s">
        <v>17</v>
      </c>
      <c r="Z13" s="102" t="s">
        <v>18</v>
      </c>
      <c r="AA13" s="103" t="s">
        <v>12</v>
      </c>
    </row>
    <row r="14" spans="1:27" ht="32.25" customHeight="1" thickBot="1">
      <c r="A14" s="68"/>
      <c r="B14" s="68"/>
      <c r="C14" s="68"/>
      <c r="D14" s="68"/>
      <c r="H14" s="68"/>
      <c r="M14" s="63"/>
      <c r="N14" s="64">
        <v>9282.4500000000007</v>
      </c>
      <c r="O14" s="64">
        <v>9207.89</v>
      </c>
      <c r="P14" s="64">
        <v>25974.13</v>
      </c>
      <c r="Q14" s="64">
        <v>22079.78</v>
      </c>
      <c r="R14" s="65">
        <v>18305.509999999998</v>
      </c>
      <c r="X14" s="83" t="s">
        <v>39</v>
      </c>
      <c r="Y14" s="104">
        <v>3.6257107909719796E-3</v>
      </c>
      <c r="Z14" s="104">
        <v>0.67142811249567202</v>
      </c>
      <c r="AA14" s="105">
        <f>Y14+Z14</f>
        <v>0.67505382328664398</v>
      </c>
    </row>
    <row r="15" spans="1:27" ht="30.75" customHeight="1" thickBot="1">
      <c r="A15" s="68"/>
      <c r="B15" s="68"/>
      <c r="C15" s="68"/>
      <c r="D15" s="68"/>
      <c r="H15" t="s">
        <v>49</v>
      </c>
      <c r="N15" s="66">
        <v>296671.19</v>
      </c>
      <c r="O15" s="66">
        <v>266184.19</v>
      </c>
      <c r="P15" s="66">
        <v>255572.39</v>
      </c>
      <c r="Q15" s="66">
        <v>240068.99</v>
      </c>
      <c r="R15" s="67">
        <v>226038.31</v>
      </c>
      <c r="X15" s="83" t="s">
        <v>40</v>
      </c>
      <c r="Y15" s="104">
        <v>4.1604305923960486E-3</v>
      </c>
      <c r="Z15" s="104">
        <v>0.36247672657574898</v>
      </c>
      <c r="AA15" s="105">
        <f t="shared" ref="AA15:AA18" si="2">(Y15+Z15)</f>
        <v>0.36663715716814504</v>
      </c>
    </row>
    <row r="16" spans="1:27" ht="30.75" customHeight="1">
      <c r="A16" s="68"/>
      <c r="B16" s="68"/>
      <c r="C16" s="68"/>
      <c r="D16" s="68"/>
      <c r="G16" s="69">
        <v>1902.17</v>
      </c>
      <c r="H16" s="70">
        <v>90.03370044052869</v>
      </c>
      <c r="I16" s="68">
        <f>G16*H16</f>
        <v>171259.40396696047</v>
      </c>
      <c r="X16" s="83" t="s">
        <v>41</v>
      </c>
      <c r="Y16" s="104">
        <v>1.0891861017984443E-2</v>
      </c>
      <c r="Z16" s="104">
        <v>0.33386765661117318</v>
      </c>
      <c r="AA16" s="105">
        <f t="shared" si="2"/>
        <v>0.34475951762915763</v>
      </c>
    </row>
    <row r="17" spans="1:27" ht="30.75" customHeight="1">
      <c r="A17" s="62"/>
      <c r="G17" s="69">
        <v>1689.71</v>
      </c>
      <c r="H17" s="70">
        <v>84.916228070175407</v>
      </c>
      <c r="I17" s="68">
        <f>G17*H17</f>
        <v>143483.7997324561</v>
      </c>
      <c r="X17" s="83" t="s">
        <v>42</v>
      </c>
      <c r="Y17" s="104">
        <v>-4.4583087971815753E-3</v>
      </c>
      <c r="Z17" s="104">
        <v>0.25150103943459118</v>
      </c>
      <c r="AA17" s="105">
        <f t="shared" si="2"/>
        <v>0.24704273063740961</v>
      </c>
    </row>
    <row r="18" spans="1:27" ht="30.75" customHeight="1">
      <c r="A18" s="62"/>
      <c r="G18" s="69">
        <v>1658.27</v>
      </c>
      <c r="H18" s="70">
        <v>75.016441441441501</v>
      </c>
      <c r="I18" s="68">
        <f>G18*H18</f>
        <v>124397.51434909919</v>
      </c>
      <c r="X18" s="83" t="s">
        <v>43</v>
      </c>
      <c r="Y18" s="104">
        <v>1.4677289423688282E-2</v>
      </c>
      <c r="Z18" s="104">
        <v>0.4667851222016538</v>
      </c>
      <c r="AA18" s="105">
        <f t="shared" si="2"/>
        <v>0.48146241162534209</v>
      </c>
    </row>
    <row r="19" spans="1:27" ht="15.75">
      <c r="G19" s="69">
        <v>1350.44</v>
      </c>
      <c r="H19" s="70">
        <v>56.826086956521756</v>
      </c>
      <c r="I19" s="68">
        <f>G19*H19</f>
        <v>76740.220869565237</v>
      </c>
    </row>
    <row r="20" spans="1:27" ht="15.75">
      <c r="G20" s="69">
        <v>1044.58</v>
      </c>
      <c r="H20" s="70">
        <v>78.971212121212105</v>
      </c>
      <c r="I20" s="68">
        <f>G20*H20</f>
        <v>82491.74875757574</v>
      </c>
    </row>
    <row r="25" spans="1:27" ht="18" customHeight="1"/>
    <row r="26" spans="1:27" ht="43.5" customHeight="1">
      <c r="X26" s="80" t="s">
        <v>1</v>
      </c>
      <c r="Y26" s="80" t="s">
        <v>2</v>
      </c>
      <c r="Z26" s="80" t="s">
        <v>3</v>
      </c>
    </row>
    <row r="27" spans="1:27" ht="30" customHeight="1">
      <c r="X27" s="83" t="s">
        <v>39</v>
      </c>
      <c r="Y27" s="80">
        <v>19295.650000000001</v>
      </c>
      <c r="Z27" s="80">
        <v>13506.955</v>
      </c>
    </row>
    <row r="28" spans="1:27" ht="30" customHeight="1">
      <c r="X28" s="83" t="s">
        <v>40</v>
      </c>
      <c r="Y28" s="80">
        <v>21171.19</v>
      </c>
      <c r="Z28" s="80">
        <v>14819.832999999999</v>
      </c>
    </row>
    <row r="29" spans="1:27" ht="27" customHeight="1">
      <c r="X29" s="83" t="s">
        <v>41</v>
      </c>
      <c r="Y29" s="80">
        <v>22720.83</v>
      </c>
      <c r="Z29" s="80">
        <v>15904.581</v>
      </c>
    </row>
    <row r="30" spans="1:27" ht="29.25" customHeight="1">
      <c r="X30" s="83" t="s">
        <v>42</v>
      </c>
      <c r="Y30" s="80">
        <v>21465.21</v>
      </c>
      <c r="Z30" s="80">
        <v>15025.646999999999</v>
      </c>
    </row>
    <row r="31" spans="1:27" ht="31.5" customHeight="1">
      <c r="X31" s="83" t="s">
        <v>43</v>
      </c>
      <c r="Y31" s="80">
        <v>21176.02</v>
      </c>
      <c r="Z31" s="80">
        <v>14823.214</v>
      </c>
    </row>
    <row r="40" spans="23:26" ht="33" customHeight="1">
      <c r="W40" s="80" t="s">
        <v>1</v>
      </c>
      <c r="X40" s="106" t="s">
        <v>66</v>
      </c>
      <c r="Y40" s="80" t="s">
        <v>13</v>
      </c>
      <c r="Z40" s="75" t="s">
        <v>23</v>
      </c>
    </row>
    <row r="41" spans="23:26" ht="29.25" customHeight="1">
      <c r="W41" s="83" t="s">
        <v>39</v>
      </c>
      <c r="X41" s="79">
        <v>13506.955</v>
      </c>
      <c r="Y41" s="80">
        <v>16809.18</v>
      </c>
      <c r="Z41" s="107">
        <v>0.80354633599021486</v>
      </c>
    </row>
    <row r="42" spans="23:26" ht="30.75" customHeight="1">
      <c r="W42" s="83" t="s">
        <v>40</v>
      </c>
      <c r="X42" s="79">
        <v>14819.832999999999</v>
      </c>
      <c r="Y42" s="80">
        <v>35743.35</v>
      </c>
      <c r="Z42" s="107">
        <v>0.4146179079465131</v>
      </c>
    </row>
    <row r="43" spans="23:26" ht="34.5" customHeight="1">
      <c r="W43" s="83" t="s">
        <v>41</v>
      </c>
      <c r="X43" s="79">
        <v>15904.581</v>
      </c>
      <c r="Y43" s="80">
        <v>40649.69</v>
      </c>
      <c r="Z43" s="107">
        <v>0.39125958894151469</v>
      </c>
    </row>
    <row r="44" spans="23:26" ht="30.75" customHeight="1">
      <c r="W44" s="83" t="s">
        <v>42</v>
      </c>
      <c r="X44" s="79">
        <v>15025.646999999999</v>
      </c>
      <c r="Y44" s="80">
        <v>35426.535000000003</v>
      </c>
      <c r="Z44" s="107">
        <v>0.42413538326567918</v>
      </c>
    </row>
    <row r="45" spans="23:26" ht="30" customHeight="1">
      <c r="W45" s="83" t="s">
        <v>43</v>
      </c>
      <c r="X45" s="79">
        <v>14823.214</v>
      </c>
      <c r="Y45" s="80">
        <v>27327.809999999998</v>
      </c>
      <c r="Z45" s="107">
        <v>0.54242231631440652</v>
      </c>
    </row>
    <row r="49" spans="23:27" ht="30.75" customHeight="1"/>
    <row r="50" spans="23:27" ht="49.5" customHeight="1">
      <c r="W50" s="80" t="s">
        <v>1</v>
      </c>
      <c r="X50" s="106" t="s">
        <v>66</v>
      </c>
      <c r="Y50" s="108" t="s">
        <v>19</v>
      </c>
      <c r="Z50" s="108" t="s">
        <v>20</v>
      </c>
    </row>
    <row r="51" spans="23:27" ht="30" customHeight="1">
      <c r="W51" s="83" t="s">
        <v>39</v>
      </c>
      <c r="X51" s="79">
        <v>13506.955</v>
      </c>
      <c r="Y51" s="86">
        <v>11347.10122531339</v>
      </c>
      <c r="Z51" s="86">
        <v>2159.8537746866095</v>
      </c>
    </row>
    <row r="52" spans="23:27" ht="30" customHeight="1">
      <c r="W52" s="83" t="s">
        <v>40</v>
      </c>
      <c r="X52" s="79">
        <v>14819.832999999999</v>
      </c>
      <c r="Y52" s="86">
        <v>13104.840231666016</v>
      </c>
      <c r="Z52" s="86">
        <v>1714.9927683339829</v>
      </c>
    </row>
    <row r="53" spans="23:27" ht="27.75" customHeight="1">
      <c r="W53" s="83" t="s">
        <v>41</v>
      </c>
      <c r="X53" s="79">
        <v>15904.581</v>
      </c>
      <c r="Y53" s="86">
        <v>14014.367516174794</v>
      </c>
      <c r="Z53" s="86">
        <v>1890.2134838252059</v>
      </c>
    </row>
    <row r="54" spans="23:27" ht="28.5" customHeight="1">
      <c r="W54" s="83" t="s">
        <v>42</v>
      </c>
      <c r="X54" s="79">
        <v>15025.646999999999</v>
      </c>
      <c r="Y54" s="86">
        <v>8751.8679434217647</v>
      </c>
      <c r="Z54" s="86">
        <v>6273.7790565782343</v>
      </c>
    </row>
    <row r="55" spans="23:27" ht="30" customHeight="1">
      <c r="W55" s="83" t="s">
        <v>43</v>
      </c>
      <c r="X55" s="79">
        <v>14823.214</v>
      </c>
      <c r="Y55" s="86">
        <v>13157.31330703914</v>
      </c>
      <c r="Z55" s="86">
        <v>1665.9006929608604</v>
      </c>
    </row>
    <row r="56" spans="23:27" ht="29.25" customHeight="1"/>
    <row r="59" spans="23:27" ht="29.25" customHeight="1">
      <c r="W59" s="80" t="s">
        <v>1</v>
      </c>
      <c r="X59" s="109" t="s">
        <v>67</v>
      </c>
      <c r="Y59" s="80" t="s">
        <v>68</v>
      </c>
      <c r="Z59" s="80" t="s">
        <v>48</v>
      </c>
      <c r="AA59" s="80"/>
    </row>
    <row r="60" spans="23:27" ht="32.25" customHeight="1">
      <c r="W60" s="83" t="s">
        <v>39</v>
      </c>
      <c r="X60" s="110">
        <v>82491.74875757574</v>
      </c>
      <c r="Y60" s="79">
        <v>2661.58</v>
      </c>
      <c r="Z60" s="86">
        <v>79830.168757575739</v>
      </c>
      <c r="AA60" s="80"/>
    </row>
    <row r="61" spans="23:27" ht="30.75" customHeight="1">
      <c r="W61" s="83" t="s">
        <v>40</v>
      </c>
      <c r="X61" s="110">
        <v>76740.220869565237</v>
      </c>
      <c r="Y61" s="79">
        <v>2967.44</v>
      </c>
      <c r="Z61" s="86">
        <v>73772.780869565235</v>
      </c>
      <c r="AA61" s="80"/>
    </row>
    <row r="62" spans="23:27" ht="32.25" customHeight="1">
      <c r="W62" s="83" t="s">
        <v>41</v>
      </c>
      <c r="X62" s="110">
        <v>124397.51434909919</v>
      </c>
      <c r="Y62" s="79">
        <v>1658.27</v>
      </c>
      <c r="Z62" s="86">
        <v>122739.24434909919</v>
      </c>
      <c r="AA62" s="80"/>
    </row>
    <row r="63" spans="23:27" ht="31.5" customHeight="1">
      <c r="W63" s="83" t="s">
        <v>42</v>
      </c>
      <c r="X63" s="110">
        <v>143483.7997324561</v>
      </c>
      <c r="Y63" s="79">
        <v>1689.71</v>
      </c>
      <c r="Z63" s="86">
        <v>141794.08973245611</v>
      </c>
      <c r="AA63" s="80"/>
    </row>
    <row r="64" spans="23:27" ht="30.75" customHeight="1">
      <c r="W64" s="83" t="s">
        <v>43</v>
      </c>
      <c r="X64" s="110">
        <v>171259.40396696</v>
      </c>
      <c r="Y64" s="79">
        <v>1902.17</v>
      </c>
      <c r="Z64" s="86">
        <v>169357.23396695999</v>
      </c>
      <c r="AA64" s="80"/>
    </row>
    <row r="65" spans="23:30" ht="30.75" customHeight="1"/>
    <row r="67" spans="23:30" ht="30" customHeight="1"/>
    <row r="68" spans="23:30" ht="29.25" customHeight="1">
      <c r="W68" s="80" t="s">
        <v>1</v>
      </c>
      <c r="X68" s="80" t="s">
        <v>69</v>
      </c>
      <c r="Y68" s="80" t="s">
        <v>70</v>
      </c>
      <c r="Z68" s="80" t="s">
        <v>71</v>
      </c>
      <c r="AA68" s="80" t="s">
        <v>66</v>
      </c>
      <c r="AB68" s="80" t="s">
        <v>72</v>
      </c>
      <c r="AC68" s="80" t="s">
        <v>73</v>
      </c>
      <c r="AD68" s="80" t="s">
        <v>74</v>
      </c>
    </row>
    <row r="69" spans="23:30" ht="29.25" customHeight="1">
      <c r="W69" s="83" t="s">
        <v>39</v>
      </c>
      <c r="X69" s="101">
        <v>1.233088397974162</v>
      </c>
      <c r="Y69" s="107">
        <v>0.11668847826569605</v>
      </c>
      <c r="Z69" s="105">
        <f>X69+Y69</f>
        <v>1.3497768762398581</v>
      </c>
      <c r="AA69" s="86">
        <v>13506.955</v>
      </c>
      <c r="AB69" s="107">
        <v>0.80354633599021486</v>
      </c>
      <c r="AC69" s="86">
        <v>2159.8537746866095</v>
      </c>
      <c r="AD69" s="86">
        <v>79830.168757575739</v>
      </c>
    </row>
    <row r="70" spans="23:30" ht="30" customHeight="1">
      <c r="W70" s="83" t="s">
        <v>40</v>
      </c>
      <c r="X70" s="101">
        <v>0.62167249510898648</v>
      </c>
      <c r="Y70" s="107">
        <v>0.1166646427973512</v>
      </c>
      <c r="Z70" s="105">
        <f t="shared" ref="Z70:Z73" si="3">(X70+Y70)</f>
        <v>0.7383371379063377</v>
      </c>
      <c r="AA70" s="86">
        <v>14819.832999999999</v>
      </c>
      <c r="AB70" s="107">
        <v>0.4146179079465131</v>
      </c>
      <c r="AC70" s="86">
        <v>1714.9927683339829</v>
      </c>
      <c r="AD70" s="86">
        <v>73772.780869565235</v>
      </c>
    </row>
    <row r="71" spans="23:30" ht="28.5" customHeight="1">
      <c r="W71" s="83" t="s">
        <v>41</v>
      </c>
      <c r="X71" s="101">
        <v>0.55825621681981752</v>
      </c>
      <c r="Y71" s="107">
        <v>0.28526407131922005</v>
      </c>
      <c r="Z71" s="105">
        <f t="shared" si="3"/>
        <v>0.84352028813903757</v>
      </c>
      <c r="AA71" s="86">
        <v>15904.581</v>
      </c>
      <c r="AB71" s="107">
        <v>0.39125958894151469</v>
      </c>
      <c r="AC71" s="86">
        <v>1890.2134838252059</v>
      </c>
      <c r="AD71" s="86">
        <v>122739.24434909919</v>
      </c>
    </row>
    <row r="72" spans="23:30" ht="29.25" customHeight="1">
      <c r="W72" s="83" t="s">
        <v>42</v>
      </c>
      <c r="X72" s="101">
        <v>0.74899559490899026</v>
      </c>
      <c r="Y72" s="107">
        <v>-7.2353171600793673E-2</v>
      </c>
      <c r="Z72" s="105">
        <f t="shared" si="3"/>
        <v>0.67664242330819657</v>
      </c>
      <c r="AA72" s="86">
        <v>15025.646999999999</v>
      </c>
      <c r="AB72" s="107">
        <v>0.42413538326567918</v>
      </c>
      <c r="AC72" s="86">
        <v>6273.7790565782343</v>
      </c>
      <c r="AD72" s="86">
        <v>141794.08973245611</v>
      </c>
    </row>
    <row r="73" spans="23:30" ht="29.25" customHeight="1">
      <c r="W73" s="83" t="s">
        <v>43</v>
      </c>
      <c r="X73" s="101">
        <v>1.3694913127611499</v>
      </c>
      <c r="Y73" s="107">
        <v>0.21013646649671847</v>
      </c>
      <c r="Z73" s="105">
        <f t="shared" si="3"/>
        <v>1.5796277792578683</v>
      </c>
      <c r="AA73" s="86">
        <v>14823.214</v>
      </c>
      <c r="AB73" s="107">
        <v>0.54242231631440652</v>
      </c>
      <c r="AC73" s="86">
        <v>1665.9006929608604</v>
      </c>
      <c r="AD73" s="86">
        <v>169357.23396695999</v>
      </c>
    </row>
    <row r="74" spans="23:30" ht="30" customHeight="1"/>
    <row r="75" spans="23:30" ht="30" customHeight="1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topLeftCell="A48" workbookViewId="0">
      <selection activeCell="C53" sqref="C53:H58"/>
    </sheetView>
  </sheetViews>
  <sheetFormatPr defaultRowHeight="15"/>
  <cols>
    <col min="1" max="1" width="12.7109375" customWidth="1"/>
    <col min="2" max="2" width="18.140625" customWidth="1"/>
    <col min="3" max="3" width="12.140625" customWidth="1"/>
    <col min="4" max="4" width="13.85546875" customWidth="1"/>
    <col min="5" max="5" width="15.5703125" customWidth="1"/>
    <col min="6" max="6" width="14.42578125" customWidth="1"/>
    <col min="7" max="7" width="16.7109375" customWidth="1"/>
    <col min="8" max="8" width="14.5703125" customWidth="1"/>
  </cols>
  <sheetData>
    <row r="1" spans="1:9" ht="33.75" customHeight="1">
      <c r="A1" s="58" t="s">
        <v>47</v>
      </c>
      <c r="B1" s="61"/>
      <c r="C1" s="61"/>
      <c r="D1" s="61"/>
      <c r="E1" s="61"/>
    </row>
    <row r="3" spans="1:9" ht="27.75" customHeight="1">
      <c r="A3" s="73" t="s">
        <v>44</v>
      </c>
      <c r="B3" s="74" t="s">
        <v>45</v>
      </c>
      <c r="C3" s="75" t="s">
        <v>46</v>
      </c>
      <c r="D3" s="75"/>
      <c r="E3" s="73" t="s">
        <v>50</v>
      </c>
    </row>
    <row r="4" spans="1:9" ht="28.5" customHeight="1">
      <c r="A4" s="73" t="s">
        <v>39</v>
      </c>
      <c r="B4" s="76">
        <v>192841</v>
      </c>
      <c r="C4" s="77">
        <v>259656.68</v>
      </c>
      <c r="D4" s="77"/>
      <c r="E4" s="78">
        <f>B4/C4</f>
        <v>0.7426768300357226</v>
      </c>
    </row>
    <row r="5" spans="1:9" ht="30" customHeight="1">
      <c r="A5" s="73" t="s">
        <v>40</v>
      </c>
      <c r="B5" s="79">
        <v>200556.7</v>
      </c>
      <c r="C5" s="77">
        <v>277937.32</v>
      </c>
      <c r="D5" s="77"/>
      <c r="E5" s="78">
        <f>B5/C5</f>
        <v>0.72158967352782999</v>
      </c>
    </row>
    <row r="6" spans="1:9" ht="28.5" customHeight="1">
      <c r="A6" s="73" t="s">
        <v>41</v>
      </c>
      <c r="B6" s="79">
        <v>213633.42</v>
      </c>
      <c r="C6" s="77">
        <v>299003.44</v>
      </c>
      <c r="D6" s="77"/>
      <c r="E6" s="78">
        <f>B6/C6</f>
        <v>0.71448482331842067</v>
      </c>
    </row>
    <row r="7" spans="1:9" ht="29.25" customHeight="1" thickBot="1">
      <c r="A7" s="73" t="s">
        <v>42</v>
      </c>
      <c r="B7" s="79">
        <v>212239.27</v>
      </c>
      <c r="C7" s="77">
        <v>293606.21999999997</v>
      </c>
      <c r="D7" s="77"/>
      <c r="E7" s="78">
        <f>B7/C7</f>
        <v>0.72287048278473121</v>
      </c>
    </row>
    <row r="8" spans="1:9" ht="26.25" customHeight="1" thickBot="1">
      <c r="A8" s="73" t="s">
        <v>43</v>
      </c>
      <c r="B8" s="79">
        <v>237016.69</v>
      </c>
      <c r="C8" s="77">
        <v>323904.78000000003</v>
      </c>
      <c r="D8" s="77"/>
      <c r="E8" s="78">
        <f t="shared" ref="E8" si="0">B8/C8</f>
        <v>0.73174804644747748</v>
      </c>
      <c r="I8" s="72"/>
    </row>
    <row r="9" spans="1:9">
      <c r="A9" s="80"/>
      <c r="B9" s="80"/>
      <c r="C9" s="80"/>
      <c r="D9" s="80"/>
      <c r="E9" s="80"/>
    </row>
    <row r="13" spans="1:9" ht="31.5" customHeight="1"/>
    <row r="14" spans="1:9" ht="29.25" customHeight="1">
      <c r="B14" s="88"/>
    </row>
    <row r="15" spans="1:9" ht="25.5" customHeight="1">
      <c r="C15" s="81" t="s">
        <v>51</v>
      </c>
      <c r="D15" s="81"/>
    </row>
    <row r="16" spans="1:9" ht="28.5" customHeight="1">
      <c r="A16" s="80" t="s">
        <v>52</v>
      </c>
      <c r="B16" s="75" t="s">
        <v>63</v>
      </c>
      <c r="C16" s="80" t="s">
        <v>31</v>
      </c>
      <c r="D16" s="80"/>
      <c r="E16" s="80" t="s">
        <v>50</v>
      </c>
    </row>
    <row r="17" spans="1:5" ht="29.25" customHeight="1">
      <c r="A17" s="73" t="s">
        <v>39</v>
      </c>
      <c r="B17" s="76">
        <v>18305.509999999998</v>
      </c>
      <c r="C17" s="77">
        <v>15312.85</v>
      </c>
      <c r="D17" s="77"/>
      <c r="E17" s="86">
        <f>B17/C17</f>
        <v>1.1954345533326585</v>
      </c>
    </row>
    <row r="18" spans="1:5" ht="27" customHeight="1">
      <c r="A18" s="73" t="s">
        <v>40</v>
      </c>
      <c r="B18" s="87">
        <v>22079.78</v>
      </c>
      <c r="C18" s="77">
        <v>15788.56</v>
      </c>
      <c r="D18" s="77"/>
      <c r="E18" s="86">
        <f t="shared" ref="E18:E21" si="1">B18/C18</f>
        <v>1.3984669912898959</v>
      </c>
    </row>
    <row r="19" spans="1:5" ht="29.25" customHeight="1">
      <c r="A19" s="73" t="s">
        <v>41</v>
      </c>
      <c r="B19" s="83">
        <v>25974.13</v>
      </c>
      <c r="C19" s="77">
        <v>17456.91</v>
      </c>
      <c r="D19" s="77"/>
      <c r="E19" s="86">
        <f t="shared" si="1"/>
        <v>1.4878996340131214</v>
      </c>
    </row>
    <row r="20" spans="1:5" ht="27.75" customHeight="1">
      <c r="A20" s="73" t="s">
        <v>42</v>
      </c>
      <c r="B20" s="83">
        <v>9207.89</v>
      </c>
      <c r="C20" s="77">
        <v>17679.14</v>
      </c>
      <c r="D20" s="77"/>
      <c r="E20" s="86">
        <f t="shared" si="1"/>
        <v>0.52083359258425466</v>
      </c>
    </row>
    <row r="21" spans="1:5" ht="28.5" customHeight="1">
      <c r="A21" s="73" t="s">
        <v>43</v>
      </c>
      <c r="B21" s="83">
        <v>9282.4500000000007</v>
      </c>
      <c r="C21" s="77">
        <v>17268.14</v>
      </c>
      <c r="D21" s="77"/>
      <c r="E21" s="86">
        <f t="shared" si="1"/>
        <v>0.53754776136862459</v>
      </c>
    </row>
    <row r="26" spans="1:5" ht="36" customHeight="1">
      <c r="C26" s="82" t="s">
        <v>55</v>
      </c>
      <c r="D26" s="82"/>
    </row>
    <row r="27" spans="1:5" ht="40.5" customHeight="1">
      <c r="A27" s="89" t="s">
        <v>44</v>
      </c>
      <c r="B27" s="89" t="s">
        <v>54</v>
      </c>
      <c r="C27" s="89" t="s">
        <v>53</v>
      </c>
      <c r="D27" s="89"/>
      <c r="E27" s="89" t="s">
        <v>50</v>
      </c>
    </row>
    <row r="28" spans="1:5" ht="25.5" customHeight="1">
      <c r="A28" s="83" t="s">
        <v>39</v>
      </c>
      <c r="B28" s="92">
        <v>259656.68</v>
      </c>
      <c r="C28" s="83">
        <v>244343.82</v>
      </c>
      <c r="D28" s="83"/>
      <c r="E28" s="91">
        <f>B28/C32</f>
        <v>0.84867981959619754</v>
      </c>
    </row>
    <row r="29" spans="1:5" ht="30.75" customHeight="1">
      <c r="A29" s="83" t="s">
        <v>40</v>
      </c>
      <c r="B29" s="92">
        <v>277937.32</v>
      </c>
      <c r="C29" s="83">
        <v>262148.77</v>
      </c>
      <c r="D29" s="83"/>
      <c r="E29" s="91">
        <f t="shared" ref="E29:E31" si="2">B29/C29</f>
        <v>1.0602274426082563</v>
      </c>
    </row>
    <row r="30" spans="1:5" ht="28.5" customHeight="1">
      <c r="A30" s="83" t="s">
        <v>41</v>
      </c>
      <c r="B30" s="92">
        <v>299003.44</v>
      </c>
      <c r="C30" s="83">
        <v>281546.52</v>
      </c>
      <c r="D30" s="83"/>
      <c r="E30" s="91">
        <f t="shared" si="2"/>
        <v>1.0620036788236629</v>
      </c>
    </row>
    <row r="31" spans="1:5" ht="29.25" customHeight="1">
      <c r="A31" s="83" t="s">
        <v>42</v>
      </c>
      <c r="B31" s="92">
        <v>293606.21999999997</v>
      </c>
      <c r="C31" s="83">
        <v>275392.08</v>
      </c>
      <c r="D31" s="83"/>
      <c r="E31" s="91">
        <f t="shared" si="2"/>
        <v>1.0661389390718861</v>
      </c>
    </row>
    <row r="32" spans="1:5" ht="27.75" customHeight="1">
      <c r="A32" s="83" t="s">
        <v>43</v>
      </c>
      <c r="B32" s="92">
        <v>323904.78000000003</v>
      </c>
      <c r="C32" s="93">
        <v>305953.64</v>
      </c>
      <c r="D32" s="93"/>
      <c r="E32" s="91">
        <f>B32/C32</f>
        <v>1.0586727453218077</v>
      </c>
    </row>
    <row r="33" spans="1:11" ht="27.75" customHeight="1">
      <c r="A33" s="2"/>
      <c r="B33" s="2"/>
      <c r="C33" s="2"/>
      <c r="D33" s="2"/>
      <c r="E33" s="2"/>
    </row>
    <row r="34" spans="1:11" ht="30" customHeight="1">
      <c r="A34" s="2"/>
      <c r="B34" s="2"/>
      <c r="C34" s="2"/>
      <c r="D34" s="2"/>
      <c r="E34" s="2"/>
    </row>
    <row r="35" spans="1:11" ht="28.5" customHeight="1">
      <c r="C35" s="84" t="s">
        <v>56</v>
      </c>
      <c r="D35" s="84"/>
    </row>
    <row r="36" spans="1:11" ht="26.25" customHeight="1">
      <c r="A36" s="89" t="s">
        <v>1</v>
      </c>
      <c r="B36" s="89" t="s">
        <v>58</v>
      </c>
      <c r="C36" s="89" t="s">
        <v>57</v>
      </c>
      <c r="D36" s="89"/>
      <c r="E36" s="89" t="s">
        <v>50</v>
      </c>
    </row>
    <row r="37" spans="1:11" ht="29.25" customHeight="1">
      <c r="A37" s="83" t="s">
        <v>39</v>
      </c>
      <c r="B37" s="90">
        <v>19295.650000000001</v>
      </c>
      <c r="C37" s="90">
        <v>16123.08</v>
      </c>
      <c r="D37" s="90"/>
      <c r="E37" s="91">
        <f>B37/C37</f>
        <v>1.1967719567229091</v>
      </c>
    </row>
    <row r="38" spans="1:11" ht="28.5" customHeight="1">
      <c r="A38" s="83" t="s">
        <v>40</v>
      </c>
      <c r="B38" s="90">
        <v>21171.19</v>
      </c>
      <c r="C38" s="90">
        <v>17933.16</v>
      </c>
      <c r="D38" s="90"/>
      <c r="E38" s="91">
        <f t="shared" ref="E38:E41" si="3">B38/C38</f>
        <v>1.1805610388799297</v>
      </c>
    </row>
    <row r="39" spans="1:11" ht="27.75" customHeight="1">
      <c r="A39" s="83" t="s">
        <v>41</v>
      </c>
      <c r="B39" s="90">
        <v>22720.83</v>
      </c>
      <c r="C39" s="90">
        <v>19161.71</v>
      </c>
      <c r="D39" s="90"/>
      <c r="E39" s="91">
        <f t="shared" si="3"/>
        <v>1.1857412516941339</v>
      </c>
    </row>
    <row r="40" spans="1:11" ht="27" customHeight="1">
      <c r="A40" s="83" t="s">
        <v>42</v>
      </c>
      <c r="B40" s="90">
        <v>21465.21</v>
      </c>
      <c r="C40" s="90">
        <v>18822.27</v>
      </c>
      <c r="D40" s="90"/>
      <c r="E40" s="91">
        <f t="shared" si="3"/>
        <v>1.1404155821800452</v>
      </c>
    </row>
    <row r="41" spans="1:11" ht="27.75" customHeight="1">
      <c r="A41" s="83" t="s">
        <v>43</v>
      </c>
      <c r="B41" s="90">
        <v>21176.02</v>
      </c>
      <c r="C41" s="90">
        <v>18087.400000000001</v>
      </c>
      <c r="D41" s="90"/>
      <c r="E41" s="91">
        <f t="shared" si="3"/>
        <v>1.170760861151962</v>
      </c>
    </row>
    <row r="42" spans="1:11" ht="28.5" customHeight="1"/>
    <row r="43" spans="1:11" ht="27.75" customHeight="1"/>
    <row r="44" spans="1:11" ht="28.5" customHeight="1">
      <c r="C44" s="84" t="s">
        <v>59</v>
      </c>
      <c r="D44" s="84"/>
    </row>
    <row r="45" spans="1:11" ht="29.25" customHeight="1">
      <c r="A45" s="89" t="s">
        <v>44</v>
      </c>
      <c r="B45" s="89" t="s">
        <v>61</v>
      </c>
      <c r="C45" s="89" t="s">
        <v>60</v>
      </c>
      <c r="D45" s="89"/>
      <c r="E45" s="89" t="s">
        <v>62</v>
      </c>
    </row>
    <row r="46" spans="1:11" ht="28.5" customHeight="1">
      <c r="A46" s="83" t="s">
        <v>39</v>
      </c>
      <c r="B46" s="90">
        <v>1014.96</v>
      </c>
      <c r="C46" s="93">
        <v>15312.85</v>
      </c>
      <c r="D46" s="93"/>
      <c r="E46" s="91">
        <f>(B46/C46)*100</f>
        <v>6.6281587033112714</v>
      </c>
      <c r="K46" s="85"/>
    </row>
    <row r="47" spans="1:11" ht="27.75" customHeight="1">
      <c r="A47" s="83" t="s">
        <v>40</v>
      </c>
      <c r="B47" s="90">
        <v>-1262.8399999999999</v>
      </c>
      <c r="C47" s="90">
        <v>15788.56</v>
      </c>
      <c r="D47" s="90"/>
      <c r="E47" s="91">
        <f t="shared" ref="E47:E50" si="4">(B47/C47)*100</f>
        <v>-7.9984495102783288</v>
      </c>
    </row>
    <row r="48" spans="1:11" ht="28.5" customHeight="1">
      <c r="A48" s="83" t="s">
        <v>41</v>
      </c>
      <c r="B48" s="90">
        <v>606.45000000000005</v>
      </c>
      <c r="C48" s="90">
        <v>17456.91</v>
      </c>
      <c r="D48" s="90"/>
      <c r="E48" s="91">
        <f t="shared" si="4"/>
        <v>3.4739825089319933</v>
      </c>
    </row>
    <row r="49" spans="1:8" ht="23.25" customHeight="1">
      <c r="A49" s="83" t="s">
        <v>42</v>
      </c>
      <c r="B49" s="90">
        <v>-1418.19</v>
      </c>
      <c r="C49" s="90">
        <v>18214.14</v>
      </c>
      <c r="D49" s="90"/>
      <c r="E49" s="91">
        <f t="shared" si="4"/>
        <v>-7.7862034660983177</v>
      </c>
    </row>
    <row r="50" spans="1:8" ht="30.75" customHeight="1">
      <c r="A50" s="83" t="s">
        <v>43</v>
      </c>
      <c r="B50" s="90">
        <v>-2439.1</v>
      </c>
      <c r="C50" s="90">
        <v>17951.14</v>
      </c>
      <c r="D50" s="90"/>
      <c r="E50" s="91">
        <f t="shared" si="4"/>
        <v>-13.587437900879831</v>
      </c>
    </row>
    <row r="51" spans="1:8" ht="34.5" customHeight="1"/>
    <row r="52" spans="1:8" ht="29.25" customHeight="1"/>
    <row r="53" spans="1:8" ht="47.25" customHeight="1">
      <c r="C53" s="111" t="s">
        <v>44</v>
      </c>
      <c r="D53" s="112" t="s">
        <v>76</v>
      </c>
      <c r="E53" s="113" t="s">
        <v>79</v>
      </c>
      <c r="F53" s="114" t="s">
        <v>77</v>
      </c>
      <c r="G53" s="114" t="s">
        <v>78</v>
      </c>
      <c r="H53" s="114" t="s">
        <v>75</v>
      </c>
    </row>
    <row r="54" spans="1:8" ht="30" customHeight="1">
      <c r="C54" s="83" t="s">
        <v>39</v>
      </c>
      <c r="D54" s="115">
        <v>0.7426768300357226</v>
      </c>
      <c r="E54" s="78">
        <v>1.1954345533326585</v>
      </c>
      <c r="F54" s="78">
        <v>0.84867981959619754</v>
      </c>
      <c r="G54" s="78">
        <v>1.1967719567229091</v>
      </c>
      <c r="H54" s="78">
        <v>6.6281587033112714</v>
      </c>
    </row>
    <row r="55" spans="1:8" ht="30" customHeight="1">
      <c r="C55" s="83" t="s">
        <v>40</v>
      </c>
      <c r="D55" s="115">
        <v>0.72158967352782999</v>
      </c>
      <c r="E55" s="78">
        <v>1.3984669912898959</v>
      </c>
      <c r="F55" s="78">
        <v>1.0602274426082563</v>
      </c>
      <c r="G55" s="78">
        <v>1.1805610388799297</v>
      </c>
      <c r="H55" s="78">
        <v>-7.9984495102783288</v>
      </c>
    </row>
    <row r="56" spans="1:8" ht="30.75" customHeight="1">
      <c r="C56" s="83" t="s">
        <v>41</v>
      </c>
      <c r="D56" s="115">
        <v>0.71448482331842067</v>
      </c>
      <c r="E56" s="78">
        <v>1.4878996340131214</v>
      </c>
      <c r="F56" s="78">
        <v>1.0620036788236629</v>
      </c>
      <c r="G56" s="78">
        <v>1.1857412516941339</v>
      </c>
      <c r="H56" s="78">
        <v>3.4739825089319933</v>
      </c>
    </row>
    <row r="57" spans="1:8" ht="31.5" customHeight="1">
      <c r="C57" s="83" t="s">
        <v>42</v>
      </c>
      <c r="D57" s="115">
        <v>0.72287048278473121</v>
      </c>
      <c r="E57" s="78">
        <v>0.52083359258425466</v>
      </c>
      <c r="F57" s="78">
        <v>1.0661389390718861</v>
      </c>
      <c r="G57" s="78">
        <v>1.1404155821800452</v>
      </c>
      <c r="H57" s="78">
        <v>-7.7862034660983177</v>
      </c>
    </row>
    <row r="58" spans="1:8" ht="30.75" customHeight="1">
      <c r="C58" s="83" t="s">
        <v>43</v>
      </c>
      <c r="D58" s="115">
        <v>0.73174804644747748</v>
      </c>
      <c r="E58" s="78">
        <v>0.53754776136862459</v>
      </c>
      <c r="F58" s="78">
        <v>1.0586727453218077</v>
      </c>
      <c r="G58" s="78">
        <v>1.170760861151962</v>
      </c>
      <c r="H58" s="78">
        <v>-13.587437900879831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2018-03-05T05:32:41Z</dcterms:created>
  <dcterms:modified xsi:type="dcterms:W3CDTF">2018-03-18T15:43:36Z</dcterms:modified>
</cp:coreProperties>
</file>