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160" windowHeight="15560"/>
  </bookViews>
  <sheets>
    <sheet name="原始数据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<sst xmlns="http://schemas.openxmlformats.org/spreadsheetml/2006/main" count="176" uniqueCount="161">
  <si>
    <t>利润表</t>
  </si>
  <si>
    <t>编制单位：宁波XX科技有限公司</t>
  </si>
  <si>
    <t>2021年3月</t>
  </si>
  <si>
    <t>单位：元</t>
  </si>
  <si>
    <t>财务比率</t>
  </si>
  <si>
    <t>项  目</t>
  </si>
  <si>
    <t>行次</t>
  </si>
  <si>
    <t>本年累计金额</t>
  </si>
  <si>
    <t>本月金额</t>
  </si>
  <si>
    <t>1-2月份</t>
  </si>
  <si>
    <t>假设</t>
  </si>
  <si>
    <t>一、营业收入</t>
  </si>
  <si>
    <t>应收款账期</t>
  </si>
  <si>
    <t>天</t>
  </si>
  <si>
    <t>减：营业成本</t>
  </si>
  <si>
    <t>应付款账期</t>
  </si>
  <si>
    <t>毛利率</t>
  </si>
  <si>
    <t xml:space="preserve">    税金及附加</t>
  </si>
  <si>
    <t xml:space="preserve">  其中：消费税</t>
  </si>
  <si>
    <t xml:space="preserve">      城市维护建设税</t>
  </si>
  <si>
    <t xml:space="preserve">      资源税</t>
  </si>
  <si>
    <t xml:space="preserve">      土地增值税</t>
  </si>
  <si>
    <t xml:space="preserve">      城镇土地使用税、房产税、车船税、印花税</t>
  </si>
  <si>
    <t xml:space="preserve">      教育费附加、矿产资源补偿费、排污费</t>
  </si>
  <si>
    <t>销售费用</t>
  </si>
  <si>
    <t>管理费用</t>
  </si>
  <si>
    <t xml:space="preserve">  其中：开办费</t>
  </si>
  <si>
    <t xml:space="preserve">       业务招待费</t>
  </si>
  <si>
    <t xml:space="preserve">       研究费用</t>
  </si>
  <si>
    <t>财务费用</t>
  </si>
  <si>
    <t xml:space="preserve">  其中：利息费用（收入以“-”号填列）</t>
  </si>
  <si>
    <t>加：投资收益（损失以“-”号填列）</t>
  </si>
  <si>
    <t>二、营业利润（亏损以“-”号填列）</t>
  </si>
  <si>
    <t>加：营业外收入</t>
  </si>
  <si>
    <t xml:space="preserve">  其中：政府补助</t>
  </si>
  <si>
    <t>减：营业外支出</t>
  </si>
  <si>
    <t>其中：坏账损失</t>
  </si>
  <si>
    <t xml:space="preserve">     无法收回的长期债券投资损失</t>
  </si>
  <si>
    <t xml:space="preserve">     无法收回的长期股权投资损失</t>
  </si>
  <si>
    <t xml:space="preserve">     自然灾害等不可抗力因素造成的损失</t>
  </si>
  <si>
    <t xml:space="preserve">     税收滞纳金</t>
  </si>
  <si>
    <t>三、利润总额（亏损总额以“-”号填列）</t>
  </si>
  <si>
    <t>减：所得税费用</t>
  </si>
  <si>
    <t>四、净利润（净亏损以“-”号填列）</t>
  </si>
  <si>
    <t>单位负责人：</t>
  </si>
  <si>
    <t>财务主管：</t>
  </si>
  <si>
    <t>制表人：</t>
  </si>
  <si>
    <t>期末数</t>
  </si>
  <si>
    <t>平均数</t>
  </si>
  <si>
    <t>资产负债率=负债/总资产</t>
  </si>
  <si>
    <t>权益乘数=资产/股东权益</t>
  </si>
  <si>
    <t>资产周转率=营业收入/平均总资产</t>
  </si>
  <si>
    <t>销售利润率=净利润/营业收入</t>
  </si>
  <si>
    <t>提价；控制成本；费用控制</t>
  </si>
  <si>
    <t>资产报酬率（ROA）</t>
  </si>
  <si>
    <t>股东权益报酬（ROE）=净利润/平均股东权益</t>
  </si>
  <si>
    <t>埃诺威销售预测（台）</t>
  </si>
  <si>
    <t>瑞电预算预测（台）</t>
  </si>
  <si>
    <t>销售单价</t>
  </si>
  <si>
    <t>埃诺威销售额（万）</t>
  </si>
  <si>
    <t>其它公司销售（万）</t>
  </si>
  <si>
    <t>合计（万）</t>
  </si>
  <si>
    <t>平均单位售价</t>
  </si>
  <si>
    <t>项目</t>
  </si>
  <si>
    <t>销售收入(万）</t>
  </si>
  <si>
    <t>直接成本(万）</t>
  </si>
  <si>
    <t xml:space="preserve">直接材料   </t>
  </si>
  <si>
    <t>直接人工</t>
  </si>
  <si>
    <t>制造费用</t>
  </si>
  <si>
    <t>毛利</t>
  </si>
  <si>
    <t>综合费用(万）</t>
  </si>
  <si>
    <t>税前利润</t>
  </si>
  <si>
    <t>所得税15%</t>
  </si>
  <si>
    <t>净利润</t>
  </si>
  <si>
    <t>单位材料成本</t>
  </si>
  <si>
    <t>(万元）</t>
  </si>
  <si>
    <t>单位人工成本</t>
  </si>
  <si>
    <t>单位制造费用</t>
  </si>
  <si>
    <t>单位成本</t>
  </si>
  <si>
    <t>单位毛利</t>
  </si>
  <si>
    <t>销售费用率</t>
  </si>
  <si>
    <t>管理费用率</t>
  </si>
  <si>
    <t>期初原材料</t>
  </si>
  <si>
    <t>本期生产领用</t>
  </si>
  <si>
    <t>期末原料</t>
  </si>
  <si>
    <t>预计保留下期所需要材料</t>
  </si>
  <si>
    <t>预期采购</t>
  </si>
  <si>
    <t>采购账期</t>
  </si>
  <si>
    <t>期初应付账款</t>
  </si>
  <si>
    <t>本期采购应付款</t>
  </si>
  <si>
    <t>采购账期（天）</t>
  </si>
  <si>
    <t>本期支付欠款</t>
  </si>
  <si>
    <t>期末应付款</t>
  </si>
  <si>
    <t>期初应收款项</t>
  </si>
  <si>
    <t>收款期（DSO）</t>
  </si>
  <si>
    <t>本期增加应收账款</t>
  </si>
  <si>
    <t>本期回款</t>
  </si>
  <si>
    <t>假设上期全部收回，本期收回一半</t>
  </si>
  <si>
    <t>期末应收款</t>
  </si>
  <si>
    <t>本期生产预算</t>
  </si>
  <si>
    <t>期初产成品库存数量</t>
  </si>
  <si>
    <t>台</t>
  </si>
  <si>
    <t>本期销售量</t>
  </si>
  <si>
    <t>本期生产量</t>
  </si>
  <si>
    <t>期末最低库存量</t>
  </si>
  <si>
    <t>台（保持下期销量的5%）</t>
  </si>
  <si>
    <t xml:space="preserve">期初产成品库存 </t>
  </si>
  <si>
    <t>万元</t>
  </si>
  <si>
    <t xml:space="preserve">本期销售 </t>
  </si>
  <si>
    <t xml:space="preserve">本期生产 </t>
  </si>
  <si>
    <t xml:space="preserve">期末最低库存 </t>
  </si>
  <si>
    <t>假定：制造费用中50%是固定成本；</t>
  </si>
  <si>
    <t>50%是变动成本</t>
  </si>
  <si>
    <t>制造费用中固定成本的部分为折旧费</t>
  </si>
  <si>
    <t>直接人工费用当期全部支付</t>
  </si>
  <si>
    <t>如何预测这个公司的未来现金需求？</t>
  </si>
  <si>
    <t>公司的盈亏平衡点</t>
  </si>
  <si>
    <t>现金流盈亏平衡点</t>
  </si>
  <si>
    <t>模拟财务报表：</t>
  </si>
  <si>
    <t>现金流量表</t>
  </si>
  <si>
    <t>经营活动流入</t>
  </si>
  <si>
    <t>销售回款</t>
  </si>
  <si>
    <t>经营活动流出</t>
  </si>
  <si>
    <t>采购支付供应商款项</t>
  </si>
  <si>
    <t>支付工资</t>
  </si>
  <si>
    <t>直接人工+管理人员工资（50%管理费用）</t>
  </si>
  <si>
    <t>租金等</t>
  </si>
  <si>
    <t>合计</t>
  </si>
  <si>
    <t>经营活动净流量</t>
  </si>
  <si>
    <t>投资活动</t>
  </si>
  <si>
    <t>购置固定资产</t>
  </si>
  <si>
    <t>现金流入和流出差额</t>
  </si>
  <si>
    <t>期初现金</t>
  </si>
  <si>
    <t>保持最低现金余额</t>
  </si>
  <si>
    <t>下期经营活动流出的20%</t>
  </si>
  <si>
    <t>债务融资需求</t>
  </si>
  <si>
    <t>还款</t>
  </si>
  <si>
    <t>资产负债表</t>
  </si>
  <si>
    <t xml:space="preserve">资产 </t>
  </si>
  <si>
    <t>货币资金</t>
  </si>
  <si>
    <t>应收账款</t>
  </si>
  <si>
    <t>存货</t>
  </si>
  <si>
    <t>原料</t>
  </si>
  <si>
    <t>产成品</t>
  </si>
  <si>
    <t>流动资产合计</t>
  </si>
  <si>
    <t>固定资产-原值</t>
  </si>
  <si>
    <t>新增资产按照10年折旧</t>
  </si>
  <si>
    <t>减：累计折旧</t>
  </si>
  <si>
    <t>净值</t>
  </si>
  <si>
    <t>无形资产</t>
  </si>
  <si>
    <t>资产合计</t>
  </si>
  <si>
    <t>负债合计</t>
  </si>
  <si>
    <t>应付账款</t>
  </si>
  <si>
    <t>其他应付款</t>
  </si>
  <si>
    <t>借款</t>
  </si>
  <si>
    <t>股东权益</t>
  </si>
  <si>
    <t>股本</t>
  </si>
  <si>
    <t>未分配利润</t>
  </si>
  <si>
    <t>负债与股东权益合计</t>
  </si>
  <si>
    <t>差额（新增股权或者债务融资）</t>
  </si>
  <si>
    <t>全部融资需求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</si>
</sst>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;\-General;"/>
    <numFmt numFmtId="177" formatCode="0.00_);[Red]\(0.00\)"/>
    <numFmt numFmtId="178" formatCode="#,##0.00_ "/>
    <numFmt numFmtId="179" formatCode="_ * #,##0_ ;_ * \-#,##0_ ;_ * &quot;-&quot;??_ ;_ @_ "/>
    <numFmt numFmtId="180" formatCode="0_ "/>
  </numFmts>
  <fonts count="30">
    <font>
      <sz val="10"/>
      <name val="宋体"/>
      <charset val="134"/>
    </font>
    <font>
      <sz val="16"/>
      <name val="宋体"/>
      <charset val="134"/>
    </font>
    <font>
      <b/>
      <u/>
      <sz val="16"/>
      <color indexed="8"/>
      <name val="宋体"/>
      <charset val="134"/>
    </font>
    <font>
      <b/>
      <u/>
      <sz val="16"/>
      <name val="宋体"/>
      <charset val="134"/>
    </font>
    <font>
      <sz val="16"/>
      <color indexed="8"/>
      <name val="宋体"/>
      <charset val="134"/>
    </font>
    <font>
      <sz val="16"/>
      <color theme="1"/>
      <name val="宋体"/>
      <charset val="134"/>
    </font>
    <font>
      <b/>
      <sz val="16"/>
      <color theme="1"/>
      <name val="宋体"/>
      <charset val="134"/>
    </font>
    <font>
      <sz val="16"/>
      <color indexed="17"/>
      <name val="宋体"/>
      <charset val="134"/>
    </font>
    <font>
      <sz val="16"/>
      <color rgb="FF000000"/>
      <name val="等线"/>
      <charset val="134"/>
    </font>
    <font>
      <u/>
      <sz val="16"/>
      <name val="宋体"/>
      <charset val="134"/>
    </font>
    <font>
      <sz val="12"/>
      <name val="宋体"/>
      <charset val="134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 applyFill="1"/>
    <xf numFmtId="0" fontId="1" fillId="0" borderId="0" xfId="0" applyFont="1"/>
    <xf numFmtId="43" fontId="1" fillId="0" borderId="0" xfId="1" applyFont="1"/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/>
    <xf numFmtId="43" fontId="4" fillId="0" borderId="0" xfId="1" applyFont="1" applyFill="1" applyBorder="1" applyAlignment="1" applyProtection="1">
      <alignment horizontal="right"/>
    </xf>
    <xf numFmtId="0" fontId="5" fillId="2" borderId="1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>
      <alignment horizontal="center"/>
    </xf>
    <xf numFmtId="43" fontId="5" fillId="2" borderId="1" xfId="1" applyFont="1" applyFill="1" applyBorder="1" applyAlignment="1" applyProtection="1"/>
    <xf numFmtId="43" fontId="5" fillId="0" borderId="1" xfId="1" applyFont="1" applyFill="1" applyBorder="1" applyAlignment="1" applyProtection="1">
      <alignment horizontal="right"/>
    </xf>
    <xf numFmtId="0" fontId="6" fillId="0" borderId="2" xfId="0" applyNumberFormat="1" applyFont="1" applyFill="1" applyBorder="1" applyAlignment="1" applyProtection="1">
      <alignment horizontal="center"/>
    </xf>
    <xf numFmtId="43" fontId="6" fillId="0" borderId="2" xfId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left"/>
    </xf>
    <xf numFmtId="176" fontId="5" fillId="3" borderId="2" xfId="0" applyNumberFormat="1" applyFont="1" applyFill="1" applyBorder="1" applyAlignment="1" applyProtection="1">
      <alignment horizontal="center"/>
    </xf>
    <xf numFmtId="43" fontId="5" fillId="4" borderId="2" xfId="1" applyFont="1" applyFill="1" applyBorder="1" applyAlignment="1" applyProtection="1">
      <alignment horizontal="right"/>
    </xf>
    <xf numFmtId="43" fontId="5" fillId="2" borderId="2" xfId="1" applyFont="1" applyFill="1" applyBorder="1" applyAlignment="1" applyProtection="1">
      <alignment horizontal="right"/>
    </xf>
    <xf numFmtId="0" fontId="5" fillId="0" borderId="2" xfId="0" applyNumberFormat="1" applyFont="1" applyFill="1" applyBorder="1" applyAlignment="1" applyProtection="1">
      <alignment horizontal="left"/>
    </xf>
    <xf numFmtId="176" fontId="5" fillId="0" borderId="2" xfId="0" applyNumberFormat="1" applyFont="1" applyFill="1" applyBorder="1" applyAlignment="1" applyProtection="1">
      <alignment horizontal="center"/>
    </xf>
    <xf numFmtId="9" fontId="5" fillId="5" borderId="2" xfId="3" applyFont="1" applyFill="1" applyBorder="1" applyAlignment="1" applyProtection="1">
      <alignment horizontal="right"/>
    </xf>
    <xf numFmtId="0" fontId="1" fillId="0" borderId="0" xfId="0" applyFont="1" applyAlignment="1">
      <alignment horizontal="left"/>
    </xf>
    <xf numFmtId="9" fontId="1" fillId="5" borderId="0" xfId="3" applyFont="1" applyFill="1"/>
    <xf numFmtId="0" fontId="5" fillId="4" borderId="2" xfId="0" applyNumberFormat="1" applyFont="1" applyFill="1" applyBorder="1" applyAlignment="1" applyProtection="1">
      <alignment horizontal="left"/>
    </xf>
    <xf numFmtId="176" fontId="5" fillId="4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>
      <alignment horizontal="left"/>
    </xf>
    <xf numFmtId="176" fontId="4" fillId="0" borderId="2" xfId="0" applyNumberFormat="1" applyFont="1" applyFill="1" applyBorder="1" applyAlignment="1" applyProtection="1">
      <alignment horizontal="center"/>
    </xf>
    <xf numFmtId="43" fontId="7" fillId="4" borderId="2" xfId="1" applyFont="1" applyFill="1" applyBorder="1" applyAlignment="1" applyProtection="1">
      <alignment horizontal="right"/>
    </xf>
    <xf numFmtId="43" fontId="7" fillId="2" borderId="2" xfId="1" applyFont="1" applyFill="1" applyBorder="1" applyAlignment="1" applyProtection="1">
      <alignment horizontal="right"/>
    </xf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/>
    <xf numFmtId="43" fontId="4" fillId="0" borderId="0" xfId="1" applyFont="1" applyFill="1" applyBorder="1" applyAlignment="1" applyProtection="1"/>
    <xf numFmtId="9" fontId="1" fillId="0" borderId="0" xfId="3" applyFont="1"/>
    <xf numFmtId="177" fontId="1" fillId="0" borderId="0" xfId="3" applyNumberFormat="1" applyFont="1"/>
    <xf numFmtId="0" fontId="1" fillId="4" borderId="0" xfId="0" applyFont="1" applyFill="1" applyAlignment="1">
      <alignment horizontal="left"/>
    </xf>
    <xf numFmtId="43" fontId="1" fillId="4" borderId="0" xfId="0" applyNumberFormat="1" applyFont="1" applyFill="1"/>
    <xf numFmtId="43" fontId="1" fillId="4" borderId="0" xfId="1" applyFont="1" applyFill="1"/>
    <xf numFmtId="43" fontId="1" fillId="5" borderId="0" xfId="0" applyNumberFormat="1" applyFont="1" applyFill="1"/>
    <xf numFmtId="43" fontId="1" fillId="5" borderId="0" xfId="1" applyFont="1" applyFill="1"/>
    <xf numFmtId="0" fontId="8" fillId="4" borderId="3" xfId="0" applyFont="1" applyFill="1" applyBorder="1" applyAlignment="1">
      <alignment horizontal="center" vertical="center" wrapText="1" readingOrder="1"/>
    </xf>
    <xf numFmtId="0" fontId="1" fillId="4" borderId="0" xfId="0" applyFont="1" applyFill="1"/>
    <xf numFmtId="0" fontId="8" fillId="4" borderId="4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left" vertical="center" wrapText="1" readingOrder="1"/>
    </xf>
    <xf numFmtId="0" fontId="8" fillId="4" borderId="4" xfId="0" applyFont="1" applyFill="1" applyBorder="1" applyAlignment="1">
      <alignment horizontal="right" vertical="center" wrapText="1" readingOrder="1"/>
    </xf>
    <xf numFmtId="0" fontId="8" fillId="4" borderId="0" xfId="0" applyFont="1" applyFill="1" applyAlignment="1">
      <alignment horizontal="left" vertical="center" wrapText="1" readingOrder="1"/>
    </xf>
    <xf numFmtId="178" fontId="8" fillId="4" borderId="0" xfId="0" applyNumberFormat="1" applyFont="1" applyFill="1" applyAlignment="1">
      <alignment horizontal="right" vertical="center" wrapText="1" readingOrder="1"/>
    </xf>
    <xf numFmtId="178" fontId="1" fillId="4" borderId="0" xfId="0" applyNumberFormat="1" applyFont="1" applyFill="1"/>
    <xf numFmtId="0" fontId="8" fillId="4" borderId="4" xfId="0" applyFont="1" applyFill="1" applyBorder="1" applyAlignment="1">
      <alignment horizontal="left" vertical="center" wrapText="1" readingOrder="1"/>
    </xf>
    <xf numFmtId="9" fontId="8" fillId="4" borderId="4" xfId="3" applyFont="1" applyFill="1" applyBorder="1" applyAlignment="1">
      <alignment horizontal="left" vertical="center" wrapText="1" readingOrder="1"/>
    </xf>
    <xf numFmtId="9" fontId="8" fillId="4" borderId="4" xfId="0" applyNumberFormat="1" applyFont="1" applyFill="1" applyBorder="1" applyAlignment="1">
      <alignment horizontal="right" vertical="center" wrapText="1" readingOrder="1"/>
    </xf>
    <xf numFmtId="43" fontId="5" fillId="0" borderId="0" xfId="1" applyFont="1" applyFill="1" applyBorder="1" applyAlignment="1" applyProtection="1">
      <alignment horizontal="right"/>
    </xf>
    <xf numFmtId="43" fontId="6" fillId="0" borderId="5" xfId="1" applyFont="1" applyFill="1" applyBorder="1" applyAlignment="1" applyProtection="1">
      <alignment horizontal="center"/>
    </xf>
    <xf numFmtId="43" fontId="5" fillId="2" borderId="5" xfId="1" applyFont="1" applyFill="1" applyBorder="1" applyAlignment="1" applyProtection="1">
      <alignment horizontal="right"/>
    </xf>
    <xf numFmtId="179" fontId="1" fillId="0" borderId="0" xfId="1" applyNumberFormat="1" applyFont="1"/>
    <xf numFmtId="179" fontId="5" fillId="2" borderId="5" xfId="1" applyNumberFormat="1" applyFont="1" applyFill="1" applyBorder="1" applyAlignment="1" applyProtection="1">
      <alignment horizontal="right"/>
    </xf>
    <xf numFmtId="9" fontId="5" fillId="2" borderId="2" xfId="3" applyFont="1" applyFill="1" applyBorder="1" applyAlignment="1" applyProtection="1">
      <alignment horizontal="right"/>
    </xf>
    <xf numFmtId="9" fontId="5" fillId="2" borderId="5" xfId="3" applyFont="1" applyFill="1" applyBorder="1" applyAlignment="1" applyProtection="1">
      <alignment horizontal="right"/>
    </xf>
    <xf numFmtId="43" fontId="5" fillId="2" borderId="0" xfId="1" applyFont="1" applyFill="1" applyBorder="1" applyAlignment="1" applyProtection="1">
      <alignment horizontal="right"/>
    </xf>
    <xf numFmtId="43" fontId="5" fillId="4" borderId="0" xfId="1" applyFont="1" applyFill="1" applyBorder="1" applyAlignment="1" applyProtection="1">
      <alignment horizontal="right"/>
    </xf>
    <xf numFmtId="43" fontId="7" fillId="2" borderId="0" xfId="1" applyFont="1" applyFill="1" applyBorder="1" applyAlignment="1" applyProtection="1">
      <alignment horizontal="right"/>
    </xf>
    <xf numFmtId="43" fontId="7" fillId="4" borderId="0" xfId="1" applyFont="1" applyFill="1" applyBorder="1" applyAlignment="1" applyProtection="1">
      <alignment horizontal="right"/>
    </xf>
    <xf numFmtId="0" fontId="8" fillId="0" borderId="0" xfId="0" applyFont="1" applyBorder="1" applyAlignment="1">
      <alignment horizontal="left" vertical="center" wrapText="1" readingOrder="1"/>
    </xf>
    <xf numFmtId="0" fontId="8" fillId="0" borderId="0" xfId="0" applyFont="1" applyBorder="1" applyAlignment="1">
      <alignment horizontal="right" vertical="center" wrapText="1" readingOrder="1"/>
    </xf>
    <xf numFmtId="43" fontId="8" fillId="0" borderId="0" xfId="1" applyFont="1" applyBorder="1" applyAlignment="1">
      <alignment horizontal="right" vertical="center" wrapText="1" readingOrder="1"/>
    </xf>
    <xf numFmtId="0" fontId="8" fillId="0" borderId="1" xfId="0" applyFont="1" applyBorder="1" applyAlignment="1">
      <alignment horizontal="right" vertical="center" wrapText="1" readingOrder="1"/>
    </xf>
    <xf numFmtId="43" fontId="8" fillId="0" borderId="1" xfId="1" applyFont="1" applyBorder="1" applyAlignment="1">
      <alignment horizontal="right" vertical="center" wrapText="1" readingOrder="1"/>
    </xf>
    <xf numFmtId="0" fontId="8" fillId="4" borderId="0" xfId="0" applyFont="1" applyFill="1" applyBorder="1" applyAlignment="1">
      <alignment horizontal="left" vertical="center" wrapText="1" readingOrder="1"/>
    </xf>
    <xf numFmtId="0" fontId="8" fillId="4" borderId="0" xfId="0" applyFont="1" applyFill="1" applyAlignment="1">
      <alignment horizontal="right" vertical="center" wrapText="1" readingOrder="1"/>
    </xf>
    <xf numFmtId="43" fontId="8" fillId="4" borderId="0" xfId="1" applyFont="1" applyFill="1" applyAlignment="1">
      <alignment horizontal="right" vertical="center" wrapText="1" readingOrder="1"/>
    </xf>
    <xf numFmtId="9" fontId="1" fillId="0" borderId="0" xfId="1" applyNumberFormat="1" applyFont="1"/>
    <xf numFmtId="179" fontId="1" fillId="4" borderId="0" xfId="1" applyNumberFormat="1" applyFont="1" applyFill="1"/>
    <xf numFmtId="179" fontId="1" fillId="0" borderId="0" xfId="0" applyNumberFormat="1" applyFont="1"/>
    <xf numFmtId="9" fontId="1" fillId="0" borderId="0" xfId="0" applyNumberFormat="1" applyFont="1"/>
    <xf numFmtId="179" fontId="1" fillId="4" borderId="1" xfId="1" applyNumberFormat="1" applyFont="1" applyFill="1" applyBorder="1"/>
    <xf numFmtId="0" fontId="1" fillId="6" borderId="0" xfId="0" applyFont="1" applyFill="1"/>
    <xf numFmtId="43" fontId="1" fillId="6" borderId="0" xfId="1" applyFont="1" applyFill="1"/>
    <xf numFmtId="179" fontId="1" fillId="6" borderId="0" xfId="1" applyNumberFormat="1" applyFont="1" applyFill="1"/>
    <xf numFmtId="179" fontId="1" fillId="4" borderId="0" xfId="0" applyNumberFormat="1" applyFont="1" applyFill="1"/>
    <xf numFmtId="180" fontId="1" fillId="0" borderId="0" xfId="0" applyNumberFormat="1" applyFont="1"/>
    <xf numFmtId="43" fontId="1" fillId="0" borderId="1" xfId="1" applyFont="1" applyBorder="1"/>
    <xf numFmtId="179" fontId="1" fillId="0" borderId="1" xfId="1" applyNumberFormat="1" applyFont="1" applyBorder="1"/>
    <xf numFmtId="43" fontId="1" fillId="0" borderId="0" xfId="1" applyFont="1" applyFill="1"/>
    <xf numFmtId="179" fontId="1" fillId="0" borderId="0" xfId="1" applyNumberFormat="1" applyFont="1" applyFill="1"/>
    <xf numFmtId="179" fontId="9" fillId="4" borderId="0" xfId="1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9F9F9"/>
      <rgbColor rgb="00003300"/>
      <rgbColor rgb="00F0F0F0"/>
      <rgbColor rgb="00A0A0A0"/>
      <rgbColor rgb="00FF0000"/>
      <rgbColor rgb="00808080"/>
      <rgbColor rgb="00D4D0C8"/>
    </indexedColors>
    <mruColors>
      <color rgb="00FFC000"/>
      <color rgb="00FFFFFF"/>
      <color rgb="00ED7D31"/>
      <color rgb="00008000"/>
      <color rgb="00F9F9F9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xhua/Desktop/2021.3&#36164;&#20135;&#36127;&#20538;&#34920;-ruidian&#26356;&#2603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原始数据"/>
    </sheetNames>
    <sheetDataSet>
      <sheetData sheetId="0">
        <row r="6">
          <cell r="D6">
            <v>10008.32</v>
          </cell>
        </row>
        <row r="8">
          <cell r="C8">
            <v>55568.04</v>
          </cell>
        </row>
        <row r="9">
          <cell r="C9">
            <v>2186561.19</v>
          </cell>
        </row>
        <row r="9">
          <cell r="I9">
            <v>975677.77</v>
          </cell>
        </row>
        <row r="14">
          <cell r="C14">
            <v>2366749.95</v>
          </cell>
        </row>
        <row r="16">
          <cell r="D16">
            <v>1697015.53</v>
          </cell>
        </row>
        <row r="18">
          <cell r="D18">
            <v>70544.88</v>
          </cell>
        </row>
        <row r="25">
          <cell r="C25">
            <v>2283242.25</v>
          </cell>
          <cell r="D25">
            <v>2207755.57</v>
          </cell>
        </row>
        <row r="26">
          <cell r="D26">
            <v>565503.5</v>
          </cell>
          <cell r="E26">
            <v>99314.48</v>
          </cell>
        </row>
        <row r="32">
          <cell r="C32">
            <v>39679.08</v>
          </cell>
        </row>
        <row r="40">
          <cell r="C40">
            <v>5129134.12</v>
          </cell>
        </row>
        <row r="42">
          <cell r="D42">
            <v>781017.65</v>
          </cell>
        </row>
        <row r="57">
          <cell r="C57">
            <v>6326607.76</v>
          </cell>
        </row>
        <row r="59">
          <cell r="C59">
            <v>10000000</v>
          </cell>
        </row>
        <row r="62">
          <cell r="D62">
            <v>-7893717.77</v>
          </cell>
        </row>
        <row r="63">
          <cell r="C63">
            <v>1015053.41</v>
          </cell>
          <cell r="D63">
            <v>856282.23</v>
          </cell>
        </row>
        <row r="64">
          <cell r="C64">
            <v>7341661.17</v>
          </cell>
          <cell r="D64">
            <v>4997223.13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 autoPageBreaks="0"/>
  </sheetPr>
  <dimension ref="A1:I154"/>
  <sheetViews>
    <sheetView tabSelected="1" zoomScaleSheetLayoutView="60" topLeftCell="A93" workbookViewId="0">
      <selection activeCell="C74" sqref="C74"/>
    </sheetView>
  </sheetViews>
  <sheetFormatPr defaultColWidth="24.6041666666667" defaultRowHeight="23.2"/>
  <cols>
    <col min="1" max="1" width="37.4583333333333" style="2" customWidth="1"/>
    <col min="2" max="2" width="13.8854166666667" style="2" customWidth="1"/>
    <col min="3" max="3" width="25.3854166666667" style="3" customWidth="1"/>
    <col min="4" max="4" width="24.4375" style="3" customWidth="1"/>
    <col min="5" max="5" width="26.6666666666667" style="3" customWidth="1"/>
    <col min="6" max="6" width="20.3125" style="3" customWidth="1"/>
    <col min="7" max="7" width="16.1145833333333" style="3" customWidth="1"/>
    <col min="8" max="9" width="16.1145833333333" style="2" customWidth="1"/>
    <col min="10" max="10" width="16.1041666666667" style="2" customWidth="1"/>
    <col min="11" max="16384" width="24.6041666666667" style="2"/>
  </cols>
  <sheetData>
    <row r="1" spans="1:7">
      <c r="A1" s="4" t="s">
        <v>0</v>
      </c>
      <c r="B1" s="5"/>
      <c r="C1" s="5"/>
      <c r="D1" s="5"/>
      <c r="E1" s="5"/>
      <c r="F1" s="5"/>
      <c r="G1" s="5"/>
    </row>
    <row r="2" spans="1:7">
      <c r="A2" s="6"/>
      <c r="B2" s="7"/>
      <c r="C2" s="8"/>
      <c r="D2" s="9"/>
      <c r="E2" s="9"/>
      <c r="F2" s="9"/>
      <c r="G2" s="9"/>
    </row>
    <row r="3" spans="1:7">
      <c r="A3" s="10" t="s">
        <v>1</v>
      </c>
      <c r="B3" s="11"/>
      <c r="C3" s="12" t="s">
        <v>2</v>
      </c>
      <c r="D3" s="13" t="s">
        <v>3</v>
      </c>
      <c r="E3" s="52" t="s">
        <v>4</v>
      </c>
      <c r="F3" s="52"/>
      <c r="G3" s="52"/>
    </row>
    <row r="4" spans="1:7">
      <c r="A4" s="14" t="s">
        <v>5</v>
      </c>
      <c r="B4" s="14" t="s">
        <v>6</v>
      </c>
      <c r="C4" s="15" t="s">
        <v>7</v>
      </c>
      <c r="D4" s="15" t="s">
        <v>8</v>
      </c>
      <c r="E4" s="53" t="s">
        <v>9</v>
      </c>
      <c r="F4" s="53" t="s">
        <v>10</v>
      </c>
      <c r="G4" s="53"/>
    </row>
    <row r="5" spans="1:8">
      <c r="A5" s="16" t="s">
        <v>11</v>
      </c>
      <c r="B5" s="17">
        <v>1</v>
      </c>
      <c r="C5" s="18">
        <v>1381184.44</v>
      </c>
      <c r="D5" s="19">
        <v>542914.06</v>
      </c>
      <c r="E5" s="54">
        <f>C5-D5</f>
        <v>838270.38</v>
      </c>
      <c r="F5" s="54" t="s">
        <v>12</v>
      </c>
      <c r="G5" s="55">
        <v>180</v>
      </c>
      <c r="H5" s="2" t="s">
        <v>13</v>
      </c>
    </row>
    <row r="6" spans="1:8">
      <c r="A6" s="20" t="s">
        <v>14</v>
      </c>
      <c r="B6" s="21">
        <v>2</v>
      </c>
      <c r="C6" s="18">
        <v>1286357.11</v>
      </c>
      <c r="D6" s="19">
        <v>708297.92</v>
      </c>
      <c r="E6" s="54">
        <f t="shared" ref="E6:E37" si="0">C6-D6</f>
        <v>578059.19</v>
      </c>
      <c r="F6" s="54" t="s">
        <v>15</v>
      </c>
      <c r="G6" s="56">
        <v>120</v>
      </c>
      <c r="H6" s="2" t="s">
        <v>13</v>
      </c>
    </row>
    <row r="7" spans="1:7">
      <c r="A7" s="20"/>
      <c r="B7" s="21"/>
      <c r="C7" s="18">
        <f>C5-C6</f>
        <v>94827.3299999998</v>
      </c>
      <c r="D7" s="19">
        <f>D5-D6</f>
        <v>-165383.86</v>
      </c>
      <c r="E7" s="54">
        <f t="shared" si="0"/>
        <v>260211.19</v>
      </c>
      <c r="F7" s="54"/>
      <c r="G7" s="54"/>
    </row>
    <row r="8" spans="1:7">
      <c r="A8" s="20" t="s">
        <v>16</v>
      </c>
      <c r="B8" s="21"/>
      <c r="C8" s="22">
        <f>C7/C5</f>
        <v>0.0686565293191399</v>
      </c>
      <c r="D8" s="22">
        <f>D7/D5</f>
        <v>-0.30462254007568</v>
      </c>
      <c r="E8" s="57">
        <f>E7/E5</f>
        <v>0.310414391595227</v>
      </c>
      <c r="F8" s="58"/>
      <c r="G8" s="58"/>
    </row>
    <row r="9" spans="1:7">
      <c r="A9" s="20" t="s">
        <v>17</v>
      </c>
      <c r="B9" s="21">
        <v>3</v>
      </c>
      <c r="C9" s="18">
        <v>271.1</v>
      </c>
      <c r="D9" s="19">
        <v>54.9</v>
      </c>
      <c r="E9" s="54">
        <f t="shared" si="0"/>
        <v>216.2</v>
      </c>
      <c r="F9" s="54"/>
      <c r="G9" s="54"/>
    </row>
    <row r="10" hidden="1" spans="1:7">
      <c r="A10" s="20" t="s">
        <v>18</v>
      </c>
      <c r="B10" s="21">
        <v>4</v>
      </c>
      <c r="C10" s="18">
        <v>0</v>
      </c>
      <c r="D10" s="19">
        <v>0</v>
      </c>
      <c r="E10" s="54">
        <f t="shared" si="0"/>
        <v>0</v>
      </c>
      <c r="F10" s="54"/>
      <c r="G10" s="54"/>
    </row>
    <row r="11" hidden="1" spans="1:7">
      <c r="A11" s="20" t="s">
        <v>19</v>
      </c>
      <c r="B11" s="21">
        <v>6</v>
      </c>
      <c r="C11" s="18">
        <v>0</v>
      </c>
      <c r="D11" s="19">
        <v>0</v>
      </c>
      <c r="E11" s="54">
        <f t="shared" si="0"/>
        <v>0</v>
      </c>
      <c r="F11" s="59"/>
      <c r="G11" s="59"/>
    </row>
    <row r="12" hidden="1" spans="1:7">
      <c r="A12" s="20" t="s">
        <v>20</v>
      </c>
      <c r="B12" s="21">
        <v>7</v>
      </c>
      <c r="C12" s="18">
        <v>0</v>
      </c>
      <c r="D12" s="19">
        <v>0</v>
      </c>
      <c r="E12" s="54">
        <f t="shared" si="0"/>
        <v>0</v>
      </c>
      <c r="F12" s="59"/>
      <c r="G12" s="59"/>
    </row>
    <row r="13" hidden="1" spans="1:7">
      <c r="A13" s="20" t="s">
        <v>21</v>
      </c>
      <c r="B13" s="21">
        <v>8</v>
      </c>
      <c r="C13" s="18">
        <v>0</v>
      </c>
      <c r="D13" s="19">
        <v>0</v>
      </c>
      <c r="E13" s="54">
        <f t="shared" si="0"/>
        <v>0</v>
      </c>
      <c r="F13" s="59"/>
      <c r="G13" s="59"/>
    </row>
    <row r="14" hidden="1" spans="1:7">
      <c r="A14" s="20" t="s">
        <v>22</v>
      </c>
      <c r="B14" s="21">
        <v>9</v>
      </c>
      <c r="C14" s="18">
        <v>271.1</v>
      </c>
      <c r="D14" s="19">
        <v>54.9</v>
      </c>
      <c r="E14" s="54">
        <f t="shared" si="0"/>
        <v>216.2</v>
      </c>
      <c r="F14" s="59"/>
      <c r="G14" s="59"/>
    </row>
    <row r="15" hidden="1" spans="1:7">
      <c r="A15" s="20" t="s">
        <v>23</v>
      </c>
      <c r="B15" s="21">
        <v>10</v>
      </c>
      <c r="C15" s="18">
        <v>0</v>
      </c>
      <c r="D15" s="19">
        <v>0</v>
      </c>
      <c r="E15" s="54">
        <f t="shared" si="0"/>
        <v>0</v>
      </c>
      <c r="F15" s="59"/>
      <c r="G15" s="59"/>
    </row>
    <row r="16" spans="1:7">
      <c r="A16" s="20" t="s">
        <v>24</v>
      </c>
      <c r="B16" s="21">
        <v>11</v>
      </c>
      <c r="C16" s="18">
        <v>261728.61</v>
      </c>
      <c r="D16" s="19">
        <v>34984.67</v>
      </c>
      <c r="E16" s="54">
        <f t="shared" si="0"/>
        <v>226743.94</v>
      </c>
      <c r="F16" s="59"/>
      <c r="G16" s="59"/>
    </row>
    <row r="17" spans="1:7">
      <c r="A17" s="20"/>
      <c r="B17" s="21"/>
      <c r="C17" s="22">
        <f>C16/C5</f>
        <v>0.189495770745868</v>
      </c>
      <c r="D17" s="22">
        <f>D16/D5</f>
        <v>0.0644386885099273</v>
      </c>
      <c r="E17" s="54">
        <f t="shared" si="0"/>
        <v>0.125057082235941</v>
      </c>
      <c r="F17" s="59"/>
      <c r="G17" s="59"/>
    </row>
    <row r="18" spans="1:7">
      <c r="A18" s="20" t="s">
        <v>25</v>
      </c>
      <c r="B18" s="21">
        <v>14</v>
      </c>
      <c r="C18" s="18">
        <v>923134.04</v>
      </c>
      <c r="D18" s="19">
        <v>202819.84</v>
      </c>
      <c r="E18" s="54">
        <f t="shared" si="0"/>
        <v>720314.2</v>
      </c>
      <c r="F18" s="59"/>
      <c r="G18" s="59"/>
    </row>
    <row r="19" spans="1:7">
      <c r="A19" s="20" t="s">
        <v>26</v>
      </c>
      <c r="B19" s="21">
        <v>15</v>
      </c>
      <c r="C19" s="18">
        <v>0</v>
      </c>
      <c r="D19" s="19">
        <v>0</v>
      </c>
      <c r="E19" s="54">
        <f t="shared" si="0"/>
        <v>0</v>
      </c>
      <c r="F19" s="59"/>
      <c r="G19" s="59"/>
    </row>
    <row r="20" spans="1:7">
      <c r="A20" s="20" t="s">
        <v>27</v>
      </c>
      <c r="B20" s="21">
        <v>16</v>
      </c>
      <c r="C20" s="18">
        <v>893</v>
      </c>
      <c r="D20" s="19">
        <v>0</v>
      </c>
      <c r="E20" s="54">
        <f t="shared" si="0"/>
        <v>893</v>
      </c>
      <c r="F20" s="59"/>
      <c r="G20" s="59"/>
    </row>
    <row r="21" spans="1:7">
      <c r="A21" s="20" t="s">
        <v>28</v>
      </c>
      <c r="B21" s="21">
        <v>17</v>
      </c>
      <c r="C21" s="18">
        <v>440953.33</v>
      </c>
      <c r="D21" s="19">
        <v>90371.87</v>
      </c>
      <c r="E21" s="54">
        <f t="shared" si="0"/>
        <v>350581.46</v>
      </c>
      <c r="F21" s="59"/>
      <c r="G21" s="59"/>
    </row>
    <row r="22" spans="1:7">
      <c r="A22" s="23"/>
      <c r="C22" s="24">
        <f>C21/C5</f>
        <v>0.319257383177586</v>
      </c>
      <c r="D22" s="24">
        <f>D21/D5</f>
        <v>0.16645704478532</v>
      </c>
      <c r="E22" s="24">
        <f>E21/E5</f>
        <v>0.418220025858483</v>
      </c>
      <c r="F22" s="59"/>
      <c r="G22" s="59"/>
    </row>
    <row r="23" spans="1:7">
      <c r="A23" s="20" t="s">
        <v>29</v>
      </c>
      <c r="B23" s="21">
        <v>18</v>
      </c>
      <c r="C23" s="18">
        <v>922.56</v>
      </c>
      <c r="D23" s="19">
        <v>308.76</v>
      </c>
      <c r="E23" s="54">
        <f t="shared" si="0"/>
        <v>613.8</v>
      </c>
      <c r="F23" s="59"/>
      <c r="G23" s="59"/>
    </row>
    <row r="24" spans="1:7">
      <c r="A24" s="20" t="s">
        <v>30</v>
      </c>
      <c r="B24" s="21">
        <v>19</v>
      </c>
      <c r="C24" s="18">
        <v>-125.54</v>
      </c>
      <c r="D24" s="19">
        <v>-125.54</v>
      </c>
      <c r="E24" s="54">
        <f t="shared" si="0"/>
        <v>0</v>
      </c>
      <c r="F24" s="59"/>
      <c r="G24" s="59"/>
    </row>
    <row r="25" spans="1:7">
      <c r="A25" s="20" t="s">
        <v>31</v>
      </c>
      <c r="B25" s="21">
        <v>20</v>
      </c>
      <c r="C25" s="18">
        <v>0</v>
      </c>
      <c r="D25" s="19">
        <v>0</v>
      </c>
      <c r="E25" s="54">
        <f t="shared" si="0"/>
        <v>0</v>
      </c>
      <c r="F25" s="59"/>
      <c r="G25" s="59"/>
    </row>
    <row r="26" spans="1:7">
      <c r="A26" s="25" t="s">
        <v>32</v>
      </c>
      <c r="B26" s="26">
        <v>21</v>
      </c>
      <c r="C26" s="18">
        <v>-1091228.98</v>
      </c>
      <c r="D26" s="18">
        <v>-403552.03</v>
      </c>
      <c r="E26" s="54">
        <f t="shared" si="0"/>
        <v>-687676.95</v>
      </c>
      <c r="F26" s="60"/>
      <c r="G26" s="60"/>
    </row>
    <row r="27" spans="1:7">
      <c r="A27" s="27" t="s">
        <v>33</v>
      </c>
      <c r="B27" s="28">
        <v>22</v>
      </c>
      <c r="C27" s="29">
        <v>0.16</v>
      </c>
      <c r="D27" s="30">
        <v>0.16</v>
      </c>
      <c r="E27" s="54">
        <f t="shared" si="0"/>
        <v>0</v>
      </c>
      <c r="F27" s="61"/>
      <c r="G27" s="61"/>
    </row>
    <row r="28" hidden="1" spans="1:7">
      <c r="A28" s="27" t="s">
        <v>34</v>
      </c>
      <c r="B28" s="28">
        <v>23</v>
      </c>
      <c r="C28" s="29">
        <v>0</v>
      </c>
      <c r="D28" s="30">
        <v>0</v>
      </c>
      <c r="E28" s="54">
        <f t="shared" si="0"/>
        <v>0</v>
      </c>
      <c r="F28" s="61"/>
      <c r="G28" s="61"/>
    </row>
    <row r="29" hidden="1" spans="1:7">
      <c r="A29" s="27" t="s">
        <v>35</v>
      </c>
      <c r="B29" s="28">
        <v>24</v>
      </c>
      <c r="C29" s="29">
        <v>0</v>
      </c>
      <c r="D29" s="30">
        <v>0</v>
      </c>
      <c r="E29" s="54">
        <f t="shared" si="0"/>
        <v>0</v>
      </c>
      <c r="F29" s="61"/>
      <c r="G29" s="61"/>
    </row>
    <row r="30" hidden="1" spans="1:7">
      <c r="A30" s="27" t="s">
        <v>36</v>
      </c>
      <c r="B30" s="28">
        <v>25</v>
      </c>
      <c r="C30" s="29">
        <v>0</v>
      </c>
      <c r="D30" s="30">
        <v>0</v>
      </c>
      <c r="E30" s="54">
        <f t="shared" si="0"/>
        <v>0</v>
      </c>
      <c r="F30" s="61"/>
      <c r="G30" s="61"/>
    </row>
    <row r="31" hidden="1" spans="1:7">
      <c r="A31" s="27" t="s">
        <v>37</v>
      </c>
      <c r="B31" s="28">
        <v>26</v>
      </c>
      <c r="C31" s="29">
        <v>0</v>
      </c>
      <c r="D31" s="30">
        <v>0</v>
      </c>
      <c r="E31" s="54">
        <f t="shared" si="0"/>
        <v>0</v>
      </c>
      <c r="F31" s="61"/>
      <c r="G31" s="61"/>
    </row>
    <row r="32" hidden="1" spans="1:7">
      <c r="A32" s="27" t="s">
        <v>38</v>
      </c>
      <c r="B32" s="28">
        <v>27</v>
      </c>
      <c r="C32" s="29">
        <v>0</v>
      </c>
      <c r="D32" s="30">
        <v>0</v>
      </c>
      <c r="E32" s="54">
        <f t="shared" si="0"/>
        <v>0</v>
      </c>
      <c r="F32" s="61"/>
      <c r="G32" s="61"/>
    </row>
    <row r="33" hidden="1" spans="1:7">
      <c r="A33" s="27" t="s">
        <v>39</v>
      </c>
      <c r="B33" s="28">
        <v>28</v>
      </c>
      <c r="C33" s="29">
        <v>0</v>
      </c>
      <c r="D33" s="30">
        <v>0</v>
      </c>
      <c r="E33" s="54">
        <f t="shared" si="0"/>
        <v>0</v>
      </c>
      <c r="F33" s="61"/>
      <c r="G33" s="61"/>
    </row>
    <row r="34" hidden="1" spans="1:7">
      <c r="A34" s="27" t="s">
        <v>40</v>
      </c>
      <c r="B34" s="28">
        <v>29</v>
      </c>
      <c r="C34" s="29">
        <v>0</v>
      </c>
      <c r="D34" s="30">
        <v>0</v>
      </c>
      <c r="E34" s="54">
        <f t="shared" si="0"/>
        <v>0</v>
      </c>
      <c r="F34" s="61"/>
      <c r="G34" s="61"/>
    </row>
    <row r="35" spans="1:7">
      <c r="A35" s="27" t="s">
        <v>41</v>
      </c>
      <c r="B35" s="28">
        <v>30</v>
      </c>
      <c r="C35" s="29">
        <v>-1091228.82</v>
      </c>
      <c r="D35" s="29">
        <v>-403551.87</v>
      </c>
      <c r="E35" s="54">
        <f t="shared" si="0"/>
        <v>-687676.95</v>
      </c>
      <c r="F35" s="62"/>
      <c r="G35" s="62"/>
    </row>
    <row r="36" spans="1:7">
      <c r="A36" s="27" t="s">
        <v>42</v>
      </c>
      <c r="B36" s="28">
        <v>31</v>
      </c>
      <c r="C36" s="29">
        <v>0</v>
      </c>
      <c r="D36" s="30">
        <v>0</v>
      </c>
      <c r="E36" s="54">
        <f t="shared" si="0"/>
        <v>0</v>
      </c>
      <c r="F36" s="61"/>
      <c r="G36" s="61"/>
    </row>
    <row r="37" spans="1:7">
      <c r="A37" s="27" t="s">
        <v>43</v>
      </c>
      <c r="B37" s="28">
        <v>32</v>
      </c>
      <c r="C37" s="29">
        <v>-1091228.82</v>
      </c>
      <c r="D37" s="30">
        <v>-403551.87</v>
      </c>
      <c r="E37" s="54">
        <f t="shared" si="0"/>
        <v>-687676.95</v>
      </c>
      <c r="F37" s="61"/>
      <c r="G37" s="61"/>
    </row>
    <row r="38" spans="1:7">
      <c r="A38" s="31" t="s">
        <v>44</v>
      </c>
      <c r="B38" s="32" t="s">
        <v>45</v>
      </c>
      <c r="C38" s="6"/>
      <c r="D38" s="33" t="s">
        <v>46</v>
      </c>
      <c r="E38" s="33"/>
      <c r="F38" s="33"/>
      <c r="G38" s="33"/>
    </row>
    <row r="39" spans="1:4">
      <c r="A39" s="23"/>
      <c r="B39" s="2" t="s">
        <v>47</v>
      </c>
      <c r="C39" s="2"/>
      <c r="D39" s="3" t="s">
        <v>48</v>
      </c>
    </row>
    <row r="40" spans="1:2">
      <c r="A40" s="23" t="s">
        <v>49</v>
      </c>
      <c r="B40" s="34">
        <f>[1]原始数据!$C$57/[1]原始数据!$C$64</f>
        <v>0.861740635191967</v>
      </c>
    </row>
    <row r="41" spans="1:3">
      <c r="A41" s="23" t="s">
        <v>50</v>
      </c>
      <c r="B41" s="35">
        <f>[1]原始数据!$C$64/[1]原始数据!$C$63</f>
        <v>7.2327831202498</v>
      </c>
      <c r="C41" s="3">
        <f>1/(1-B40)</f>
        <v>7.2327831202498</v>
      </c>
    </row>
    <row r="42" spans="1:4">
      <c r="A42" s="36" t="s">
        <v>51</v>
      </c>
      <c r="B42" s="37">
        <f>C5/[1]原始数据!$C$64</f>
        <v>0.18812969000039</v>
      </c>
      <c r="C42" s="38">
        <f>1/B42</f>
        <v>5.31548210172423</v>
      </c>
      <c r="D42" s="3">
        <f>C5/(([1]原始数据!$C$64+[1]原始数据!$D$64))/2</f>
        <v>0.05596877344899</v>
      </c>
    </row>
    <row r="43" spans="1:4">
      <c r="A43" s="23" t="s">
        <v>52</v>
      </c>
      <c r="B43" s="24">
        <f>C37/C5</f>
        <v>-0.790067414892105</v>
      </c>
      <c r="D43" s="3" t="s">
        <v>53</v>
      </c>
    </row>
    <row r="44" spans="1:4">
      <c r="A44" s="23" t="s">
        <v>54</v>
      </c>
      <c r="B44" s="39">
        <f>C37/[1]原始数据!$C$64</f>
        <v>-0.148635137843061</v>
      </c>
      <c r="C44" s="3">
        <f>B42*B43</f>
        <v>-0.148635137843061</v>
      </c>
      <c r="D44" s="40">
        <f>D42*B43</f>
        <v>-0.0442191041535255</v>
      </c>
    </row>
    <row r="45" spans="1:5">
      <c r="A45" s="36" t="s">
        <v>55</v>
      </c>
      <c r="B45" s="39">
        <f>C37/[1]原始数据!$C$63</f>
        <v>-1.0750457160673</v>
      </c>
      <c r="C45" s="38">
        <f>B44*B41</f>
        <v>-1.0750457160673</v>
      </c>
      <c r="D45" s="40">
        <f>C37/(([1]原始数据!$C$63+[1]原始数据!$D$63))/2</f>
        <v>-0.291564163230494</v>
      </c>
      <c r="E45" s="3">
        <f>D45*D44</f>
        <v>0.0128927061013247</v>
      </c>
    </row>
    <row r="46" spans="1:8">
      <c r="A46" s="41"/>
      <c r="B46" s="42"/>
      <c r="C46" s="42"/>
      <c r="D46" s="43">
        <v>2021</v>
      </c>
      <c r="E46" s="43">
        <v>2022</v>
      </c>
      <c r="F46" s="43">
        <v>2023</v>
      </c>
      <c r="G46" s="43">
        <v>2024</v>
      </c>
      <c r="H46" s="43">
        <v>2025</v>
      </c>
    </row>
    <row r="47" ht="24" spans="1:8">
      <c r="A47" s="44" t="s">
        <v>56</v>
      </c>
      <c r="B47" s="42"/>
      <c r="C47" s="42"/>
      <c r="D47" s="45">
        <v>3000</v>
      </c>
      <c r="E47" s="45">
        <v>8000</v>
      </c>
      <c r="F47" s="45">
        <v>15000</v>
      </c>
      <c r="G47" s="45">
        <v>18000</v>
      </c>
      <c r="H47" s="45">
        <v>20000</v>
      </c>
    </row>
    <row r="48" ht="24" spans="1:8">
      <c r="A48" s="44" t="s">
        <v>57</v>
      </c>
      <c r="B48" s="42"/>
      <c r="C48" s="42"/>
      <c r="D48" s="45">
        <v>2500</v>
      </c>
      <c r="E48" s="45">
        <v>5500</v>
      </c>
      <c r="F48" s="45">
        <v>8000</v>
      </c>
      <c r="G48" s="45">
        <v>9000</v>
      </c>
      <c r="H48" s="45">
        <v>10000</v>
      </c>
    </row>
    <row r="49" spans="1:9">
      <c r="A49" s="44"/>
      <c r="B49" s="42"/>
      <c r="C49" s="42"/>
      <c r="D49" s="45">
        <f>D47+D48</f>
        <v>5500</v>
      </c>
      <c r="E49" s="45">
        <f>E47+E48</f>
        <v>13500</v>
      </c>
      <c r="F49" s="45">
        <f>F47+F48</f>
        <v>23000</v>
      </c>
      <c r="G49" s="45">
        <f>G47+G48</f>
        <v>27000</v>
      </c>
      <c r="H49" s="45">
        <f>H47+H48</f>
        <v>30000</v>
      </c>
      <c r="I49" s="45">
        <f>H49</f>
        <v>30000</v>
      </c>
    </row>
    <row r="50" ht="24" spans="1:8">
      <c r="A50" s="44" t="s">
        <v>58</v>
      </c>
      <c r="B50" s="42"/>
      <c r="C50" s="42"/>
      <c r="D50" s="45">
        <v>5000</v>
      </c>
      <c r="E50" s="45">
        <v>5000</v>
      </c>
      <c r="F50" s="45">
        <v>5000</v>
      </c>
      <c r="G50" s="45">
        <v>5000</v>
      </c>
      <c r="H50" s="45">
        <v>5000</v>
      </c>
    </row>
    <row r="51" ht="24" spans="1:8">
      <c r="A51" s="44" t="s">
        <v>59</v>
      </c>
      <c r="B51" s="42"/>
      <c r="C51" s="42"/>
      <c r="D51" s="45">
        <v>1250</v>
      </c>
      <c r="E51" s="45">
        <v>2750</v>
      </c>
      <c r="F51" s="45">
        <v>4000</v>
      </c>
      <c r="G51" s="45">
        <v>4500</v>
      </c>
      <c r="H51" s="45">
        <v>5000</v>
      </c>
    </row>
    <row r="52" ht="24" spans="1:8">
      <c r="A52" s="44" t="s">
        <v>60</v>
      </c>
      <c r="B52" s="42"/>
      <c r="C52" s="42"/>
      <c r="D52" s="45">
        <v>250</v>
      </c>
      <c r="E52" s="45">
        <v>750</v>
      </c>
      <c r="F52" s="45">
        <v>1000</v>
      </c>
      <c r="G52" s="45">
        <v>2000</v>
      </c>
      <c r="H52" s="45">
        <v>3000</v>
      </c>
    </row>
    <row r="53" ht="24" spans="1:9">
      <c r="A53" s="44" t="s">
        <v>61</v>
      </c>
      <c r="B53" s="42"/>
      <c r="C53" s="42"/>
      <c r="D53" s="45">
        <f>D51+D52</f>
        <v>1500</v>
      </c>
      <c r="E53" s="45">
        <v>3500</v>
      </c>
      <c r="F53" s="45">
        <v>5000</v>
      </c>
      <c r="G53" s="45">
        <v>6500</v>
      </c>
      <c r="H53" s="45">
        <v>8000</v>
      </c>
      <c r="I53" s="45">
        <v>8000</v>
      </c>
    </row>
    <row r="54" spans="1:8">
      <c r="A54" s="46"/>
      <c r="B54" s="42"/>
      <c r="C54" s="42"/>
      <c r="D54" s="47">
        <f>D51/D47</f>
        <v>0.416666666666667</v>
      </c>
      <c r="E54" s="47">
        <f>E51/E47</f>
        <v>0.34375</v>
      </c>
      <c r="F54" s="47">
        <f t="shared" ref="D54:H56" si="1">F51/F47</f>
        <v>0.266666666666667</v>
      </c>
      <c r="G54" s="47">
        <f t="shared" si="1"/>
        <v>0.25</v>
      </c>
      <c r="H54" s="47">
        <f t="shared" si="1"/>
        <v>0.25</v>
      </c>
    </row>
    <row r="55" spans="1:8">
      <c r="A55" s="46"/>
      <c r="B55" s="42"/>
      <c r="C55" s="42"/>
      <c r="D55" s="47">
        <f>D52/D48</f>
        <v>0.1</v>
      </c>
      <c r="E55" s="47">
        <f>E52/E48</f>
        <v>0.136363636363636</v>
      </c>
      <c r="F55" s="47">
        <f t="shared" si="1"/>
        <v>0.125</v>
      </c>
      <c r="G55" s="47">
        <f t="shared" si="1"/>
        <v>0.222222222222222</v>
      </c>
      <c r="H55" s="47">
        <f t="shared" si="1"/>
        <v>0.3</v>
      </c>
    </row>
    <row r="56" spans="1:8">
      <c r="A56" s="42" t="s">
        <v>62</v>
      </c>
      <c r="B56" s="42"/>
      <c r="C56" s="42"/>
      <c r="D56" s="48">
        <f>D53/D49</f>
        <v>0.272727272727273</v>
      </c>
      <c r="E56" s="48">
        <f>E53/E49</f>
        <v>0.259259259259259</v>
      </c>
      <c r="F56" s="48">
        <f t="shared" si="1"/>
        <v>0.217391304347826</v>
      </c>
      <c r="G56" s="48">
        <f t="shared" si="1"/>
        <v>0.240740740740741</v>
      </c>
      <c r="H56" s="48">
        <f t="shared" si="1"/>
        <v>0.266666666666667</v>
      </c>
    </row>
    <row r="57" ht="24" spans="1:8">
      <c r="A57" s="43"/>
      <c r="B57" s="43" t="s">
        <v>63</v>
      </c>
      <c r="C57" s="43">
        <v>2020</v>
      </c>
      <c r="D57" s="43">
        <v>2021</v>
      </c>
      <c r="E57" s="43">
        <v>2022</v>
      </c>
      <c r="F57" s="43">
        <v>2023</v>
      </c>
      <c r="G57" s="43">
        <v>2024</v>
      </c>
      <c r="H57" s="43">
        <v>2025</v>
      </c>
    </row>
    <row r="58" ht="24" spans="1:8">
      <c r="A58" s="49" t="s">
        <v>64</v>
      </c>
      <c r="B58" s="49"/>
      <c r="C58" s="45">
        <v>148</v>
      </c>
      <c r="D58" s="45">
        <f>D53</f>
        <v>1500</v>
      </c>
      <c r="E58" s="45">
        <f>E53</f>
        <v>3500</v>
      </c>
      <c r="F58" s="45">
        <f>F53</f>
        <v>5000</v>
      </c>
      <c r="G58" s="45">
        <f>G53</f>
        <v>6500</v>
      </c>
      <c r="H58" s="45">
        <f>H53</f>
        <v>8000</v>
      </c>
    </row>
    <row r="59" ht="24" spans="1:8">
      <c r="A59" s="49" t="s">
        <v>65</v>
      </c>
      <c r="B59" s="49"/>
      <c r="C59" s="45">
        <v>292</v>
      </c>
      <c r="D59" s="45">
        <f>SUM(D60:D62)</f>
        <v>1260</v>
      </c>
      <c r="E59" s="45">
        <f>SUM(E60:E62)</f>
        <v>2572.5</v>
      </c>
      <c r="F59" s="45">
        <f>SUM(F60:F62)</f>
        <v>3625</v>
      </c>
      <c r="G59" s="45">
        <f>SUM(G60:G62)</f>
        <v>4712.5</v>
      </c>
      <c r="H59" s="45">
        <f>SUM(H60:H62)</f>
        <v>5784</v>
      </c>
    </row>
    <row r="60" ht="47" spans="1:9">
      <c r="A60" s="50">
        <f>D60/$D$59</f>
        <v>0.630952380952381</v>
      </c>
      <c r="B60" s="49" t="s">
        <v>66</v>
      </c>
      <c r="C60" s="49"/>
      <c r="D60" s="45">
        <v>795</v>
      </c>
      <c r="E60" s="45">
        <v>1855</v>
      </c>
      <c r="F60" s="45">
        <v>2650</v>
      </c>
      <c r="G60" s="45">
        <v>3510</v>
      </c>
      <c r="H60" s="45">
        <v>4360</v>
      </c>
      <c r="I60" s="50">
        <f>H60/$H$59</f>
        <v>0.753803596127248</v>
      </c>
    </row>
    <row r="61" ht="47" spans="1:9">
      <c r="A61" s="50">
        <f>D61/$D$59</f>
        <v>0.297619047619048</v>
      </c>
      <c r="B61" s="49" t="s">
        <v>67</v>
      </c>
      <c r="C61" s="49"/>
      <c r="D61" s="45">
        <v>375</v>
      </c>
      <c r="E61" s="45">
        <v>542.5</v>
      </c>
      <c r="F61" s="45">
        <v>750</v>
      </c>
      <c r="G61" s="45">
        <v>942.5</v>
      </c>
      <c r="H61" s="45">
        <v>1120</v>
      </c>
      <c r="I61" s="50">
        <f>H61/$H$59</f>
        <v>0.193637621023513</v>
      </c>
    </row>
    <row r="62" ht="47" spans="1:9">
      <c r="A62" s="50">
        <f>D62/$D$59</f>
        <v>0.0714285714285714</v>
      </c>
      <c r="B62" s="49" t="s">
        <v>68</v>
      </c>
      <c r="C62" s="49"/>
      <c r="D62" s="45">
        <v>90</v>
      </c>
      <c r="E62" s="45">
        <v>175</v>
      </c>
      <c r="F62" s="45">
        <v>225</v>
      </c>
      <c r="G62" s="45">
        <v>260</v>
      </c>
      <c r="H62" s="45">
        <v>304</v>
      </c>
      <c r="I62" s="50">
        <f>H62/$H$59</f>
        <v>0.0525587828492393</v>
      </c>
    </row>
    <row r="63" ht="24" spans="1:8">
      <c r="A63" s="49" t="s">
        <v>69</v>
      </c>
      <c r="B63" s="49"/>
      <c r="C63" s="49"/>
      <c r="D63" s="45">
        <f>D58-D59</f>
        <v>240</v>
      </c>
      <c r="E63" s="45">
        <f>E58-E59</f>
        <v>927.5</v>
      </c>
      <c r="F63" s="45">
        <f>F58-F59</f>
        <v>1375</v>
      </c>
      <c r="G63" s="45">
        <f>G58-G59</f>
        <v>1787.5</v>
      </c>
      <c r="H63" s="45">
        <f>H58-H59</f>
        <v>2216</v>
      </c>
    </row>
    <row r="64" spans="1:8">
      <c r="A64" s="49"/>
      <c r="B64" s="49"/>
      <c r="C64" s="49"/>
      <c r="D64" s="51">
        <f>D63/D58</f>
        <v>0.16</v>
      </c>
      <c r="E64" s="51">
        <f>E63/E58</f>
        <v>0.265</v>
      </c>
      <c r="F64" s="51">
        <f>F63/F58</f>
        <v>0.275</v>
      </c>
      <c r="G64" s="51">
        <f>G63/G58</f>
        <v>0.275</v>
      </c>
      <c r="H64" s="51">
        <f>H63/H58</f>
        <v>0.277</v>
      </c>
    </row>
    <row r="65" ht="24" spans="1:8">
      <c r="A65" s="49" t="s">
        <v>70</v>
      </c>
      <c r="B65" s="49"/>
      <c r="C65" s="45">
        <v>251</v>
      </c>
      <c r="D65" s="45">
        <v>315</v>
      </c>
      <c r="E65" s="45">
        <v>525</v>
      </c>
      <c r="F65" s="45">
        <v>625</v>
      </c>
      <c r="G65" s="45">
        <v>715</v>
      </c>
      <c r="H65" s="45">
        <v>800</v>
      </c>
    </row>
    <row r="66" ht="47" spans="1:9">
      <c r="A66" s="50">
        <f>D66/$D$58</f>
        <v>0.19</v>
      </c>
      <c r="B66" s="49" t="s">
        <v>24</v>
      </c>
      <c r="C66" s="49"/>
      <c r="D66" s="45">
        <f>D58*0.19</f>
        <v>285</v>
      </c>
      <c r="E66" s="45">
        <f>E58*0.19</f>
        <v>665</v>
      </c>
      <c r="F66" s="45">
        <f>F58*0.19</f>
        <v>950</v>
      </c>
      <c r="G66" s="45">
        <f>G58*0.19</f>
        <v>1235</v>
      </c>
      <c r="H66" s="45">
        <f>H58*0.19</f>
        <v>1520</v>
      </c>
      <c r="I66" s="50">
        <f>H66/$H$58</f>
        <v>0.19</v>
      </c>
    </row>
    <row r="67" ht="47" spans="1:9">
      <c r="A67" s="50">
        <f>D67/$D$58</f>
        <v>0.15</v>
      </c>
      <c r="B67" s="49" t="s">
        <v>25</v>
      </c>
      <c r="C67" s="49"/>
      <c r="D67" s="45">
        <v>225</v>
      </c>
      <c r="E67" s="45">
        <v>350</v>
      </c>
      <c r="F67" s="45">
        <v>400</v>
      </c>
      <c r="G67" s="45">
        <v>455</v>
      </c>
      <c r="H67" s="45">
        <v>480</v>
      </c>
      <c r="I67" s="50">
        <f>H67/$H$58</f>
        <v>0.06</v>
      </c>
    </row>
    <row r="68" ht="47" spans="1:9">
      <c r="A68" s="50"/>
      <c r="B68" s="49" t="s">
        <v>29</v>
      </c>
      <c r="C68" s="49"/>
      <c r="D68" s="45">
        <v>15</v>
      </c>
      <c r="E68" s="45">
        <v>35</v>
      </c>
      <c r="F68" s="45">
        <v>50</v>
      </c>
      <c r="G68" s="45">
        <v>65</v>
      </c>
      <c r="H68" s="45">
        <v>80</v>
      </c>
      <c r="I68" s="50"/>
    </row>
    <row r="69" ht="24" spans="1:8">
      <c r="A69" s="49" t="s">
        <v>71</v>
      </c>
      <c r="B69" s="49"/>
      <c r="C69" s="45">
        <v>-395</v>
      </c>
      <c r="D69" s="45">
        <v>-75</v>
      </c>
      <c r="E69" s="45">
        <v>402.5</v>
      </c>
      <c r="F69" s="45">
        <v>750</v>
      </c>
      <c r="G69" s="45">
        <v>1072.5</v>
      </c>
      <c r="H69" s="45">
        <v>1416</v>
      </c>
    </row>
    <row r="70" ht="24" spans="1:8">
      <c r="A70" s="49" t="s">
        <v>72</v>
      </c>
      <c r="B70" s="49"/>
      <c r="C70" s="49"/>
      <c r="D70" s="49"/>
      <c r="E70" s="45">
        <v>0</v>
      </c>
      <c r="F70" s="45">
        <v>112.5</v>
      </c>
      <c r="G70" s="45">
        <v>160.875</v>
      </c>
      <c r="H70" s="45">
        <v>212.4</v>
      </c>
    </row>
    <row r="71" ht="24" spans="1:8">
      <c r="A71" s="49" t="s">
        <v>73</v>
      </c>
      <c r="B71" s="49"/>
      <c r="C71" s="45">
        <v>-395</v>
      </c>
      <c r="D71" s="45">
        <v>-75</v>
      </c>
      <c r="E71" s="45">
        <v>402.5</v>
      </c>
      <c r="F71" s="45">
        <v>637.5</v>
      </c>
      <c r="G71" s="45">
        <v>911.625</v>
      </c>
      <c r="H71" s="45">
        <v>1203.6</v>
      </c>
    </row>
    <row r="72" ht="24" spans="1:8">
      <c r="A72" s="63" t="s">
        <v>74</v>
      </c>
      <c r="B72" s="63" t="s">
        <v>75</v>
      </c>
      <c r="C72" s="64"/>
      <c r="D72" s="65">
        <f>D60/D49</f>
        <v>0.144545454545455</v>
      </c>
      <c r="E72" s="65">
        <f>E60/E49</f>
        <v>0.137407407407407</v>
      </c>
      <c r="F72" s="65">
        <f>F60/F49</f>
        <v>0.115217391304348</v>
      </c>
      <c r="G72" s="65">
        <f>G60/G49</f>
        <v>0.13</v>
      </c>
      <c r="H72" s="65">
        <f>H60/H49</f>
        <v>0.145333333333333</v>
      </c>
    </row>
    <row r="73" ht="24" spans="1:8">
      <c r="A73" s="63" t="s">
        <v>76</v>
      </c>
      <c r="B73" s="63" t="s">
        <v>75</v>
      </c>
      <c r="C73" s="64"/>
      <c r="D73" s="65">
        <f>D61/D49</f>
        <v>0.0681818181818182</v>
      </c>
      <c r="E73" s="65">
        <f>E61/E49</f>
        <v>0.0401851851851852</v>
      </c>
      <c r="F73" s="65">
        <f>F61/F49</f>
        <v>0.0326086956521739</v>
      </c>
      <c r="G73" s="65">
        <f>G61/G49</f>
        <v>0.0349074074074074</v>
      </c>
      <c r="H73" s="65">
        <f>H61/H49</f>
        <v>0.0373333333333333</v>
      </c>
    </row>
    <row r="74" ht="24" spans="1:8">
      <c r="A74" s="63" t="s">
        <v>77</v>
      </c>
      <c r="B74" s="63" t="s">
        <v>75</v>
      </c>
      <c r="C74" s="66"/>
      <c r="D74" s="67">
        <f>D62/D49</f>
        <v>0.0163636363636364</v>
      </c>
      <c r="E74" s="67">
        <f>E62/E49</f>
        <v>0.012962962962963</v>
      </c>
      <c r="F74" s="67">
        <f>F62/F49</f>
        <v>0.00978260869565217</v>
      </c>
      <c r="G74" s="67">
        <f>G62/G49</f>
        <v>0.00962962962962963</v>
      </c>
      <c r="H74" s="67">
        <f>H62/H49</f>
        <v>0.0101333333333333</v>
      </c>
    </row>
    <row r="75" ht="24" spans="1:8">
      <c r="A75" s="46" t="s">
        <v>78</v>
      </c>
      <c r="B75" s="68"/>
      <c r="C75" s="69"/>
      <c r="D75" s="70">
        <f>SUM(D72:D74)</f>
        <v>0.229090909090909</v>
      </c>
      <c r="E75" s="70">
        <f>SUM(E72:E74)</f>
        <v>0.190555555555556</v>
      </c>
      <c r="F75" s="70">
        <f>SUM(F72:F74)</f>
        <v>0.157608695652174</v>
      </c>
      <c r="G75" s="70">
        <f>SUM(G72:G74)</f>
        <v>0.174537037037037</v>
      </c>
      <c r="H75" s="70">
        <f>SUM(H72:H74)</f>
        <v>0.1928</v>
      </c>
    </row>
    <row r="76" ht="24" spans="1:8">
      <c r="A76" s="2" t="s">
        <v>79</v>
      </c>
      <c r="B76" s="63" t="s">
        <v>75</v>
      </c>
      <c r="D76" s="3">
        <f>D50/10000-SUM(D72:D74)</f>
        <v>0.270909090909091</v>
      </c>
      <c r="E76" s="3">
        <f>E50/10000-SUM(E72:E74)</f>
        <v>0.309444444444444</v>
      </c>
      <c r="F76" s="3">
        <f>F50/10000-SUM(F72:F74)</f>
        <v>0.342391304347826</v>
      </c>
      <c r="G76" s="3">
        <f>G50/10000-SUM(G72:G74)</f>
        <v>0.325462962962963</v>
      </c>
      <c r="H76" s="3">
        <f>H50/10000-SUM(H72:H74)</f>
        <v>0.3072</v>
      </c>
    </row>
    <row r="77" spans="8:8">
      <c r="H77" s="3"/>
    </row>
    <row r="78" spans="1:8">
      <c r="A78" s="42" t="s">
        <v>80</v>
      </c>
      <c r="B78" s="42"/>
      <c r="C78" s="38"/>
      <c r="D78" s="38">
        <f>D66/D58</f>
        <v>0.19</v>
      </c>
      <c r="E78" s="38">
        <f>E66/E58</f>
        <v>0.19</v>
      </c>
      <c r="F78" s="38">
        <f>F66/F58</f>
        <v>0.19</v>
      </c>
      <c r="G78" s="38">
        <f>G66/G58</f>
        <v>0.19</v>
      </c>
      <c r="H78" s="38">
        <f>H66/H58</f>
        <v>0.19</v>
      </c>
    </row>
    <row r="79" spans="1:8">
      <c r="A79" s="42" t="s">
        <v>81</v>
      </c>
      <c r="B79" s="42"/>
      <c r="C79" s="38"/>
      <c r="D79" s="38">
        <f>D67/D58</f>
        <v>0.15</v>
      </c>
      <c r="E79" s="38">
        <f>E67/E58</f>
        <v>0.1</v>
      </c>
      <c r="F79" s="38">
        <f>F67/F58</f>
        <v>0.08</v>
      </c>
      <c r="G79" s="38">
        <f>G67/G58</f>
        <v>0.07</v>
      </c>
      <c r="H79" s="38">
        <f>H67/H58</f>
        <v>0.06</v>
      </c>
    </row>
    <row r="80" spans="1:8">
      <c r="A80" s="2" t="s">
        <v>82</v>
      </c>
      <c r="D80" s="55">
        <f>[1]原始数据!$D$16/10000</f>
        <v>169.701553</v>
      </c>
      <c r="E80" s="55">
        <f>D82</f>
        <v>463.75</v>
      </c>
      <c r="F80" s="55">
        <f>E82</f>
        <v>662.5</v>
      </c>
      <c r="G80" s="55">
        <f>F82</f>
        <v>877.5</v>
      </c>
      <c r="H80" s="55">
        <f>G82</f>
        <v>1090</v>
      </c>
    </row>
    <row r="81" spans="1:8">
      <c r="A81" s="2" t="s">
        <v>83</v>
      </c>
      <c r="D81" s="55">
        <f>D60</f>
        <v>795</v>
      </c>
      <c r="E81" s="55">
        <f>E60</f>
        <v>1855</v>
      </c>
      <c r="F81" s="55">
        <f>F60</f>
        <v>2650</v>
      </c>
      <c r="G81" s="55">
        <f>G60</f>
        <v>3510</v>
      </c>
      <c r="H81" s="55">
        <f>H60</f>
        <v>4360</v>
      </c>
    </row>
    <row r="82" spans="1:8">
      <c r="A82" s="2" t="s">
        <v>84</v>
      </c>
      <c r="B82" s="2" t="s">
        <v>85</v>
      </c>
      <c r="C82" s="71">
        <v>0.25</v>
      </c>
      <c r="D82" s="55">
        <f>$C$82*E60</f>
        <v>463.75</v>
      </c>
      <c r="E82" s="55">
        <f>$C$82*F60</f>
        <v>662.5</v>
      </c>
      <c r="F82" s="55">
        <f>$C$82*G60</f>
        <v>877.5</v>
      </c>
      <c r="G82" s="55">
        <f>$C$82*H60</f>
        <v>1090</v>
      </c>
      <c r="H82" s="55">
        <f>$C$82*I60</f>
        <v>0.188450899031812</v>
      </c>
    </row>
    <row r="83" spans="1:8">
      <c r="A83" s="2" t="s">
        <v>86</v>
      </c>
      <c r="D83" s="55">
        <f>D81+D82-D80</f>
        <v>1089.048447</v>
      </c>
      <c r="E83" s="55">
        <f>E81+E82-E80</f>
        <v>2053.75</v>
      </c>
      <c r="F83" s="55">
        <f>F81+F82-F80</f>
        <v>2865</v>
      </c>
      <c r="G83" s="55">
        <f>G81+G82-G80</f>
        <v>3722.5</v>
      </c>
      <c r="H83" s="55">
        <f>H81+H82-H80</f>
        <v>3270.18845089903</v>
      </c>
    </row>
    <row r="84" spans="1:8">
      <c r="A84" s="2" t="s">
        <v>87</v>
      </c>
      <c r="D84" s="55"/>
      <c r="E84" s="55"/>
      <c r="F84" s="55"/>
      <c r="G84" s="55"/>
      <c r="H84" s="55"/>
    </row>
    <row r="85" spans="1:8">
      <c r="A85" s="2" t="s">
        <v>88</v>
      </c>
      <c r="D85" s="55">
        <f>[1]原始数据!$D$42/10000</f>
        <v>78.101765</v>
      </c>
      <c r="E85" s="55">
        <f>D88</f>
        <v>544.5242235</v>
      </c>
      <c r="F85" s="55">
        <f>E88</f>
        <v>1026.875</v>
      </c>
      <c r="G85" s="55">
        <f>F88</f>
        <v>1432.5</v>
      </c>
      <c r="H85" s="55">
        <f>G88</f>
        <v>1861.25</v>
      </c>
    </row>
    <row r="86" spans="1:8">
      <c r="A86" s="2" t="s">
        <v>89</v>
      </c>
      <c r="B86" s="42" t="s">
        <v>90</v>
      </c>
      <c r="C86" s="38">
        <v>180</v>
      </c>
      <c r="D86" s="55">
        <f>D83/(360/$C$86)</f>
        <v>544.5242235</v>
      </c>
      <c r="E86" s="55">
        <f>E83/(360/$C$86)</f>
        <v>1026.875</v>
      </c>
      <c r="F86" s="55">
        <f>F83/(360/$C$86)</f>
        <v>1432.5</v>
      </c>
      <c r="G86" s="55">
        <f>G83/(360/$C$86)</f>
        <v>1861.25</v>
      </c>
      <c r="H86" s="55">
        <f>H83/(360/$C$86)</f>
        <v>1635.09422544952</v>
      </c>
    </row>
    <row r="87" spans="1:8">
      <c r="A87" s="2" t="s">
        <v>91</v>
      </c>
      <c r="D87" s="55">
        <f>D85</f>
        <v>78.101765</v>
      </c>
      <c r="E87" s="55">
        <f>E85</f>
        <v>544.5242235</v>
      </c>
      <c r="F87" s="55">
        <f>F85</f>
        <v>1026.875</v>
      </c>
      <c r="G87" s="55">
        <f>G85</f>
        <v>1432.5</v>
      </c>
      <c r="H87" s="55">
        <f>H85</f>
        <v>1861.25</v>
      </c>
    </row>
    <row r="88" spans="1:8">
      <c r="A88" s="42" t="s">
        <v>92</v>
      </c>
      <c r="B88" s="42"/>
      <c r="C88" s="38"/>
      <c r="D88" s="72">
        <f>D85+D86-D87</f>
        <v>544.5242235</v>
      </c>
      <c r="E88" s="72">
        <f>E85+E86-E87</f>
        <v>1026.875</v>
      </c>
      <c r="F88" s="72">
        <f>F85+F86-F87</f>
        <v>1432.5</v>
      </c>
      <c r="G88" s="72">
        <f>G85+G86-G87</f>
        <v>1861.25</v>
      </c>
      <c r="H88" s="72">
        <f>H85+H86-H87</f>
        <v>1635.09422544952</v>
      </c>
    </row>
    <row r="89" spans="1:8">
      <c r="A89" s="2" t="s">
        <v>93</v>
      </c>
      <c r="B89" s="2" t="s">
        <v>94</v>
      </c>
      <c r="C89" s="3">
        <f>365/G5</f>
        <v>2.02777777777778</v>
      </c>
      <c r="D89" s="73">
        <f>[1]原始数据!$I$9/10000</f>
        <v>97.567777</v>
      </c>
      <c r="E89" s="55">
        <f>D92</f>
        <v>750</v>
      </c>
      <c r="F89" s="55">
        <f>E92</f>
        <v>1750</v>
      </c>
      <c r="G89" s="55">
        <f>F92</f>
        <v>2500</v>
      </c>
      <c r="H89" s="55">
        <f>G92</f>
        <v>3250</v>
      </c>
    </row>
    <row r="90" spans="1:8">
      <c r="A90" s="2" t="s">
        <v>95</v>
      </c>
      <c r="D90" s="55">
        <f>D58</f>
        <v>1500</v>
      </c>
      <c r="E90" s="55">
        <f>E58</f>
        <v>3500</v>
      </c>
      <c r="F90" s="55">
        <f>F58</f>
        <v>5000</v>
      </c>
      <c r="G90" s="55">
        <f>G58</f>
        <v>6500</v>
      </c>
      <c r="H90" s="55">
        <f>H58</f>
        <v>8000</v>
      </c>
    </row>
    <row r="91" spans="1:8">
      <c r="A91" s="2" t="s">
        <v>96</v>
      </c>
      <c r="B91" s="2" t="s">
        <v>97</v>
      </c>
      <c r="D91" s="55">
        <f>D89+D90*0.5</f>
        <v>847.567777</v>
      </c>
      <c r="E91" s="55">
        <f>E89+E90*0.5</f>
        <v>2500</v>
      </c>
      <c r="F91" s="55">
        <f>F89+F90*0.5</f>
        <v>4250</v>
      </c>
      <c r="G91" s="55">
        <f>G89+G90*0.5</f>
        <v>5750</v>
      </c>
      <c r="H91" s="55">
        <f>H89+H90*0.5</f>
        <v>7250</v>
      </c>
    </row>
    <row r="92" spans="1:8">
      <c r="A92" s="42" t="s">
        <v>98</v>
      </c>
      <c r="B92" s="42"/>
      <c r="C92" s="38"/>
      <c r="D92" s="72">
        <f>D89+D90-D91</f>
        <v>750</v>
      </c>
      <c r="E92" s="72">
        <f>E89+E90-E91</f>
        <v>1750</v>
      </c>
      <c r="F92" s="72">
        <f>F89+F90-F91</f>
        <v>2500</v>
      </c>
      <c r="G92" s="72">
        <f>G89+G90-G91</f>
        <v>3250</v>
      </c>
      <c r="H92" s="72">
        <f>H89+H90-H91</f>
        <v>4000</v>
      </c>
    </row>
    <row r="93" spans="1:8">
      <c r="A93" s="2" t="s">
        <v>99</v>
      </c>
      <c r="D93" s="55"/>
      <c r="E93" s="55"/>
      <c r="F93" s="55"/>
      <c r="G93" s="55"/>
      <c r="H93" s="55"/>
    </row>
    <row r="94" spans="1:8">
      <c r="A94" s="42" t="s">
        <v>100</v>
      </c>
      <c r="B94" s="42" t="s">
        <v>101</v>
      </c>
      <c r="C94" s="38"/>
      <c r="D94" s="72">
        <f>([1]原始数据!$D$18/10000)/D75</f>
        <v>30.7934</v>
      </c>
      <c r="E94" s="72">
        <f>D97</f>
        <v>675</v>
      </c>
      <c r="F94" s="72">
        <f>E97</f>
        <v>1150</v>
      </c>
      <c r="G94" s="72">
        <f>F97</f>
        <v>1350</v>
      </c>
      <c r="H94" s="72">
        <f>G97</f>
        <v>1500</v>
      </c>
    </row>
    <row r="95" spans="1:8">
      <c r="A95" s="42" t="s">
        <v>102</v>
      </c>
      <c r="B95" s="42" t="s">
        <v>101</v>
      </c>
      <c r="C95" s="38"/>
      <c r="D95" s="72">
        <f>D49</f>
        <v>5500</v>
      </c>
      <c r="E95" s="72">
        <f>E49</f>
        <v>13500</v>
      </c>
      <c r="F95" s="72">
        <f>F49</f>
        <v>23000</v>
      </c>
      <c r="G95" s="72">
        <f>G49</f>
        <v>27000</v>
      </c>
      <c r="H95" s="72">
        <f>H49</f>
        <v>30000</v>
      </c>
    </row>
    <row r="96" spans="1:8">
      <c r="A96" s="42" t="s">
        <v>103</v>
      </c>
      <c r="B96" s="42" t="s">
        <v>101</v>
      </c>
      <c r="C96" s="38"/>
      <c r="D96" s="72">
        <f>D95+D97-D94</f>
        <v>6144.2066</v>
      </c>
      <c r="E96" s="72">
        <f>E95+E97-E94</f>
        <v>13975</v>
      </c>
      <c r="F96" s="72">
        <f>F95+F97-F94</f>
        <v>23200</v>
      </c>
      <c r="G96" s="72">
        <f>G95+G97-G94</f>
        <v>27150</v>
      </c>
      <c r="H96" s="72">
        <f>H95+H97-H94</f>
        <v>30000</v>
      </c>
    </row>
    <row r="97" spans="1:8">
      <c r="A97" s="2" t="s">
        <v>104</v>
      </c>
      <c r="B97" s="2" t="s">
        <v>105</v>
      </c>
      <c r="D97" s="55">
        <f>E49*0.05</f>
        <v>675</v>
      </c>
      <c r="E97" s="55">
        <f>F49*0.05</f>
        <v>1150</v>
      </c>
      <c r="F97" s="55">
        <f>G49*0.05</f>
        <v>1350</v>
      </c>
      <c r="G97" s="55">
        <f>H49*0.05</f>
        <v>1500</v>
      </c>
      <c r="H97" s="55">
        <f>I49*0.05</f>
        <v>1500</v>
      </c>
    </row>
    <row r="98" spans="1:8">
      <c r="A98" s="2" t="s">
        <v>106</v>
      </c>
      <c r="B98" s="2" t="s">
        <v>107</v>
      </c>
      <c r="D98" s="55">
        <f>D94*D75</f>
        <v>7.054488</v>
      </c>
      <c r="E98" s="55">
        <f>E94*E75</f>
        <v>128.625</v>
      </c>
      <c r="F98" s="55">
        <f>F94*F75</f>
        <v>181.25</v>
      </c>
      <c r="G98" s="55">
        <f>G94*G75</f>
        <v>235.625</v>
      </c>
      <c r="H98" s="55">
        <f>H94*H75</f>
        <v>289.2</v>
      </c>
    </row>
    <row r="99" spans="1:8">
      <c r="A99" s="2" t="s">
        <v>108</v>
      </c>
      <c r="B99" s="2" t="s">
        <v>107</v>
      </c>
      <c r="D99" s="55">
        <f>0.1*E49*E75</f>
        <v>257.25</v>
      </c>
      <c r="E99" s="55">
        <f>E53*E75</f>
        <v>666.944444444444</v>
      </c>
      <c r="F99" s="55">
        <f>F53*F75</f>
        <v>788.04347826087</v>
      </c>
      <c r="G99" s="55">
        <f>G53*G75</f>
        <v>1134.49074074074</v>
      </c>
      <c r="H99" s="55">
        <f>H53*H75</f>
        <v>1542.4</v>
      </c>
    </row>
    <row r="100" spans="1:8">
      <c r="A100" s="2" t="s">
        <v>109</v>
      </c>
      <c r="B100" s="2" t="s">
        <v>107</v>
      </c>
      <c r="D100" s="55">
        <f>(D99+D101-D98)*D75</f>
        <v>149.162145393719</v>
      </c>
      <c r="E100" s="55">
        <f>(E99+E101-E98)*E75</f>
        <v>193.358310185185</v>
      </c>
      <c r="F100" s="55">
        <f>(F99+F101-F98)*F75</f>
        <v>176.367556710775</v>
      </c>
      <c r="G100" s="55">
        <f>(G99+G101-G98)*G75</f>
        <v>278.738072273663</v>
      </c>
      <c r="H100" s="55">
        <f>(H99+H101-H98)*H75</f>
        <v>390.30432</v>
      </c>
    </row>
    <row r="101" spans="1:8">
      <c r="A101" s="42" t="s">
        <v>110</v>
      </c>
      <c r="B101" s="42" t="s">
        <v>107</v>
      </c>
      <c r="C101" s="38"/>
      <c r="D101" s="72">
        <f>E53*0.5*D75</f>
        <v>400.909090909091</v>
      </c>
      <c r="E101" s="72">
        <f>F53*0.5*E75</f>
        <v>476.388888888889</v>
      </c>
      <c r="F101" s="72">
        <f>G53*0.5*F75</f>
        <v>512.228260869565</v>
      </c>
      <c r="G101" s="72">
        <f>H53*0.5*G75</f>
        <v>698.148148148148</v>
      </c>
      <c r="H101" s="72">
        <f>I53*0.5*H75</f>
        <v>771.2</v>
      </c>
    </row>
    <row r="102" spans="8:8">
      <c r="H102" s="3"/>
    </row>
    <row r="103" spans="1:2">
      <c r="A103" s="2" t="s">
        <v>111</v>
      </c>
      <c r="B103" s="74">
        <v>0.5</v>
      </c>
    </row>
    <row r="104" spans="1:2">
      <c r="A104" s="2" t="s">
        <v>112</v>
      </c>
      <c r="B104" s="74">
        <v>0.5</v>
      </c>
    </row>
    <row r="105" spans="1:1">
      <c r="A105" s="2" t="s">
        <v>113</v>
      </c>
    </row>
    <row r="106" spans="1:1">
      <c r="A106" s="2" t="s">
        <v>114</v>
      </c>
    </row>
    <row r="108" spans="1:1">
      <c r="A108" s="2" t="s">
        <v>115</v>
      </c>
    </row>
    <row r="109" spans="1:1">
      <c r="A109" s="2" t="s">
        <v>116</v>
      </c>
    </row>
    <row r="110" spans="1:1">
      <c r="A110" s="2" t="s">
        <v>117</v>
      </c>
    </row>
    <row r="111" spans="1:1">
      <c r="A111" s="2" t="s">
        <v>118</v>
      </c>
    </row>
    <row r="113" spans="1:8">
      <c r="A113" s="42" t="s">
        <v>119</v>
      </c>
      <c r="B113" s="42"/>
      <c r="C113" s="38"/>
      <c r="D113" s="38"/>
      <c r="E113" s="38"/>
      <c r="F113" s="38"/>
      <c r="G113" s="38"/>
      <c r="H113" s="42"/>
    </row>
    <row r="114" spans="1:8">
      <c r="A114" s="42" t="s">
        <v>120</v>
      </c>
      <c r="B114" s="42"/>
      <c r="C114" s="38"/>
      <c r="D114" s="38"/>
      <c r="E114" s="38"/>
      <c r="F114" s="38"/>
      <c r="G114" s="38"/>
      <c r="H114" s="42"/>
    </row>
    <row r="115" spans="1:8">
      <c r="A115" s="42"/>
      <c r="B115" s="42" t="s">
        <v>121</v>
      </c>
      <c r="C115" s="38"/>
      <c r="D115" s="72">
        <f>D91</f>
        <v>847.567777</v>
      </c>
      <c r="E115" s="72">
        <f>E91</f>
        <v>2500</v>
      </c>
      <c r="F115" s="72">
        <f>F91</f>
        <v>4250</v>
      </c>
      <c r="G115" s="72">
        <f>G91</f>
        <v>5750</v>
      </c>
      <c r="H115" s="72">
        <f>H91</f>
        <v>7250</v>
      </c>
    </row>
    <row r="116" spans="1:8">
      <c r="A116" s="42" t="s">
        <v>122</v>
      </c>
      <c r="B116" s="42"/>
      <c r="C116" s="38"/>
      <c r="D116" s="72"/>
      <c r="E116" s="72"/>
      <c r="F116" s="72"/>
      <c r="G116" s="72"/>
      <c r="H116" s="79"/>
    </row>
    <row r="117" spans="1:8">
      <c r="A117" s="42"/>
      <c r="B117" s="42" t="s">
        <v>123</v>
      </c>
      <c r="C117" s="38"/>
      <c r="D117" s="72">
        <f>D87</f>
        <v>78.101765</v>
      </c>
      <c r="E117" s="72">
        <f>E87</f>
        <v>544.5242235</v>
      </c>
      <c r="F117" s="72">
        <f>F87</f>
        <v>1026.875</v>
      </c>
      <c r="G117" s="72">
        <f>G87</f>
        <v>1432.5</v>
      </c>
      <c r="H117" s="72">
        <f>H87</f>
        <v>1861.25</v>
      </c>
    </row>
    <row r="118" spans="1:8">
      <c r="A118" s="42"/>
      <c r="B118" s="42" t="s">
        <v>124</v>
      </c>
      <c r="C118" s="38" t="s">
        <v>125</v>
      </c>
      <c r="D118" s="72">
        <f>D61+D62-D139-([1]原始数据!$D$26)/10000+D67</f>
        <v>537.173508</v>
      </c>
      <c r="E118" s="72">
        <f>E61+E62-E139-([1]原始数据!$D$26)/10000+E67</f>
        <v>858.389549225</v>
      </c>
      <c r="F118" s="72">
        <f>F61+F62-F139-([1]原始数据!$D$26)/10000+F67</f>
        <v>1109.60559045</v>
      </c>
      <c r="G118" s="72">
        <f>G61+G62-G139-([1]原始数据!$D$26)/10000+G67</f>
        <v>1335.821631675</v>
      </c>
      <c r="H118" s="72">
        <f>H61+H62-H139-([1]原始数据!$D$26)/10000+H67</f>
        <v>1526.0376729</v>
      </c>
    </row>
    <row r="119" spans="1:8">
      <c r="A119" s="42"/>
      <c r="B119" s="42" t="s">
        <v>24</v>
      </c>
      <c r="C119" s="38"/>
      <c r="D119" s="72">
        <f>D66</f>
        <v>285</v>
      </c>
      <c r="E119" s="72">
        <f>E66</f>
        <v>665</v>
      </c>
      <c r="F119" s="72">
        <f>F66</f>
        <v>950</v>
      </c>
      <c r="G119" s="72">
        <f>G66</f>
        <v>1235</v>
      </c>
      <c r="H119" s="72">
        <f>H66</f>
        <v>1520</v>
      </c>
    </row>
    <row r="120" spans="1:8">
      <c r="A120" s="42"/>
      <c r="B120" s="42" t="s">
        <v>25</v>
      </c>
      <c r="C120" s="38" t="s">
        <v>126</v>
      </c>
      <c r="D120" s="75">
        <f>D67*0.9</f>
        <v>202.5</v>
      </c>
      <c r="E120" s="75">
        <f>E67*0.9</f>
        <v>315</v>
      </c>
      <c r="F120" s="75">
        <f>F67*0.9</f>
        <v>360</v>
      </c>
      <c r="G120" s="75">
        <f>G67*0.9</f>
        <v>409.5</v>
      </c>
      <c r="H120" s="75">
        <f>H67*0.9</f>
        <v>432</v>
      </c>
    </row>
    <row r="121" spans="1:9">
      <c r="A121" s="42"/>
      <c r="B121" s="42" t="s">
        <v>127</v>
      </c>
      <c r="C121" s="38"/>
      <c r="D121" s="72">
        <f>SUM(D117:D120)</f>
        <v>1102.775273</v>
      </c>
      <c r="E121" s="72">
        <f>SUM(E117:E120)</f>
        <v>2382.913772725</v>
      </c>
      <c r="F121" s="72">
        <f>SUM(F117:F120)</f>
        <v>3446.48059045</v>
      </c>
      <c r="G121" s="72">
        <f>SUM(G117:G120)</f>
        <v>4412.821631675</v>
      </c>
      <c r="H121" s="72">
        <f>SUM(H117:H120)</f>
        <v>5339.2876729</v>
      </c>
      <c r="I121" s="80">
        <f>H121</f>
        <v>5339.2876729</v>
      </c>
    </row>
    <row r="122" spans="1:8">
      <c r="A122" s="42" t="s">
        <v>128</v>
      </c>
      <c r="B122" s="42"/>
      <c r="C122" s="38"/>
      <c r="D122" s="72">
        <f>D115-D121</f>
        <v>-255.207496</v>
      </c>
      <c r="E122" s="72">
        <f>E115-E121</f>
        <v>117.086227275</v>
      </c>
      <c r="F122" s="72">
        <f>F115-F121</f>
        <v>803.51940955</v>
      </c>
      <c r="G122" s="72">
        <f>G115-G121</f>
        <v>1337.178368325</v>
      </c>
      <c r="H122" s="72">
        <f>H115-H121</f>
        <v>1910.7123271</v>
      </c>
    </row>
    <row r="123" spans="1:8">
      <c r="A123" s="42" t="s">
        <v>129</v>
      </c>
      <c r="B123" s="42"/>
      <c r="C123" s="38"/>
      <c r="D123" s="72"/>
      <c r="E123" s="72"/>
      <c r="F123" s="72"/>
      <c r="G123" s="72"/>
      <c r="H123" s="79"/>
    </row>
    <row r="124" spans="1:8">
      <c r="A124" s="42"/>
      <c r="B124" s="42" t="s">
        <v>130</v>
      </c>
      <c r="C124" s="38"/>
      <c r="D124" s="72"/>
      <c r="E124" s="72">
        <f>[1]原始数据!$D$25*0.75/10000</f>
        <v>165.58166775</v>
      </c>
      <c r="F124" s="72"/>
      <c r="G124" s="72"/>
      <c r="H124" s="79"/>
    </row>
    <row r="125" spans="1:8">
      <c r="A125" s="42" t="s">
        <v>131</v>
      </c>
      <c r="B125" s="42"/>
      <c r="C125" s="38"/>
      <c r="D125" s="72">
        <f>D122-D124</f>
        <v>-255.207496</v>
      </c>
      <c r="E125" s="72">
        <f>E122-E124</f>
        <v>-48.4954404749999</v>
      </c>
      <c r="F125" s="72">
        <f>F122-F124</f>
        <v>803.51940955</v>
      </c>
      <c r="G125" s="72">
        <f>G122-G124</f>
        <v>1337.178368325</v>
      </c>
      <c r="H125" s="72">
        <f>H122-H124</f>
        <v>1910.7123271</v>
      </c>
    </row>
    <row r="126" spans="1:8">
      <c r="A126" s="42" t="s">
        <v>132</v>
      </c>
      <c r="B126" s="42"/>
      <c r="C126" s="38"/>
      <c r="D126" s="72">
        <f>[1]原始数据!$D$6/10000</f>
        <v>1.000832</v>
      </c>
      <c r="E126" s="72">
        <f>D127</f>
        <v>476.582754545</v>
      </c>
      <c r="F126" s="72">
        <f>E127</f>
        <v>689.29611809</v>
      </c>
      <c r="G126" s="72">
        <f>F126-F128</f>
        <v>1202.20953009</v>
      </c>
      <c r="H126" s="72">
        <f>G126-G128</f>
        <v>1932.998948635</v>
      </c>
    </row>
    <row r="127" spans="1:8">
      <c r="A127" s="76" t="s">
        <v>133</v>
      </c>
      <c r="B127" s="76" t="s">
        <v>134</v>
      </c>
      <c r="C127" s="77"/>
      <c r="D127" s="78">
        <f>E121*0.2</f>
        <v>476.582754545</v>
      </c>
      <c r="E127" s="78">
        <f>F121*0.2</f>
        <v>689.29611809</v>
      </c>
      <c r="F127" s="78">
        <f>G121*0.2</f>
        <v>882.564326335</v>
      </c>
      <c r="G127" s="78">
        <f>H121*0.2</f>
        <v>1067.85753458</v>
      </c>
      <c r="H127" s="78">
        <f>I121*0.2</f>
        <v>1067.85753458</v>
      </c>
    </row>
    <row r="128" spans="1:8">
      <c r="A128" s="42" t="s">
        <v>135</v>
      </c>
      <c r="B128" s="42"/>
      <c r="C128" s="38"/>
      <c r="D128" s="72">
        <f>-(D126+D125-D127)</f>
        <v>730.789418545</v>
      </c>
      <c r="E128" s="72">
        <f>-(E126+E125-E127)</f>
        <v>261.20880402</v>
      </c>
      <c r="F128" s="72">
        <f>-[1]原始数据!$C$40/10000</f>
        <v>-512.913412</v>
      </c>
      <c r="G128" s="72">
        <f>-D128</f>
        <v>-730.789418545</v>
      </c>
      <c r="H128" s="72">
        <f>-E128</f>
        <v>-261.20880402</v>
      </c>
    </row>
    <row r="129" spans="1:8">
      <c r="A129" s="42" t="s">
        <v>136</v>
      </c>
      <c r="B129" s="42"/>
      <c r="C129" s="38"/>
      <c r="D129" s="72"/>
      <c r="E129" s="72"/>
      <c r="H129" s="72"/>
    </row>
    <row r="130" spans="1:8">
      <c r="A130" s="2" t="s">
        <v>137</v>
      </c>
      <c r="D130" s="55"/>
      <c r="E130" s="55"/>
      <c r="F130" s="55"/>
      <c r="G130" s="55"/>
      <c r="H130" s="73"/>
    </row>
    <row r="131" spans="1:8">
      <c r="A131" s="2" t="s">
        <v>138</v>
      </c>
      <c r="D131" s="55"/>
      <c r="E131" s="55"/>
      <c r="F131" s="55"/>
      <c r="G131" s="55"/>
      <c r="H131" s="73"/>
    </row>
    <row r="132" spans="2:8">
      <c r="B132" s="2" t="s">
        <v>139</v>
      </c>
      <c r="D132" s="55">
        <f>D127</f>
        <v>476.582754545</v>
      </c>
      <c r="E132" s="55">
        <f>E127</f>
        <v>689.29611809</v>
      </c>
      <c r="F132" s="55">
        <f>F127</f>
        <v>882.564326335</v>
      </c>
      <c r="G132" s="55">
        <f>G127</f>
        <v>1067.85753458</v>
      </c>
      <c r="H132" s="55">
        <f>H127</f>
        <v>1067.85753458</v>
      </c>
    </row>
    <row r="133" spans="1:8">
      <c r="A133" s="3">
        <f>D133-([1]原始数据!$C$9+[1]原始数据!$C$8)/10000</f>
        <v>525.787077</v>
      </c>
      <c r="B133" s="2" t="s">
        <v>140</v>
      </c>
      <c r="D133" s="72">
        <f>D92</f>
        <v>750</v>
      </c>
      <c r="E133" s="72">
        <f>E92</f>
        <v>1750</v>
      </c>
      <c r="F133" s="72">
        <f>F92</f>
        <v>2500</v>
      </c>
      <c r="G133" s="72">
        <f>G92</f>
        <v>3250</v>
      </c>
      <c r="H133" s="72">
        <f>H92</f>
        <v>4000</v>
      </c>
    </row>
    <row r="134" spans="2:8">
      <c r="B134" s="2" t="s">
        <v>141</v>
      </c>
      <c r="C134" s="3" t="s">
        <v>142</v>
      </c>
      <c r="D134" s="55">
        <f>D82</f>
        <v>463.75</v>
      </c>
      <c r="E134" s="55">
        <f>E82</f>
        <v>662.5</v>
      </c>
      <c r="F134" s="55">
        <f>F82</f>
        <v>877.5</v>
      </c>
      <c r="G134" s="55">
        <f>G82</f>
        <v>1090</v>
      </c>
      <c r="H134" s="55">
        <f>H82</f>
        <v>0.188450899031812</v>
      </c>
    </row>
    <row r="135" spans="3:8">
      <c r="C135" s="81" t="s">
        <v>143</v>
      </c>
      <c r="D135" s="82">
        <f>D101</f>
        <v>400.909090909091</v>
      </c>
      <c r="E135" s="82">
        <f>E101</f>
        <v>476.388888888889</v>
      </c>
      <c r="F135" s="82">
        <f>F101</f>
        <v>512.228260869565</v>
      </c>
      <c r="G135" s="82">
        <f>G101</f>
        <v>698.148148148148</v>
      </c>
      <c r="H135" s="82">
        <f>H101</f>
        <v>771.2</v>
      </c>
    </row>
    <row r="136" s="1" customFormat="1" spans="1:8">
      <c r="A136" s="3">
        <f>D136-[1]原始数据!$C$14/10000</f>
        <v>627.984095909091</v>
      </c>
      <c r="C136" s="83" t="s">
        <v>127</v>
      </c>
      <c r="D136" s="84">
        <f>D134+D135</f>
        <v>864.659090909091</v>
      </c>
      <c r="E136" s="84">
        <f>E134+E135</f>
        <v>1138.88888888889</v>
      </c>
      <c r="F136" s="84">
        <f>F134+F135</f>
        <v>1389.72826086957</v>
      </c>
      <c r="G136" s="84">
        <f>G134+G135</f>
        <v>1788.14814814815</v>
      </c>
      <c r="H136" s="84">
        <f>H134+H135</f>
        <v>771.388450899032</v>
      </c>
    </row>
    <row r="137" spans="2:8">
      <c r="B137" s="42" t="s">
        <v>144</v>
      </c>
      <c r="C137" s="38"/>
      <c r="D137" s="72">
        <f>D132+D133+D136</f>
        <v>2091.24184545409</v>
      </c>
      <c r="E137" s="72">
        <f>E132+E133+E136</f>
        <v>3578.18500697889</v>
      </c>
      <c r="F137" s="72">
        <f>F132+F133+F136</f>
        <v>4772.29258720457</v>
      </c>
      <c r="G137" s="72">
        <f>G132+G133+G136</f>
        <v>6106.00568272815</v>
      </c>
      <c r="H137" s="72">
        <f>H132+H133+H136</f>
        <v>5839.24598547903</v>
      </c>
    </row>
    <row r="138" spans="2:8">
      <c r="B138" s="2" t="s">
        <v>145</v>
      </c>
      <c r="D138" s="55">
        <f>[1]原始数据!$C$25/10000</f>
        <v>228.324225</v>
      </c>
      <c r="E138" s="55">
        <f>D138+E124</f>
        <v>393.90589275</v>
      </c>
      <c r="F138" s="55">
        <f>E138+F124</f>
        <v>393.90589275</v>
      </c>
      <c r="G138" s="55">
        <f>F138+G124</f>
        <v>393.90589275</v>
      </c>
      <c r="H138" s="55">
        <f>G138+H124</f>
        <v>393.90589275</v>
      </c>
    </row>
    <row r="139" spans="1:8">
      <c r="A139" s="2" t="s">
        <v>146</v>
      </c>
      <c r="B139" s="2" t="s">
        <v>147</v>
      </c>
      <c r="D139" s="72">
        <f>([1]原始数据!$D$26+[1]原始数据!$E$26*4)/10000</f>
        <v>96.276142</v>
      </c>
      <c r="E139" s="72">
        <f>D139+[1]原始数据!$E$26*4/10000+$E$124/10</f>
        <v>152.560100775</v>
      </c>
      <c r="F139" s="72">
        <f>E139+[1]原始数据!$E$26*4/10000+$E$124/10</f>
        <v>208.84405955</v>
      </c>
      <c r="G139" s="72">
        <f>F139+[1]原始数据!$E$26*4/10000+$E$124/10</f>
        <v>265.128018325</v>
      </c>
      <c r="H139" s="72">
        <f>G139+[1]原始数据!$E$26*4/10000+$E$124/10</f>
        <v>321.4119771</v>
      </c>
    </row>
    <row r="140" spans="2:8">
      <c r="B140" s="2" t="s">
        <v>148</v>
      </c>
      <c r="D140" s="55">
        <f>D138-D139</f>
        <v>132.048083</v>
      </c>
      <c r="E140" s="55">
        <f>E138-E139</f>
        <v>241.345791975</v>
      </c>
      <c r="F140" s="55">
        <f>F138-F139</f>
        <v>185.0618332</v>
      </c>
      <c r="G140" s="55">
        <f>G138-G139</f>
        <v>128.777874425</v>
      </c>
      <c r="H140" s="55">
        <f>H138-H139</f>
        <v>72.4939156500001</v>
      </c>
    </row>
    <row r="141" spans="2:8">
      <c r="B141" s="2" t="s">
        <v>149</v>
      </c>
      <c r="D141" s="55">
        <f>[1]原始数据!$C$32/10000</f>
        <v>3.967908</v>
      </c>
      <c r="E141" s="55">
        <f>[1]原始数据!$C$32/10000</f>
        <v>3.967908</v>
      </c>
      <c r="F141" s="55">
        <f>[1]原始数据!$C$32/10000</f>
        <v>3.967908</v>
      </c>
      <c r="G141" s="55">
        <f>[1]原始数据!$C$32/10000</f>
        <v>3.967908</v>
      </c>
      <c r="H141" s="55">
        <f>[1]原始数据!$C$32/10000</f>
        <v>3.967908</v>
      </c>
    </row>
    <row r="142" spans="1:8">
      <c r="A142" s="42" t="s">
        <v>150</v>
      </c>
      <c r="B142" s="42"/>
      <c r="C142" s="38"/>
      <c r="D142" s="72">
        <f>D137+D140+D141</f>
        <v>2227.25783645409</v>
      </c>
      <c r="E142" s="72">
        <f>E137+E140+E141</f>
        <v>3823.49870695389</v>
      </c>
      <c r="F142" s="72">
        <f>F137+F140+F141</f>
        <v>4961.32232840457</v>
      </c>
      <c r="G142" s="72">
        <f>G137+G140+G141</f>
        <v>6238.75146515315</v>
      </c>
      <c r="H142" s="72">
        <f>H137+H140+H141</f>
        <v>5915.70780912903</v>
      </c>
    </row>
    <row r="143" spans="1:8">
      <c r="A143" s="2" t="s">
        <v>151</v>
      </c>
      <c r="D143" s="55"/>
      <c r="E143" s="55"/>
      <c r="F143" s="55"/>
      <c r="G143" s="55"/>
      <c r="H143" s="73"/>
    </row>
    <row r="144" spans="2:8">
      <c r="B144" s="2" t="s">
        <v>152</v>
      </c>
      <c r="D144" s="55">
        <f>D88</f>
        <v>544.5242235</v>
      </c>
      <c r="E144" s="55">
        <f>E88</f>
        <v>1026.875</v>
      </c>
      <c r="F144" s="55">
        <f>F88</f>
        <v>1432.5</v>
      </c>
      <c r="G144" s="55">
        <f>G88</f>
        <v>1861.25</v>
      </c>
      <c r="H144" s="55">
        <f>H88</f>
        <v>1635.09422544952</v>
      </c>
    </row>
    <row r="145" spans="2:8">
      <c r="B145" s="2" t="s">
        <v>153</v>
      </c>
      <c r="D145" s="55">
        <f>[1]原始数据!$C$48/10000</f>
        <v>0</v>
      </c>
      <c r="E145" s="55">
        <f>[1]原始数据!$C$48/10000</f>
        <v>0</v>
      </c>
      <c r="F145" s="55">
        <f>[1]原始数据!$C$48/10000</f>
        <v>0</v>
      </c>
      <c r="G145" s="55">
        <f>[1]原始数据!$C$48/10000</f>
        <v>0</v>
      </c>
      <c r="H145" s="73"/>
    </row>
    <row r="146" spans="2:8">
      <c r="B146" s="2" t="s">
        <v>154</v>
      </c>
      <c r="D146" s="85">
        <f>D128+[1]原始数据!$C$40/10000</f>
        <v>1243.702830545</v>
      </c>
      <c r="E146" s="85">
        <f>D146+E128</f>
        <v>1504.911634565</v>
      </c>
      <c r="F146" s="85">
        <f>E146-F128</f>
        <v>2017.825046565</v>
      </c>
      <c r="G146" s="85">
        <f>F146-G128</f>
        <v>2748.61446511</v>
      </c>
      <c r="H146" s="85">
        <f>G146-H129</f>
        <v>2748.61446511</v>
      </c>
    </row>
    <row r="147" spans="4:8">
      <c r="D147" s="55">
        <f>SUM(D144:D146)</f>
        <v>1788.227054045</v>
      </c>
      <c r="E147" s="55">
        <f>SUM(E144:E146)</f>
        <v>2531.786634565</v>
      </c>
      <c r="F147" s="55">
        <f>SUM(F144:F146)</f>
        <v>3450.325046565</v>
      </c>
      <c r="G147" s="55">
        <f>SUM(G144:G146)</f>
        <v>4609.86446511</v>
      </c>
      <c r="H147" s="55">
        <f>SUM(H144:H146)</f>
        <v>4383.70869055952</v>
      </c>
    </row>
    <row r="148" spans="1:8">
      <c r="A148" s="2" t="s">
        <v>155</v>
      </c>
      <c r="D148" s="55"/>
      <c r="E148" s="55"/>
      <c r="F148" s="55"/>
      <c r="G148" s="55"/>
      <c r="H148" s="73"/>
    </row>
    <row r="149" spans="2:8">
      <c r="B149" s="2" t="s">
        <v>156</v>
      </c>
      <c r="D149" s="55">
        <f>[1]原始数据!$C$59/10000</f>
        <v>1000</v>
      </c>
      <c r="E149" s="55">
        <f>[1]原始数据!$C$59/10000</f>
        <v>1000</v>
      </c>
      <c r="F149" s="55">
        <f>[1]原始数据!$C$59/10000</f>
        <v>1000</v>
      </c>
      <c r="G149" s="55">
        <f>[1]原始数据!$C$59/10000</f>
        <v>1000</v>
      </c>
      <c r="H149" s="55">
        <f>[1]原始数据!$C$59/10000</f>
        <v>1000</v>
      </c>
    </row>
    <row r="150" spans="2:8">
      <c r="B150" s="2" t="s">
        <v>157</v>
      </c>
      <c r="D150" s="72">
        <f>[1]原始数据!$D$62/10000+D71</f>
        <v>-864.371777</v>
      </c>
      <c r="E150" s="72">
        <f>[1]原始数据!$D$62/10000+E71</f>
        <v>-386.871777</v>
      </c>
      <c r="F150" s="72">
        <f>[1]原始数据!$D$62/10000+F71</f>
        <v>-151.871777</v>
      </c>
      <c r="G150" s="72">
        <f>[1]原始数据!$D$62/10000+G71</f>
        <v>122.253223</v>
      </c>
      <c r="H150" s="72">
        <f>[1]原始数据!$D$62/10000+H71</f>
        <v>414.228223</v>
      </c>
    </row>
    <row r="151" spans="4:8">
      <c r="D151" s="55">
        <f>SUM(D149:D150)</f>
        <v>135.628223</v>
      </c>
      <c r="E151" s="55">
        <f>SUM(E149:E150)</f>
        <v>613.128223</v>
      </c>
      <c r="F151" s="55">
        <f>SUM(F149:F150)</f>
        <v>848.128223</v>
      </c>
      <c r="G151" s="55">
        <f>SUM(G149:G150)</f>
        <v>1122.253223</v>
      </c>
      <c r="H151" s="55">
        <f>SUM(H149:H150)</f>
        <v>1414.228223</v>
      </c>
    </row>
    <row r="152" spans="1:8">
      <c r="A152" s="2" t="s">
        <v>158</v>
      </c>
      <c r="D152" s="55">
        <f>D151+D147</f>
        <v>1923.855277045</v>
      </c>
      <c r="E152" s="55">
        <f>E151+E147</f>
        <v>3144.914857565</v>
      </c>
      <c r="F152" s="55">
        <f>F151+F147</f>
        <v>4298.453269565</v>
      </c>
      <c r="G152" s="55">
        <f>G151+G147</f>
        <v>5732.11768811</v>
      </c>
      <c r="H152" s="55">
        <f>H151+H147</f>
        <v>5797.93691355952</v>
      </c>
    </row>
    <row r="153" spans="1:8">
      <c r="A153" s="42" t="s">
        <v>159</v>
      </c>
      <c r="B153" s="42"/>
      <c r="C153" s="38"/>
      <c r="D153" s="72">
        <f>D142-D152</f>
        <v>303.40255940909</v>
      </c>
      <c r="E153" s="72">
        <f>E142-E152</f>
        <v>678.583849388888</v>
      </c>
      <c r="F153" s="72">
        <f>F142-F152</f>
        <v>662.869058839565</v>
      </c>
      <c r="G153" s="72">
        <f>G142-G152</f>
        <v>506.633777043147</v>
      </c>
      <c r="H153" s="72">
        <f>H142-H152</f>
        <v>117.770895569516</v>
      </c>
    </row>
    <row r="154" spans="1:8">
      <c r="A154" s="2" t="s">
        <v>160</v>
      </c>
      <c r="D154" s="3">
        <f>D128+D153</f>
        <v>1034.19197795409</v>
      </c>
      <c r="E154" s="3">
        <f>E128+E153</f>
        <v>939.792653408888</v>
      </c>
      <c r="F154" s="3">
        <f>F128+F153</f>
        <v>149.955646839565</v>
      </c>
      <c r="G154" s="3">
        <f>G128+G153</f>
        <v>-224.155641501853</v>
      </c>
      <c r="H154" s="3">
        <f>H128+H153</f>
        <v>-143.437908450484</v>
      </c>
    </row>
  </sheetData>
  <mergeCells count="3">
    <mergeCell ref="A1:D1"/>
    <mergeCell ref="A3:B3"/>
    <mergeCell ref="B38:C38"/>
  </mergeCells>
  <pageMargins left="0.196850393700787" right="0.196850393700787" top="0.196850393700787" bottom="0.196850393700787" header="0.51181" footer="0.51181"/>
  <pageSetup paperSize="9" scale="98" orientation="portrait" errors="blank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jiajj_sh</dc:creator>
  <cp:lastModifiedBy>丁麒涵Justin</cp:lastModifiedBy>
  <dcterms:created xsi:type="dcterms:W3CDTF">2022-07-17T21:46:50Z</dcterms:created>
  <cp:lastPrinted>2021-04-09T09:09:55Z</cp:lastPrinted>
  <dcterms:modified xsi:type="dcterms:W3CDTF">2024-10-17T11:12:24Z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70E0F508B6494107988010678B9EBADF_43</vt:lpwstr>
  </property>
  <property fmtid="{D5CDD505-2E9C-101B-9397-08002B2CF9AE}" pid="3" name="KSOProductBuildVer">
    <vt:lpwstr>2052-6.11.0.8885</vt:lpwstr>
  </property>
  <property fmtid="{D5CDD505-2E9C-101B-9397-08002B2CF9AE}" pid="4" name="EM_Doc_Temp_ID">
    <vt:lpwstr>b9fbd996</vt:lpwstr>
  </property>
</Properties>
</file>