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k\Downloads\"/>
    </mc:Choice>
  </mc:AlternateContent>
  <xr:revisionPtr revIDLastSave="0" documentId="8_{2414440A-155E-462A-B523-4127B84AE89D}" xr6:coauthVersionLast="47" xr6:coauthVersionMax="47" xr10:uidLastSave="{00000000-0000-0000-0000-000000000000}"/>
  <bookViews>
    <workbookView xWindow="-120" yWindow="-120" windowWidth="29040" windowHeight="15720" xr2:uid="{0CAE92F1-9806-4F94-8A13-E16EB140C65D}"/>
  </bookViews>
  <sheets>
    <sheet name="80data(Ungroup)" sheetId="1" r:id="rId1"/>
    <sheet name="80data(Group)" sheetId="7" r:id="rId2"/>
    <sheet name="80data(Group)drft" sheetId="2" state="hidden" r:id="rId3"/>
    <sheet name="100data(Group)" sheetId="6" state="hidden" r:id="rId4"/>
    <sheet name="100data(Ungroup)" sheetId="4" state="hidden" r:id="rId5"/>
    <sheet name="Sheet5" sheetId="5" state="hidden" r:id="rId6"/>
    <sheet name="Sheet2 (2)" sheetId="3" state="hidden" r:id="rId7"/>
  </sheets>
  <definedNames>
    <definedName name="_xlnm._FilterDatabase" localSheetId="3" hidden="1">'100data(Group)'!$C$2:$C$82</definedName>
    <definedName name="_xlnm._FilterDatabase" localSheetId="4" hidden="1">'100data(Ungroup)'!$P$2:$P$82</definedName>
    <definedName name="_xlnm._FilterDatabase" localSheetId="1" hidden="1">'80data(Group)'!$C$2:$C$82</definedName>
    <definedName name="_xlnm._FilterDatabase" localSheetId="2" hidden="1">'80data(Group)drft'!$C$2:$C$82</definedName>
    <definedName name="_xlnm._FilterDatabase" localSheetId="0" hidden="1">'80data(Ungroup)'!$N$2:$N$82</definedName>
    <definedName name="_xlnm._FilterDatabase" localSheetId="6" hidden="1">'Sheet2 (2)'!$A$2:$A$82</definedName>
    <definedName name="_xlchart.v1.0" hidden="1">'80data(Ungroup)'!$N$3:$N$82</definedName>
    <definedName name="_xlchart.v1.1" hidden="1">'80data(Ungroup)'!$J$2</definedName>
    <definedName name="_xlchart.v1.10" hidden="1">'100data(Ungroup)'!$A$5:$J$5</definedName>
    <definedName name="_xlchart.v1.11" hidden="1">'100data(Ungroup)'!$A$6:$J$6</definedName>
    <definedName name="_xlchart.v1.12" hidden="1">'100data(Ungroup)'!$A$7:$J$7</definedName>
    <definedName name="_xlchart.v1.13" hidden="1">'100data(Ungroup)'!$A$8:$J$8</definedName>
    <definedName name="_xlchart.v1.14" hidden="1">'100data(Ungroup)'!$A$9:$J$9</definedName>
    <definedName name="_xlchart.v1.2" hidden="1">'80data(Ungroup)'!$J$3:$J$82</definedName>
    <definedName name="_xlchart.v1.3" hidden="1">'80data(Ungroup)'!$K$2</definedName>
    <definedName name="_xlchart.v1.4" hidden="1">'80data(Ungroup)'!$K$3:$K$82</definedName>
    <definedName name="_xlchart.v1.5" hidden="1">'100data(Ungroup)'!$A$10:$J$10</definedName>
    <definedName name="_xlchart.v1.6" hidden="1">'100data(Ungroup)'!$A$11:$J$11</definedName>
    <definedName name="_xlchart.v1.7" hidden="1">'100data(Ungroup)'!$A$12:$J$12</definedName>
    <definedName name="_xlchart.v1.8" hidden="1">'100data(Ungroup)'!$A$3:$J$3</definedName>
    <definedName name="_xlchart.v1.9" hidden="1">'100data(Ungroup)'!$A$4:$J$4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5" i="7" l="1"/>
  <c r="M65" i="7"/>
  <c r="M55" i="7"/>
  <c r="M45" i="7"/>
  <c r="M28" i="7"/>
  <c r="M18" i="7"/>
  <c r="M61" i="7" s="1"/>
  <c r="F4" i="7"/>
  <c r="I3" i="7"/>
  <c r="J3" i="7" s="1"/>
  <c r="M3" i="7" s="1"/>
  <c r="F3" i="7"/>
  <c r="N15" i="6"/>
  <c r="M71" i="6" s="1"/>
  <c r="M72" i="6" s="1"/>
  <c r="M77" i="6"/>
  <c r="M76" i="6" s="1"/>
  <c r="M73" i="6"/>
  <c r="M45" i="6"/>
  <c r="M44" i="6"/>
  <c r="M43" i="6"/>
  <c r="M34" i="6"/>
  <c r="M33" i="6"/>
  <c r="M23" i="6"/>
  <c r="M21" i="6"/>
  <c r="M22" i="6" s="1"/>
  <c r="M20" i="6"/>
  <c r="M18" i="6"/>
  <c r="M17" i="6" s="1"/>
  <c r="M78" i="6"/>
  <c r="L6" i="6"/>
  <c r="L7" i="6"/>
  <c r="L8" i="6"/>
  <c r="L9" i="6" s="1"/>
  <c r="L10" i="6" s="1"/>
  <c r="L11" i="6" s="1"/>
  <c r="L12" i="6" s="1"/>
  <c r="L13" i="6" s="1"/>
  <c r="L14" i="6" s="1"/>
  <c r="L5" i="6"/>
  <c r="L4" i="6"/>
  <c r="L3" i="6"/>
  <c r="K4" i="2"/>
  <c r="J3" i="6"/>
  <c r="F4" i="6"/>
  <c r="F3" i="6"/>
  <c r="F5" i="6" s="1"/>
  <c r="F7" i="6" s="1"/>
  <c r="I3" i="6"/>
  <c r="E43" i="4"/>
  <c r="E39" i="4"/>
  <c r="E37" i="4"/>
  <c r="E35" i="4"/>
  <c r="E33" i="4"/>
  <c r="E30" i="4"/>
  <c r="E29" i="4"/>
  <c r="E27" i="4"/>
  <c r="E24" i="4"/>
  <c r="E22" i="4"/>
  <c r="E23" i="4"/>
  <c r="E21" i="4"/>
  <c r="E20" i="4"/>
  <c r="E19" i="4"/>
  <c r="E18" i="4"/>
  <c r="E17" i="4"/>
  <c r="Q7" i="4"/>
  <c r="R7" i="4" s="1"/>
  <c r="S7" i="4"/>
  <c r="Q8" i="4"/>
  <c r="R8" i="4" s="1"/>
  <c r="Q9" i="4"/>
  <c r="R9" i="4"/>
  <c r="S9" i="4"/>
  <c r="Q10" i="4"/>
  <c r="R10" i="4"/>
  <c r="S10" i="4"/>
  <c r="Q11" i="4"/>
  <c r="R11" i="4" s="1"/>
  <c r="Q12" i="4"/>
  <c r="R12" i="4" s="1"/>
  <c r="Q13" i="4"/>
  <c r="R13" i="4"/>
  <c r="S13" i="4"/>
  <c r="Q14" i="4"/>
  <c r="R14" i="4"/>
  <c r="S14" i="4"/>
  <c r="Q15" i="4"/>
  <c r="R15" i="4"/>
  <c r="S15" i="4"/>
  <c r="Q16" i="4"/>
  <c r="S16" i="4" s="1"/>
  <c r="R16" i="4"/>
  <c r="Q17" i="4"/>
  <c r="S17" i="4" s="1"/>
  <c r="R17" i="4"/>
  <c r="Q18" i="4"/>
  <c r="R18" i="4"/>
  <c r="S18" i="4"/>
  <c r="Q19" i="4"/>
  <c r="R19" i="4"/>
  <c r="S19" i="4"/>
  <c r="Q20" i="4"/>
  <c r="R20" i="4"/>
  <c r="S20" i="4"/>
  <c r="Q21" i="4"/>
  <c r="R21" i="4"/>
  <c r="S21" i="4"/>
  <c r="Q22" i="4"/>
  <c r="R22" i="4"/>
  <c r="S22" i="4"/>
  <c r="Q23" i="4"/>
  <c r="R23" i="4"/>
  <c r="S23" i="4"/>
  <c r="Q24" i="4"/>
  <c r="R24" i="4" s="1"/>
  <c r="Q25" i="4"/>
  <c r="R25" i="4"/>
  <c r="S25" i="4"/>
  <c r="Q26" i="4"/>
  <c r="R26" i="4"/>
  <c r="S26" i="4"/>
  <c r="Q27" i="4"/>
  <c r="R27" i="4" s="1"/>
  <c r="Q28" i="4"/>
  <c r="R28" i="4" s="1"/>
  <c r="Q29" i="4"/>
  <c r="R29" i="4"/>
  <c r="S29" i="4"/>
  <c r="Q30" i="4"/>
  <c r="R30" i="4"/>
  <c r="S30" i="4"/>
  <c r="Q31" i="4"/>
  <c r="R31" i="4"/>
  <c r="S31" i="4"/>
  <c r="Q32" i="4"/>
  <c r="S32" i="4" s="1"/>
  <c r="R32" i="4"/>
  <c r="Q33" i="4"/>
  <c r="S33" i="4" s="1"/>
  <c r="R33" i="4"/>
  <c r="Q34" i="4"/>
  <c r="R34" i="4"/>
  <c r="S34" i="4"/>
  <c r="Q35" i="4"/>
  <c r="R35" i="4"/>
  <c r="S35" i="4"/>
  <c r="Q36" i="4"/>
  <c r="R36" i="4"/>
  <c r="S36" i="4"/>
  <c r="Q37" i="4"/>
  <c r="R37" i="4"/>
  <c r="S37" i="4"/>
  <c r="Q38" i="4"/>
  <c r="R38" i="4"/>
  <c r="S38" i="4"/>
  <c r="Q39" i="4"/>
  <c r="R39" i="4"/>
  <c r="S39" i="4"/>
  <c r="Q40" i="4"/>
  <c r="R40" i="4" s="1"/>
  <c r="Q41" i="4"/>
  <c r="R41" i="4"/>
  <c r="S41" i="4"/>
  <c r="Q42" i="4"/>
  <c r="R42" i="4"/>
  <c r="S42" i="4"/>
  <c r="Q43" i="4"/>
  <c r="R43" i="4" s="1"/>
  <c r="Q44" i="4"/>
  <c r="R44" i="4" s="1"/>
  <c r="Q45" i="4"/>
  <c r="R45" i="4"/>
  <c r="S45" i="4"/>
  <c r="Q46" i="4"/>
  <c r="R46" i="4"/>
  <c r="S46" i="4"/>
  <c r="Q47" i="4"/>
  <c r="R47" i="4"/>
  <c r="S47" i="4"/>
  <c r="Q48" i="4"/>
  <c r="S48" i="4" s="1"/>
  <c r="R48" i="4"/>
  <c r="Q49" i="4"/>
  <c r="S49" i="4" s="1"/>
  <c r="R49" i="4"/>
  <c r="Q50" i="4"/>
  <c r="R50" i="4"/>
  <c r="S50" i="4"/>
  <c r="Q51" i="4"/>
  <c r="R51" i="4"/>
  <c r="S51" i="4"/>
  <c r="Q52" i="4"/>
  <c r="R52" i="4"/>
  <c r="S52" i="4"/>
  <c r="Q53" i="4"/>
  <c r="R53" i="4"/>
  <c r="S53" i="4"/>
  <c r="Q54" i="4"/>
  <c r="R54" i="4"/>
  <c r="S54" i="4"/>
  <c r="Q55" i="4"/>
  <c r="R55" i="4"/>
  <c r="S55" i="4"/>
  <c r="Q56" i="4"/>
  <c r="R56" i="4" s="1"/>
  <c r="Q57" i="4"/>
  <c r="R57" i="4"/>
  <c r="S57" i="4"/>
  <c r="Q58" i="4"/>
  <c r="R58" i="4"/>
  <c r="S58" i="4"/>
  <c r="Q59" i="4"/>
  <c r="R59" i="4" s="1"/>
  <c r="Q60" i="4"/>
  <c r="R60" i="4" s="1"/>
  <c r="Q61" i="4"/>
  <c r="R61" i="4"/>
  <c r="S61" i="4"/>
  <c r="Q62" i="4"/>
  <c r="R62" i="4"/>
  <c r="S62" i="4"/>
  <c r="Q63" i="4"/>
  <c r="R63" i="4"/>
  <c r="S63" i="4"/>
  <c r="Q64" i="4"/>
  <c r="S64" i="4" s="1"/>
  <c r="R64" i="4"/>
  <c r="Q65" i="4"/>
  <c r="S65" i="4" s="1"/>
  <c r="R65" i="4"/>
  <c r="Q66" i="4"/>
  <c r="R66" i="4"/>
  <c r="S66" i="4"/>
  <c r="Q67" i="4"/>
  <c r="R67" i="4"/>
  <c r="S67" i="4"/>
  <c r="Q68" i="4"/>
  <c r="R68" i="4"/>
  <c r="S68" i="4"/>
  <c r="Q69" i="4"/>
  <c r="R69" i="4"/>
  <c r="S69" i="4"/>
  <c r="Q70" i="4"/>
  <c r="R70" i="4"/>
  <c r="S70" i="4"/>
  <c r="Q71" i="4"/>
  <c r="R71" i="4" s="1"/>
  <c r="S71" i="4"/>
  <c r="Q72" i="4"/>
  <c r="R72" i="4" s="1"/>
  <c r="Q73" i="4"/>
  <c r="R73" i="4"/>
  <c r="S73" i="4"/>
  <c r="Q74" i="4"/>
  <c r="R74" i="4"/>
  <c r="S74" i="4"/>
  <c r="Q75" i="4"/>
  <c r="R75" i="4" s="1"/>
  <c r="Q76" i="4"/>
  <c r="R76" i="4" s="1"/>
  <c r="Q77" i="4"/>
  <c r="R77" i="4"/>
  <c r="S77" i="4"/>
  <c r="Q78" i="4"/>
  <c r="R78" i="4"/>
  <c r="S78" i="4"/>
  <c r="Q79" i="4"/>
  <c r="R79" i="4"/>
  <c r="S79" i="4"/>
  <c r="Q80" i="4"/>
  <c r="S80" i="4" s="1"/>
  <c r="R80" i="4"/>
  <c r="Q81" i="4"/>
  <c r="S81" i="4" s="1"/>
  <c r="R81" i="4"/>
  <c r="Q82" i="4"/>
  <c r="R82" i="4"/>
  <c r="S82" i="4"/>
  <c r="Q83" i="4"/>
  <c r="R83" i="4"/>
  <c r="S83" i="4"/>
  <c r="Q84" i="4"/>
  <c r="R84" i="4"/>
  <c r="S84" i="4"/>
  <c r="Q85" i="4"/>
  <c r="R85" i="4"/>
  <c r="S85" i="4"/>
  <c r="Q86" i="4"/>
  <c r="R86" i="4"/>
  <c r="S86" i="4"/>
  <c r="Q87" i="4"/>
  <c r="R87" i="4" s="1"/>
  <c r="S87" i="4"/>
  <c r="Q88" i="4"/>
  <c r="Q89" i="4"/>
  <c r="R89" i="4"/>
  <c r="S89" i="4"/>
  <c r="Q90" i="4"/>
  <c r="R90" i="4"/>
  <c r="S90" i="4"/>
  <c r="Q91" i="4"/>
  <c r="R91" i="4" s="1"/>
  <c r="Q92" i="4"/>
  <c r="R92" i="4" s="1"/>
  <c r="Q93" i="4"/>
  <c r="R93" i="4"/>
  <c r="S93" i="4"/>
  <c r="Q94" i="4"/>
  <c r="R94" i="4"/>
  <c r="S94" i="4"/>
  <c r="Q95" i="4"/>
  <c r="R95" i="4"/>
  <c r="S95" i="4"/>
  <c r="Q96" i="4"/>
  <c r="S96" i="4" s="1"/>
  <c r="R96" i="4"/>
  <c r="Q97" i="4"/>
  <c r="S97" i="4" s="1"/>
  <c r="R97" i="4"/>
  <c r="Q98" i="4"/>
  <c r="R98" i="4"/>
  <c r="S98" i="4"/>
  <c r="Q99" i="4"/>
  <c r="R99" i="4"/>
  <c r="S99" i="4"/>
  <c r="Q100" i="4"/>
  <c r="R100" i="4"/>
  <c r="S100" i="4"/>
  <c r="Q101" i="4"/>
  <c r="R101" i="4"/>
  <c r="S101" i="4"/>
  <c r="Q102" i="4"/>
  <c r="R102" i="4"/>
  <c r="S102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3" i="4"/>
  <c r="L4" i="4" a="1"/>
  <c r="L4" i="4" s="1"/>
  <c r="L5" i="4" a="1"/>
  <c r="L5" i="4"/>
  <c r="L6" i="4" a="1"/>
  <c r="L6" i="4" s="1"/>
  <c r="L7" i="4" a="1"/>
  <c r="L7" i="4"/>
  <c r="L8" i="4" a="1"/>
  <c r="L8" i="4"/>
  <c r="L9" i="4" a="1"/>
  <c r="L9" i="4"/>
  <c r="L10" i="4" a="1"/>
  <c r="L10" i="4" s="1"/>
  <c r="L11" i="4" a="1"/>
  <c r="L11" i="4"/>
  <c r="L12" i="4" a="1"/>
  <c r="L12" i="4" s="1"/>
  <c r="L13" i="4" a="1"/>
  <c r="L13" i="4"/>
  <c r="L14" i="4" a="1"/>
  <c r="L14" i="4" s="1"/>
  <c r="L15" i="4" a="1"/>
  <c r="L15" i="4"/>
  <c r="L16" i="4" a="1"/>
  <c r="L16" i="4"/>
  <c r="L17" i="4" a="1"/>
  <c r="L17" i="4"/>
  <c r="L18" i="4" a="1"/>
  <c r="L18" i="4" s="1"/>
  <c r="L19" i="4" a="1"/>
  <c r="L19" i="4"/>
  <c r="L20" i="4" a="1"/>
  <c r="L20" i="4" s="1"/>
  <c r="L21" i="4" a="1"/>
  <c r="L21" i="4"/>
  <c r="L22" i="4" a="1"/>
  <c r="L22" i="4" s="1"/>
  <c r="L23" i="4" a="1"/>
  <c r="L23" i="4"/>
  <c r="L24" i="4" a="1"/>
  <c r="L24" i="4"/>
  <c r="L25" i="4" a="1"/>
  <c r="L25" i="4"/>
  <c r="L26" i="4" a="1"/>
  <c r="L26" i="4" s="1"/>
  <c r="L27" i="4" a="1"/>
  <c r="L27" i="4"/>
  <c r="L28" i="4" a="1"/>
  <c r="L28" i="4" s="1"/>
  <c r="L29" i="4" a="1"/>
  <c r="L29" i="4"/>
  <c r="L30" i="4" a="1"/>
  <c r="L30" i="4" s="1"/>
  <c r="L31" i="4" a="1"/>
  <c r="L31" i="4"/>
  <c r="L32" i="4" a="1"/>
  <c r="L32" i="4"/>
  <c r="L33" i="4" a="1"/>
  <c r="L33" i="4"/>
  <c r="L34" i="4" a="1"/>
  <c r="L34" i="4" s="1"/>
  <c r="L35" i="4" a="1"/>
  <c r="L35" i="4"/>
  <c r="L36" i="4" a="1"/>
  <c r="L36" i="4" s="1"/>
  <c r="L37" i="4" a="1"/>
  <c r="L37" i="4"/>
  <c r="L38" i="4" a="1"/>
  <c r="L38" i="4" s="1"/>
  <c r="L39" i="4" a="1"/>
  <c r="L39" i="4"/>
  <c r="L40" i="4" a="1"/>
  <c r="L40" i="4"/>
  <c r="L41" i="4" a="1"/>
  <c r="L41" i="4"/>
  <c r="L42" i="4" a="1"/>
  <c r="L42" i="4" s="1"/>
  <c r="L43" i="4" a="1"/>
  <c r="L43" i="4"/>
  <c r="L44" i="4" a="1"/>
  <c r="L44" i="4" s="1"/>
  <c r="L45" i="4" a="1"/>
  <c r="L45" i="4"/>
  <c r="L46" i="4" a="1"/>
  <c r="L46" i="4" s="1"/>
  <c r="L47" i="4" a="1"/>
  <c r="L47" i="4"/>
  <c r="L48" i="4" a="1"/>
  <c r="L48" i="4"/>
  <c r="L49" i="4" a="1"/>
  <c r="L49" i="4" s="1"/>
  <c r="L50" i="4" a="1"/>
  <c r="L50" i="4" s="1"/>
  <c r="L51" i="4" a="1"/>
  <c r="L51" i="4"/>
  <c r="L52" i="4" a="1"/>
  <c r="L52" i="4" s="1"/>
  <c r="L53" i="4" a="1"/>
  <c r="L53" i="4"/>
  <c r="L54" i="4" a="1"/>
  <c r="L54" i="4" s="1"/>
  <c r="L55" i="4" a="1"/>
  <c r="L55" i="4"/>
  <c r="L56" i="4" a="1"/>
  <c r="L56" i="4"/>
  <c r="L57" i="4" a="1"/>
  <c r="L57" i="4"/>
  <c r="L58" i="4" a="1"/>
  <c r="L58" i="4" s="1"/>
  <c r="L59" i="4" a="1"/>
  <c r="L59" i="4"/>
  <c r="L60" i="4" a="1"/>
  <c r="L60" i="4" s="1"/>
  <c r="L61" i="4" a="1"/>
  <c r="L61" i="4"/>
  <c r="L62" i="4" a="1"/>
  <c r="L62" i="4" s="1"/>
  <c r="L63" i="4" a="1"/>
  <c r="L63" i="4"/>
  <c r="L64" i="4" a="1"/>
  <c r="L64" i="4"/>
  <c r="L65" i="4" a="1"/>
  <c r="L65" i="4"/>
  <c r="L66" i="4" a="1"/>
  <c r="L66" i="4" s="1"/>
  <c r="L67" i="4" a="1"/>
  <c r="L67" i="4"/>
  <c r="L68" i="4" a="1"/>
  <c r="L68" i="4" s="1"/>
  <c r="L69" i="4" a="1"/>
  <c r="L69" i="4"/>
  <c r="L70" i="4" a="1"/>
  <c r="L70" i="4" s="1"/>
  <c r="L71" i="4" a="1"/>
  <c r="L71" i="4"/>
  <c r="L72" i="4" a="1"/>
  <c r="L72" i="4"/>
  <c r="L73" i="4" a="1"/>
  <c r="L73" i="4"/>
  <c r="L74" i="4" a="1"/>
  <c r="L74" i="4" s="1"/>
  <c r="L75" i="4" a="1"/>
  <c r="L75" i="4"/>
  <c r="L76" i="4" a="1"/>
  <c r="L76" i="4" s="1"/>
  <c r="L77" i="4" a="1"/>
  <c r="L77" i="4"/>
  <c r="L78" i="4" a="1"/>
  <c r="L78" i="4" s="1"/>
  <c r="L79" i="4" a="1"/>
  <c r="L79" i="4"/>
  <c r="L80" i="4" a="1"/>
  <c r="L80" i="4"/>
  <c r="L81" i="4" a="1"/>
  <c r="L81" i="4"/>
  <c r="L82" i="4" a="1"/>
  <c r="L82" i="4" s="1"/>
  <c r="L83" i="4" a="1"/>
  <c r="L83" i="4"/>
  <c r="L84" i="4" a="1"/>
  <c r="L84" i="4" s="1"/>
  <c r="L85" i="4" a="1"/>
  <c r="L85" i="4" s="1"/>
  <c r="L86" i="4" a="1"/>
  <c r="L86" i="4" s="1"/>
  <c r="L87" i="4" a="1"/>
  <c r="L87" i="4"/>
  <c r="L88" i="4" a="1"/>
  <c r="L88" i="4" s="1"/>
  <c r="L89" i="4" a="1"/>
  <c r="L89" i="4"/>
  <c r="L90" i="4" a="1"/>
  <c r="L90" i="4" s="1"/>
  <c r="L91" i="4" a="1"/>
  <c r="L91" i="4"/>
  <c r="L92" i="4" a="1"/>
  <c r="L92" i="4" s="1"/>
  <c r="L93" i="4" a="1"/>
  <c r="L93" i="4"/>
  <c r="L94" i="4" a="1"/>
  <c r="L94" i="4" s="1"/>
  <c r="L95" i="4" a="1"/>
  <c r="L95" i="4"/>
  <c r="L96" i="4" a="1"/>
  <c r="L96" i="4"/>
  <c r="L97" i="4" a="1"/>
  <c r="L97" i="4"/>
  <c r="L98" i="4" a="1"/>
  <c r="L98" i="4" s="1"/>
  <c r="L99" i="4" a="1"/>
  <c r="L99" i="4"/>
  <c r="L100" i="4" a="1"/>
  <c r="L100" i="4" s="1"/>
  <c r="L101" i="4" a="1"/>
  <c r="L101" i="4"/>
  <c r="L102" i="4" a="1"/>
  <c r="L102" i="4" s="1"/>
  <c r="L3" i="4" a="1"/>
  <c r="L3" i="4" s="1"/>
  <c r="E15" i="4"/>
  <c r="E14" i="4" s="1" a="1"/>
  <c r="E14" i="4" s="1"/>
  <c r="E25" i="4"/>
  <c r="E36" i="4" s="1"/>
  <c r="E32" i="4"/>
  <c r="E31" i="4" s="1"/>
  <c r="I3" i="2"/>
  <c r="J3" i="2" s="1"/>
  <c r="M45" i="2"/>
  <c r="E20" i="1"/>
  <c r="M23" i="2"/>
  <c r="M18" i="2"/>
  <c r="M41" i="2" s="1"/>
  <c r="K8" i="3"/>
  <c r="F4" i="2"/>
  <c r="F3" i="2"/>
  <c r="E5" i="3"/>
  <c r="E6" i="3"/>
  <c r="E8" i="3"/>
  <c r="E11" i="3"/>
  <c r="E14" i="3"/>
  <c r="E17" i="3"/>
  <c r="E18" i="3"/>
  <c r="C24" i="3"/>
  <c r="U14" i="3"/>
  <c r="K11" i="3"/>
  <c r="J12" i="3" s="1"/>
  <c r="K6" i="3"/>
  <c r="K5" i="3"/>
  <c r="J82" i="1" a="1"/>
  <c r="J82" i="1" s="1"/>
  <c r="J81" i="1" a="1"/>
  <c r="J81" i="1" s="1"/>
  <c r="J80" i="1" a="1"/>
  <c r="J80" i="1" s="1"/>
  <c r="J79" i="1" a="1"/>
  <c r="J79" i="1" s="1"/>
  <c r="J78" i="1" a="1"/>
  <c r="J78" i="1" s="1"/>
  <c r="J77" i="1" a="1"/>
  <c r="J77" i="1" s="1"/>
  <c r="J76" i="1" a="1"/>
  <c r="J76" i="1" s="1"/>
  <c r="J75" i="1" a="1"/>
  <c r="J75" i="1" s="1"/>
  <c r="J74" i="1" a="1"/>
  <c r="J74" i="1" s="1"/>
  <c r="J73" i="1" a="1"/>
  <c r="J73" i="1" s="1"/>
  <c r="J72" i="1" a="1"/>
  <c r="J72" i="1" s="1"/>
  <c r="J71" i="1" a="1"/>
  <c r="J71" i="1" s="1"/>
  <c r="J70" i="1" a="1"/>
  <c r="J70" i="1" s="1"/>
  <c r="K70" i="1" s="1"/>
  <c r="J69" i="1" a="1"/>
  <c r="J69" i="1" s="1"/>
  <c r="J68" i="1" a="1"/>
  <c r="J68" i="1" s="1"/>
  <c r="J67" i="1" a="1"/>
  <c r="J67" i="1" s="1"/>
  <c r="J66" i="1" a="1"/>
  <c r="J66" i="1" s="1"/>
  <c r="J65" i="1" a="1"/>
  <c r="J65" i="1" s="1"/>
  <c r="J64" i="1" a="1"/>
  <c r="J64" i="1" s="1"/>
  <c r="J63" i="1" a="1"/>
  <c r="J63" i="1" s="1"/>
  <c r="J62" i="1" a="1"/>
  <c r="J62" i="1" s="1"/>
  <c r="J61" i="1" a="1"/>
  <c r="J61" i="1" s="1"/>
  <c r="J60" i="1" a="1"/>
  <c r="J60" i="1" s="1"/>
  <c r="J59" i="1" a="1"/>
  <c r="J59" i="1" s="1"/>
  <c r="J58" i="1" a="1"/>
  <c r="J58" i="1" s="1"/>
  <c r="J57" i="1" a="1"/>
  <c r="J57" i="1" s="1"/>
  <c r="J56" i="1" a="1"/>
  <c r="J56" i="1" s="1"/>
  <c r="J55" i="1" a="1"/>
  <c r="J55" i="1" s="1"/>
  <c r="J54" i="1" a="1"/>
  <c r="J54" i="1" s="1"/>
  <c r="K54" i="1" s="1"/>
  <c r="J53" i="1" a="1"/>
  <c r="J53" i="1" s="1"/>
  <c r="J52" i="1" a="1"/>
  <c r="J52" i="1" s="1"/>
  <c r="J51" i="1" a="1"/>
  <c r="J51" i="1" s="1"/>
  <c r="J50" i="1" a="1"/>
  <c r="J50" i="1" s="1"/>
  <c r="J49" i="1" a="1"/>
  <c r="J49" i="1" s="1"/>
  <c r="J48" i="1" a="1"/>
  <c r="J48" i="1" s="1"/>
  <c r="J47" i="1" a="1"/>
  <c r="J47" i="1" s="1"/>
  <c r="J46" i="1" a="1"/>
  <c r="J46" i="1" s="1"/>
  <c r="J45" i="1" a="1"/>
  <c r="J45" i="1" s="1"/>
  <c r="J44" i="1" a="1"/>
  <c r="J44" i="1" s="1"/>
  <c r="J43" i="1" a="1"/>
  <c r="J43" i="1" s="1"/>
  <c r="J42" i="1"/>
  <c r="J42" i="1" a="1"/>
  <c r="J41" i="1" a="1"/>
  <c r="J41" i="1" s="1"/>
  <c r="J40" i="1"/>
  <c r="J40" i="1" a="1"/>
  <c r="J39" i="1"/>
  <c r="J39" i="1" a="1"/>
  <c r="J38" i="1"/>
  <c r="J38" i="1" a="1"/>
  <c r="J37" i="1" a="1"/>
  <c r="J37" i="1" s="1"/>
  <c r="J36" i="1"/>
  <c r="J36" i="1" a="1"/>
  <c r="J35" i="1" a="1"/>
  <c r="J35" i="1" s="1"/>
  <c r="J34" i="1" a="1"/>
  <c r="J34" i="1" s="1"/>
  <c r="J33" i="1" a="1"/>
  <c r="J33" i="1" s="1"/>
  <c r="J32" i="1"/>
  <c r="J32" i="1" a="1"/>
  <c r="E32" i="1"/>
  <c r="E33" i="1" s="1"/>
  <c r="E31" i="1" s="1"/>
  <c r="J31" i="1" a="1"/>
  <c r="J31" i="1" s="1"/>
  <c r="J30" i="1" a="1"/>
  <c r="J30" i="1" s="1"/>
  <c r="E30" i="1"/>
  <c r="E28" i="1" s="1"/>
  <c r="J29" i="1" a="1"/>
  <c r="J29" i="1" s="1"/>
  <c r="E29" i="1"/>
  <c r="J28" i="1" a="1"/>
  <c r="J28" i="1" s="1"/>
  <c r="J27" i="1" a="1"/>
  <c r="J27" i="1" s="1"/>
  <c r="E27" i="1"/>
  <c r="E25" i="1" s="1"/>
  <c r="E36" i="1" s="1"/>
  <c r="E34" i="1" s="1"/>
  <c r="E37" i="1" s="1"/>
  <c r="J26" i="1"/>
  <c r="J26" i="1" a="1"/>
  <c r="E26" i="1"/>
  <c r="J25" i="1" a="1"/>
  <c r="J25" i="1" s="1"/>
  <c r="J24" i="1"/>
  <c r="J24" i="1" a="1"/>
  <c r="E24" i="1"/>
  <c r="J23" i="1" a="1"/>
  <c r="J23" i="1" s="1"/>
  <c r="E23" i="1"/>
  <c r="J22" i="1"/>
  <c r="J22" i="1" a="1"/>
  <c r="E22" i="1"/>
  <c r="E35" i="1" s="1"/>
  <c r="J21" i="1" a="1"/>
  <c r="J21" i="1" s="1"/>
  <c r="J20" i="1" a="1"/>
  <c r="J20" i="1" s="1"/>
  <c r="J19" i="1" a="1"/>
  <c r="J19" i="1" s="1"/>
  <c r="E19" i="1"/>
  <c r="J18" i="1" a="1"/>
  <c r="J18" i="1" s="1"/>
  <c r="E18" i="1"/>
  <c r="E16" i="1" s="1"/>
  <c r="J17" i="1" a="1"/>
  <c r="J17" i="1" s="1"/>
  <c r="E17" i="1"/>
  <c r="J16" i="1" a="1"/>
  <c r="J16" i="1" s="1"/>
  <c r="J15" i="1" a="1"/>
  <c r="J15" i="1" s="1"/>
  <c r="E15" i="1"/>
  <c r="J14" i="1" a="1"/>
  <c r="J14" i="1" s="1"/>
  <c r="E14" i="1"/>
  <c r="O56" i="1" s="1"/>
  <c r="E14" i="1" a="1"/>
  <c r="J13" i="1"/>
  <c r="J13" i="1" a="1"/>
  <c r="J12" i="1" a="1"/>
  <c r="J12" i="1" s="1"/>
  <c r="J11" i="1" a="1"/>
  <c r="J11" i="1" s="1"/>
  <c r="K11" i="1" s="1"/>
  <c r="J10" i="1"/>
  <c r="J10" i="1" a="1"/>
  <c r="J9" i="1"/>
  <c r="J9" i="1" a="1"/>
  <c r="J8" i="1" a="1"/>
  <c r="J8" i="1" s="1"/>
  <c r="O7" i="1"/>
  <c r="P7" i="1" s="1"/>
  <c r="J7" i="1"/>
  <c r="J7" i="1" a="1"/>
  <c r="J6" i="1" a="1"/>
  <c r="J6" i="1" s="1"/>
  <c r="J5" i="1" a="1"/>
  <c r="J5" i="1" s="1"/>
  <c r="J4" i="1" a="1"/>
  <c r="J4" i="1" s="1"/>
  <c r="J3" i="1" a="1"/>
  <c r="J3" i="1" s="1"/>
  <c r="F5" i="7" l="1"/>
  <c r="F7" i="7" s="1"/>
  <c r="M71" i="7"/>
  <c r="M41" i="7"/>
  <c r="M23" i="7"/>
  <c r="M51" i="7"/>
  <c r="M24" i="7"/>
  <c r="K3" i="7"/>
  <c r="I4" i="7"/>
  <c r="M24" i="6"/>
  <c r="M19" i="6"/>
  <c r="M59" i="6"/>
  <c r="M54" i="6" s="1"/>
  <c r="M66" i="6"/>
  <c r="M74" i="6" s="1"/>
  <c r="M75" i="6" s="1"/>
  <c r="M41" i="6"/>
  <c r="M36" i="6" s="1"/>
  <c r="M64" i="6" s="1"/>
  <c r="M62" i="6" s="1"/>
  <c r="M65" i="6" s="1"/>
  <c r="M51" i="6"/>
  <c r="M46" i="6" s="1"/>
  <c r="M31" i="6"/>
  <c r="M26" i="6" s="1"/>
  <c r="M63" i="6" s="1"/>
  <c r="M3" i="2"/>
  <c r="M59" i="2"/>
  <c r="M31" i="2"/>
  <c r="M51" i="2"/>
  <c r="M20" i="2"/>
  <c r="K3" i="6"/>
  <c r="S91" i="4"/>
  <c r="S75" i="4"/>
  <c r="S59" i="4"/>
  <c r="S43" i="4"/>
  <c r="S27" i="4"/>
  <c r="S11" i="4"/>
  <c r="S88" i="4"/>
  <c r="S72" i="4"/>
  <c r="S56" i="4"/>
  <c r="S40" i="4"/>
  <c r="S24" i="4"/>
  <c r="S8" i="4"/>
  <c r="S92" i="4"/>
  <c r="S76" i="4"/>
  <c r="S60" i="4"/>
  <c r="S44" i="4"/>
  <c r="S28" i="4"/>
  <c r="S12" i="4"/>
  <c r="E34" i="4"/>
  <c r="E28" i="4"/>
  <c r="E16" i="4"/>
  <c r="E26" i="4"/>
  <c r="Q5" i="4"/>
  <c r="R5" i="4" s="1"/>
  <c r="Q3" i="4"/>
  <c r="Q6" i="4"/>
  <c r="K3" i="2"/>
  <c r="F5" i="2"/>
  <c r="F7" i="2" s="1"/>
  <c r="I4" i="2"/>
  <c r="K12" i="3"/>
  <c r="J13" i="3" s="1"/>
  <c r="N12" i="3"/>
  <c r="N11" i="3"/>
  <c r="K51" i="1"/>
  <c r="K69" i="1"/>
  <c r="K20" i="1"/>
  <c r="K29" i="1"/>
  <c r="K53" i="1"/>
  <c r="K77" i="1"/>
  <c r="K3" i="1"/>
  <c r="K38" i="1"/>
  <c r="K41" i="1"/>
  <c r="K5" i="1"/>
  <c r="K73" i="1"/>
  <c r="K6" i="1"/>
  <c r="K15" i="1"/>
  <c r="K43" i="1"/>
  <c r="K24" i="1"/>
  <c r="K45" i="1"/>
  <c r="K46" i="1"/>
  <c r="K13" i="1"/>
  <c r="Q56" i="1"/>
  <c r="P56" i="1"/>
  <c r="K33" i="1"/>
  <c r="K80" i="1"/>
  <c r="K67" i="1"/>
  <c r="K22" i="1"/>
  <c r="K31" i="1"/>
  <c r="K56" i="1"/>
  <c r="K14" i="1"/>
  <c r="K57" i="1"/>
  <c r="K58" i="1"/>
  <c r="K75" i="1"/>
  <c r="K16" i="1"/>
  <c r="K25" i="1"/>
  <c r="K34" i="1"/>
  <c r="K17" i="1"/>
  <c r="K78" i="1"/>
  <c r="K18" i="1"/>
  <c r="K48" i="1"/>
  <c r="K49" i="1"/>
  <c r="K65" i="1"/>
  <c r="K72" i="1"/>
  <c r="K23" i="1"/>
  <c r="K74" i="1"/>
  <c r="K32" i="1"/>
  <c r="K59" i="1"/>
  <c r="K61" i="1"/>
  <c r="K8" i="1"/>
  <c r="K62" i="1"/>
  <c r="K36" i="1"/>
  <c r="K64" i="1"/>
  <c r="K10" i="1"/>
  <c r="K27" i="1"/>
  <c r="K50" i="1"/>
  <c r="K66" i="1"/>
  <c r="K39" i="1"/>
  <c r="O64" i="1"/>
  <c r="O82" i="1"/>
  <c r="O74" i="1"/>
  <c r="O66" i="1"/>
  <c r="O58" i="1"/>
  <c r="O50" i="1"/>
  <c r="O79" i="1"/>
  <c r="O71" i="1"/>
  <c r="O63" i="1"/>
  <c r="O55" i="1"/>
  <c r="O47" i="1"/>
  <c r="O35" i="1"/>
  <c r="O19" i="1"/>
  <c r="O28" i="1"/>
  <c r="O12" i="1"/>
  <c r="O4" i="1"/>
  <c r="O23" i="1"/>
  <c r="O76" i="1"/>
  <c r="O68" i="1"/>
  <c r="O60" i="1"/>
  <c r="O52" i="1"/>
  <c r="O44" i="1"/>
  <c r="O37" i="1"/>
  <c r="O21" i="1"/>
  <c r="O30" i="1"/>
  <c r="O14" i="1"/>
  <c r="O9" i="1"/>
  <c r="O73" i="1"/>
  <c r="O65" i="1"/>
  <c r="O57" i="1"/>
  <c r="O49" i="1"/>
  <c r="O39" i="1"/>
  <c r="O32" i="1"/>
  <c r="O81" i="1"/>
  <c r="O26" i="1"/>
  <c r="O77" i="1"/>
  <c r="K4" i="1"/>
  <c r="Q7" i="1"/>
  <c r="O17" i="1"/>
  <c r="O40" i="1"/>
  <c r="O43" i="1"/>
  <c r="O11" i="1"/>
  <c r="K52" i="1"/>
  <c r="K30" i="1"/>
  <c r="O8" i="1"/>
  <c r="K12" i="1"/>
  <c r="O15" i="1"/>
  <c r="K21" i="1"/>
  <c r="O53" i="1"/>
  <c r="O78" i="1"/>
  <c r="O27" i="1"/>
  <c r="K79" i="1"/>
  <c r="O18" i="1"/>
  <c r="O31" i="1"/>
  <c r="O34" i="1"/>
  <c r="O45" i="1"/>
  <c r="O70" i="1"/>
  <c r="K71" i="1"/>
  <c r="K35" i="1"/>
  <c r="O38" i="1"/>
  <c r="O62" i="1"/>
  <c r="O75" i="1"/>
  <c r="K40" i="1"/>
  <c r="K26" i="1"/>
  <c r="O69" i="1"/>
  <c r="K28" i="1"/>
  <c r="O13" i="1"/>
  <c r="K19" i="1"/>
  <c r="O22" i="1"/>
  <c r="K42" i="1"/>
  <c r="K63" i="1"/>
  <c r="O80" i="1"/>
  <c r="O6" i="1"/>
  <c r="O25" i="1"/>
  <c r="O42" i="1"/>
  <c r="O54" i="1"/>
  <c r="O67" i="1"/>
  <c r="K47" i="1"/>
  <c r="K68" i="1"/>
  <c r="O51" i="1"/>
  <c r="O36" i="1"/>
  <c r="K60" i="1"/>
  <c r="O48" i="1"/>
  <c r="O24" i="1"/>
  <c r="K37" i="1"/>
  <c r="K9" i="1"/>
  <c r="O41" i="1"/>
  <c r="O10" i="1"/>
  <c r="O16" i="1"/>
  <c r="K55" i="1"/>
  <c r="K76" i="1"/>
  <c r="K81" i="1"/>
  <c r="O29" i="1"/>
  <c r="O33" i="1"/>
  <c r="O20" i="1"/>
  <c r="O61" i="1"/>
  <c r="K44" i="1"/>
  <c r="O5" i="1"/>
  <c r="O3" i="1"/>
  <c r="K7" i="1"/>
  <c r="O46" i="1"/>
  <c r="O59" i="1"/>
  <c r="O72" i="1"/>
  <c r="K82" i="1"/>
  <c r="J4" i="7" l="1"/>
  <c r="I5" i="7" s="1"/>
  <c r="N3" i="7"/>
  <c r="I4" i="6"/>
  <c r="J4" i="6" s="1"/>
  <c r="M3" i="6"/>
  <c r="Q4" i="4"/>
  <c r="S4" i="4" s="1"/>
  <c r="S5" i="4"/>
  <c r="S3" i="4"/>
  <c r="R3" i="4"/>
  <c r="R6" i="4"/>
  <c r="S6" i="4"/>
  <c r="N3" i="2"/>
  <c r="J4" i="2"/>
  <c r="I5" i="2" s="1"/>
  <c r="J5" i="2" s="1"/>
  <c r="I6" i="2" s="1"/>
  <c r="O11" i="3"/>
  <c r="O12" i="3"/>
  <c r="K13" i="3"/>
  <c r="J14" i="3" s="1"/>
  <c r="Q34" i="1"/>
  <c r="P34" i="1"/>
  <c r="P17" i="1"/>
  <c r="Q17" i="1"/>
  <c r="Q37" i="1"/>
  <c r="P37" i="1"/>
  <c r="Q79" i="1"/>
  <c r="P79" i="1"/>
  <c r="Q22" i="1"/>
  <c r="P22" i="1"/>
  <c r="Q52" i="1"/>
  <c r="P52" i="1"/>
  <c r="Q24" i="1"/>
  <c r="P24" i="1"/>
  <c r="P3" i="1"/>
  <c r="Q3" i="1"/>
  <c r="Q5" i="1"/>
  <c r="P5" i="1"/>
  <c r="Q39" i="1"/>
  <c r="P39" i="1"/>
  <c r="Q49" i="1"/>
  <c r="P49" i="1"/>
  <c r="P33" i="1"/>
  <c r="Q33" i="1"/>
  <c r="Q75" i="1"/>
  <c r="P75" i="1"/>
  <c r="Q57" i="1"/>
  <c r="P57" i="1"/>
  <c r="P28" i="1"/>
  <c r="Q28" i="1"/>
  <c r="P25" i="1"/>
  <c r="Q25" i="1"/>
  <c r="Q14" i="1"/>
  <c r="P14" i="1"/>
  <c r="Q55" i="1"/>
  <c r="P55" i="1"/>
  <c r="Q21" i="1"/>
  <c r="P21" i="1"/>
  <c r="Q46" i="1"/>
  <c r="P46" i="1"/>
  <c r="Q18" i="1"/>
  <c r="P18" i="1"/>
  <c r="P58" i="1"/>
  <c r="Q58" i="1"/>
  <c r="P36" i="1"/>
  <c r="Q36" i="1"/>
  <c r="Q69" i="1"/>
  <c r="P69" i="1"/>
  <c r="Q53" i="1"/>
  <c r="P53" i="1"/>
  <c r="P32" i="1"/>
  <c r="Q32" i="1"/>
  <c r="Q23" i="1"/>
  <c r="P23" i="1"/>
  <c r="Q64" i="1"/>
  <c r="P64" i="1"/>
  <c r="P20" i="1"/>
  <c r="Q20" i="1"/>
  <c r="P29" i="1"/>
  <c r="Q29" i="1"/>
  <c r="Q67" i="1"/>
  <c r="P67" i="1"/>
  <c r="Q62" i="1"/>
  <c r="P62" i="1"/>
  <c r="P8" i="1"/>
  <c r="Q8" i="1"/>
  <c r="Q65" i="1"/>
  <c r="P65" i="1"/>
  <c r="Q19" i="1"/>
  <c r="P19" i="1"/>
  <c r="Q70" i="1"/>
  <c r="P70" i="1"/>
  <c r="P45" i="1"/>
  <c r="Q45" i="1"/>
  <c r="Q31" i="1"/>
  <c r="P31" i="1"/>
  <c r="Q44" i="1"/>
  <c r="P44" i="1"/>
  <c r="Q50" i="1"/>
  <c r="P50" i="1"/>
  <c r="Q78" i="1"/>
  <c r="P78" i="1"/>
  <c r="Q81" i="1"/>
  <c r="P81" i="1"/>
  <c r="Q76" i="1"/>
  <c r="P76" i="1"/>
  <c r="Q82" i="1"/>
  <c r="P82" i="1"/>
  <c r="E21" i="1"/>
  <c r="P61" i="1"/>
  <c r="Q61" i="1"/>
  <c r="Q51" i="1"/>
  <c r="P51" i="1"/>
  <c r="Q15" i="1"/>
  <c r="P15" i="1"/>
  <c r="P12" i="1"/>
  <c r="Q12" i="1"/>
  <c r="Q54" i="1"/>
  <c r="P54" i="1"/>
  <c r="Q38" i="1"/>
  <c r="P38" i="1"/>
  <c r="Q73" i="1"/>
  <c r="P73" i="1"/>
  <c r="Q35" i="1"/>
  <c r="P35" i="1"/>
  <c r="Q11" i="1"/>
  <c r="P11" i="1"/>
  <c r="Q16" i="1"/>
  <c r="P16" i="1"/>
  <c r="Q6" i="1"/>
  <c r="P6" i="1"/>
  <c r="P43" i="1"/>
  <c r="Q43" i="1"/>
  <c r="Q30" i="1"/>
  <c r="P30" i="1"/>
  <c r="Q63" i="1"/>
  <c r="P63" i="1"/>
  <c r="P10" i="1"/>
  <c r="Q10" i="1"/>
  <c r="Q80" i="1"/>
  <c r="P80" i="1"/>
  <c r="Q40" i="1"/>
  <c r="P40" i="1"/>
  <c r="Q71" i="1"/>
  <c r="P71" i="1"/>
  <c r="Q72" i="1"/>
  <c r="P72" i="1"/>
  <c r="Q41" i="1"/>
  <c r="P41" i="1"/>
  <c r="Q59" i="1"/>
  <c r="P59" i="1"/>
  <c r="Q77" i="1"/>
  <c r="P77" i="1"/>
  <c r="Q60" i="1"/>
  <c r="P60" i="1"/>
  <c r="Q66" i="1"/>
  <c r="P66" i="1"/>
  <c r="P48" i="1"/>
  <c r="Q48" i="1"/>
  <c r="Q13" i="1"/>
  <c r="P13" i="1"/>
  <c r="Q27" i="1"/>
  <c r="P27" i="1"/>
  <c r="Q26" i="1"/>
  <c r="P26" i="1"/>
  <c r="Q68" i="1"/>
  <c r="P68" i="1"/>
  <c r="P74" i="1"/>
  <c r="Q74" i="1"/>
  <c r="P4" i="1"/>
  <c r="Q4" i="1"/>
  <c r="P42" i="1"/>
  <c r="Q42" i="1"/>
  <c r="Q9" i="1"/>
  <c r="P9" i="1"/>
  <c r="Q47" i="1"/>
  <c r="P47" i="1"/>
  <c r="K4" i="7" l="1"/>
  <c r="J5" i="7"/>
  <c r="I6" i="7" s="1"/>
  <c r="M4" i="7"/>
  <c r="M4" i="2"/>
  <c r="I5" i="6"/>
  <c r="J5" i="6" s="1"/>
  <c r="K4" i="6"/>
  <c r="O3" i="6"/>
  <c r="N3" i="6"/>
  <c r="R4" i="4"/>
  <c r="E38" i="4"/>
  <c r="E40" i="4" s="1"/>
  <c r="E41" i="4" s="1"/>
  <c r="K5" i="2"/>
  <c r="M46" i="2" s="1"/>
  <c r="J6" i="2"/>
  <c r="K6" i="2" s="1"/>
  <c r="M5" i="2"/>
  <c r="K14" i="3"/>
  <c r="J15" i="3" s="1"/>
  <c r="N13" i="3"/>
  <c r="E43" i="1"/>
  <c r="E42" i="1" s="1"/>
  <c r="E39" i="1"/>
  <c r="E38" i="1" s="1"/>
  <c r="E40" i="1" s="1"/>
  <c r="E41" i="1" s="1"/>
  <c r="N4" i="7" l="1"/>
  <c r="J6" i="7"/>
  <c r="I7" i="7" s="1"/>
  <c r="M6" i="7"/>
  <c r="K6" i="7"/>
  <c r="K5" i="7"/>
  <c r="M64" i="7" s="1"/>
  <c r="M56" i="7" s="1"/>
  <c r="M5" i="7"/>
  <c r="P3" i="6"/>
  <c r="Q3" i="6" s="1"/>
  <c r="R3" i="6"/>
  <c r="S3" i="6" s="1"/>
  <c r="N4" i="2"/>
  <c r="N15" i="2" s="1"/>
  <c r="K5" i="6"/>
  <c r="I6" i="6"/>
  <c r="J6" i="6" s="1"/>
  <c r="M4" i="6"/>
  <c r="E42" i="4"/>
  <c r="N5" i="2"/>
  <c r="I7" i="2"/>
  <c r="M33" i="2" s="1"/>
  <c r="M6" i="2"/>
  <c r="O13" i="3"/>
  <c r="K15" i="3"/>
  <c r="J16" i="3" s="1"/>
  <c r="N14" i="3"/>
  <c r="N5" i="7" l="1"/>
  <c r="N6" i="7"/>
  <c r="J7" i="7"/>
  <c r="I8" i="7" s="1"/>
  <c r="M71" i="2"/>
  <c r="M72" i="2" s="1"/>
  <c r="M17" i="2"/>
  <c r="J7" i="2"/>
  <c r="I8" i="2" s="1"/>
  <c r="K6" i="6"/>
  <c r="N4" i="6"/>
  <c r="O4" i="6"/>
  <c r="I7" i="6"/>
  <c r="J7" i="6" s="1"/>
  <c r="M5" i="6"/>
  <c r="O6" i="2"/>
  <c r="R6" i="2" s="1"/>
  <c r="S6" i="2" s="1"/>
  <c r="N6" i="2"/>
  <c r="K7" i="2"/>
  <c r="M34" i="2" s="1"/>
  <c r="M26" i="2" s="1"/>
  <c r="M63" i="2" s="1"/>
  <c r="J8" i="2"/>
  <c r="I9" i="2" s="1"/>
  <c r="M43" i="2" s="1"/>
  <c r="M7" i="2"/>
  <c r="O14" i="3"/>
  <c r="K16" i="3"/>
  <c r="J17" i="3" s="1"/>
  <c r="N15" i="3"/>
  <c r="J8" i="7" l="1"/>
  <c r="I9" i="7" s="1"/>
  <c r="M7" i="7"/>
  <c r="K7" i="7"/>
  <c r="M44" i="7" s="1"/>
  <c r="M36" i="7" s="1"/>
  <c r="M77" i="7" s="1"/>
  <c r="P4" i="6"/>
  <c r="Q4" i="6" s="1"/>
  <c r="R4" i="6"/>
  <c r="S4" i="6" s="1"/>
  <c r="O15" i="2"/>
  <c r="P15" i="2" s="1"/>
  <c r="O3" i="2"/>
  <c r="R3" i="2" s="1"/>
  <c r="S3" i="2" s="1"/>
  <c r="O5" i="2"/>
  <c r="R5" i="2" s="1"/>
  <c r="S5" i="2" s="1"/>
  <c r="O4" i="2"/>
  <c r="R4" i="2" s="1"/>
  <c r="S4" i="2" s="1"/>
  <c r="K7" i="6"/>
  <c r="M6" i="6"/>
  <c r="N6" i="6" s="1"/>
  <c r="O5" i="6"/>
  <c r="N5" i="6"/>
  <c r="I8" i="6"/>
  <c r="J8" i="6" s="1"/>
  <c r="M7" i="6"/>
  <c r="O7" i="2"/>
  <c r="R7" i="2" s="1"/>
  <c r="S7" i="2" s="1"/>
  <c r="N7" i="2"/>
  <c r="K8" i="2"/>
  <c r="J9" i="2"/>
  <c r="I10" i="2" s="1"/>
  <c r="M8" i="2"/>
  <c r="O15" i="3"/>
  <c r="K17" i="3"/>
  <c r="J18" i="3" s="1"/>
  <c r="N16" i="3"/>
  <c r="K8" i="7" l="1"/>
  <c r="N7" i="7"/>
  <c r="J9" i="7"/>
  <c r="I10" i="7" s="1"/>
  <c r="M9" i="7"/>
  <c r="M8" i="7"/>
  <c r="P5" i="6"/>
  <c r="Q5" i="6" s="1"/>
  <c r="R5" i="6"/>
  <c r="S5" i="6" s="1"/>
  <c r="O6" i="6"/>
  <c r="K8" i="6"/>
  <c r="O7" i="6"/>
  <c r="I9" i="6"/>
  <c r="J9" i="6" s="1"/>
  <c r="O8" i="2"/>
  <c r="R8" i="2" s="1"/>
  <c r="S8" i="2" s="1"/>
  <c r="N8" i="2"/>
  <c r="K9" i="2"/>
  <c r="M44" i="2" s="1"/>
  <c r="M36" i="2" s="1"/>
  <c r="M64" i="2" s="1"/>
  <c r="M62" i="2" s="1"/>
  <c r="M65" i="2" s="1"/>
  <c r="J10" i="2"/>
  <c r="I11" i="2" s="1"/>
  <c r="M9" i="2"/>
  <c r="N17" i="3"/>
  <c r="O17" i="3" s="1"/>
  <c r="O16" i="3"/>
  <c r="K18" i="3"/>
  <c r="J19" i="3" s="1"/>
  <c r="N8" i="7" l="1"/>
  <c r="K9" i="7"/>
  <c r="K10" i="7"/>
  <c r="J10" i="7"/>
  <c r="I11" i="7" s="1"/>
  <c r="P7" i="6"/>
  <c r="Q7" i="6" s="1"/>
  <c r="R7" i="6"/>
  <c r="S7" i="6" s="1"/>
  <c r="P6" i="6"/>
  <c r="Q6" i="6" s="1"/>
  <c r="R6" i="6"/>
  <c r="S6" i="6" s="1"/>
  <c r="K9" i="6"/>
  <c r="N7" i="6"/>
  <c r="M8" i="6"/>
  <c r="O8" i="6" s="1"/>
  <c r="I10" i="6"/>
  <c r="J10" i="6" s="1"/>
  <c r="M9" i="6"/>
  <c r="N9" i="2"/>
  <c r="O9" i="2"/>
  <c r="R9" i="2" s="1"/>
  <c r="S9" i="2" s="1"/>
  <c r="K10" i="2"/>
  <c r="J11" i="2"/>
  <c r="I12" i="2" s="1"/>
  <c r="M10" i="2"/>
  <c r="K19" i="3"/>
  <c r="J20" i="3" s="1"/>
  <c r="N18" i="3"/>
  <c r="N9" i="7" l="1"/>
  <c r="M54" i="7"/>
  <c r="M46" i="7" s="1"/>
  <c r="M78" i="7" s="1"/>
  <c r="M76" i="7" s="1"/>
  <c r="M79" i="7" s="1"/>
  <c r="M35" i="7"/>
  <c r="J11" i="7"/>
  <c r="I12" i="7" s="1"/>
  <c r="M10" i="7"/>
  <c r="P8" i="6"/>
  <c r="Q8" i="6" s="1"/>
  <c r="R8" i="6"/>
  <c r="S8" i="6" s="1"/>
  <c r="N8" i="6"/>
  <c r="M10" i="6"/>
  <c r="K10" i="6"/>
  <c r="I11" i="6"/>
  <c r="J11" i="6" s="1"/>
  <c r="O9" i="6"/>
  <c r="N10" i="2"/>
  <c r="O10" i="2"/>
  <c r="R10" i="2" s="1"/>
  <c r="S10" i="2" s="1"/>
  <c r="K11" i="2"/>
  <c r="M54" i="2" s="1"/>
  <c r="J12" i="2"/>
  <c r="I13" i="2" s="1"/>
  <c r="M11" i="2"/>
  <c r="O18" i="3"/>
  <c r="K20" i="3"/>
  <c r="J21" i="3" s="1"/>
  <c r="N20" i="3"/>
  <c r="N19" i="3"/>
  <c r="N10" i="7" l="1"/>
  <c r="J12" i="7"/>
  <c r="I13" i="7" s="1"/>
  <c r="K11" i="7"/>
  <c r="M74" i="7" s="1"/>
  <c r="M66" i="7" s="1"/>
  <c r="M11" i="7"/>
  <c r="P9" i="6"/>
  <c r="Q9" i="6" s="1"/>
  <c r="R9" i="6"/>
  <c r="S9" i="6" s="1"/>
  <c r="K11" i="6"/>
  <c r="N9" i="6"/>
  <c r="N10" i="6"/>
  <c r="O10" i="6"/>
  <c r="M11" i="6"/>
  <c r="I12" i="6"/>
  <c r="J12" i="6" s="1"/>
  <c r="O11" i="2"/>
  <c r="R11" i="2" s="1"/>
  <c r="S11" i="2" s="1"/>
  <c r="N11" i="2"/>
  <c r="K12" i="2"/>
  <c r="J13" i="2"/>
  <c r="I14" i="2" s="1"/>
  <c r="M12" i="2"/>
  <c r="O19" i="3"/>
  <c r="O20" i="3"/>
  <c r="K21" i="3"/>
  <c r="J22" i="3" s="1"/>
  <c r="N21" i="3"/>
  <c r="K12" i="7" l="1"/>
  <c r="N11" i="7"/>
  <c r="J13" i="7"/>
  <c r="I14" i="7" s="1"/>
  <c r="M13" i="7"/>
  <c r="M12" i="7"/>
  <c r="P10" i="6"/>
  <c r="Q10" i="6" s="1"/>
  <c r="R10" i="6"/>
  <c r="S10" i="6" s="1"/>
  <c r="K12" i="6"/>
  <c r="I13" i="6"/>
  <c r="J13" i="6" s="1"/>
  <c r="M12" i="6"/>
  <c r="O11" i="6"/>
  <c r="N11" i="6"/>
  <c r="N12" i="2"/>
  <c r="O12" i="2"/>
  <c r="R12" i="2" s="1"/>
  <c r="S12" i="2" s="1"/>
  <c r="K13" i="2"/>
  <c r="J14" i="2"/>
  <c r="M13" i="2"/>
  <c r="O21" i="3"/>
  <c r="K22" i="3"/>
  <c r="N22" i="3" s="1"/>
  <c r="K13" i="7" l="1"/>
  <c r="N13" i="7" s="1"/>
  <c r="N12" i="7"/>
  <c r="J14" i="7"/>
  <c r="M14" i="7" s="1"/>
  <c r="P11" i="6"/>
  <c r="Q11" i="6" s="1"/>
  <c r="R11" i="6"/>
  <c r="S11" i="6" s="1"/>
  <c r="K14" i="2"/>
  <c r="K15" i="2" s="1"/>
  <c r="O12" i="6"/>
  <c r="I14" i="6"/>
  <c r="M13" i="6"/>
  <c r="N12" i="6"/>
  <c r="N13" i="2"/>
  <c r="O13" i="2"/>
  <c r="R13" i="2" s="1"/>
  <c r="S13" i="2" s="1"/>
  <c r="M14" i="2"/>
  <c r="O22" i="3"/>
  <c r="O23" i="3" s="1"/>
  <c r="U11" i="3" s="1"/>
  <c r="K14" i="7" l="1"/>
  <c r="M27" i="7" s="1"/>
  <c r="P12" i="6"/>
  <c r="Q12" i="6" s="1"/>
  <c r="R12" i="6"/>
  <c r="S12" i="6" s="1"/>
  <c r="J14" i="6"/>
  <c r="M21" i="2"/>
  <c r="M22" i="2" s="1"/>
  <c r="K13" i="6"/>
  <c r="O13" i="6"/>
  <c r="N14" i="2"/>
  <c r="O14" i="2"/>
  <c r="R14" i="2" s="1"/>
  <c r="S14" i="2" s="1"/>
  <c r="S15" i="2" s="1"/>
  <c r="M77" i="2" s="1"/>
  <c r="M76" i="2" s="1"/>
  <c r="P11" i="3"/>
  <c r="Q11" i="3" s="1"/>
  <c r="R11" i="3" s="1"/>
  <c r="P12" i="3"/>
  <c r="Q12" i="3" s="1"/>
  <c r="R12" i="3" s="1"/>
  <c r="P13" i="3"/>
  <c r="Q13" i="3" s="1"/>
  <c r="R13" i="3" s="1"/>
  <c r="P14" i="3"/>
  <c r="Q14" i="3" s="1"/>
  <c r="R14" i="3" s="1"/>
  <c r="P15" i="3"/>
  <c r="Q15" i="3" s="1"/>
  <c r="R15" i="3" s="1"/>
  <c r="P16" i="3"/>
  <c r="Q16" i="3" s="1"/>
  <c r="R16" i="3" s="1"/>
  <c r="P17" i="3"/>
  <c r="Q17" i="3" s="1"/>
  <c r="R17" i="3" s="1"/>
  <c r="P18" i="3"/>
  <c r="Q18" i="3" s="1"/>
  <c r="R18" i="3" s="1"/>
  <c r="P19" i="3"/>
  <c r="Q19" i="3" s="1"/>
  <c r="R19" i="3" s="1"/>
  <c r="P20" i="3"/>
  <c r="Q20" i="3" s="1"/>
  <c r="R20" i="3" s="1"/>
  <c r="P21" i="3"/>
  <c r="Q21" i="3" s="1"/>
  <c r="R21" i="3" s="1"/>
  <c r="P22" i="3"/>
  <c r="Q22" i="3" s="1"/>
  <c r="R22" i="3" s="1"/>
  <c r="M34" i="7" l="1"/>
  <c r="M33" i="7"/>
  <c r="M29" i="7" s="1"/>
  <c r="M19" i="7"/>
  <c r="K15" i="7"/>
  <c r="N14" i="7"/>
  <c r="N15" i="7" s="1"/>
  <c r="P13" i="6"/>
  <c r="Q13" i="6" s="1"/>
  <c r="R13" i="6"/>
  <c r="S13" i="6" s="1"/>
  <c r="K14" i="6"/>
  <c r="M19" i="2"/>
  <c r="M24" i="2"/>
  <c r="M14" i="6"/>
  <c r="N13" i="6"/>
  <c r="P3" i="2"/>
  <c r="Q3" i="2" s="1"/>
  <c r="P4" i="2"/>
  <c r="Q4" i="2" s="1"/>
  <c r="P5" i="2"/>
  <c r="Q5" i="2" s="1"/>
  <c r="P6" i="2"/>
  <c r="Q6" i="2" s="1"/>
  <c r="P7" i="2"/>
  <c r="Q7" i="2" s="1"/>
  <c r="P8" i="2"/>
  <c r="Q8" i="2" s="1"/>
  <c r="P9" i="2"/>
  <c r="Q9" i="2" s="1"/>
  <c r="P10" i="2"/>
  <c r="Q10" i="2" s="1"/>
  <c r="P11" i="2"/>
  <c r="Q11" i="2" s="1"/>
  <c r="P12" i="2"/>
  <c r="Q12" i="2" s="1"/>
  <c r="P14" i="2"/>
  <c r="Q14" i="2" s="1"/>
  <c r="P13" i="2"/>
  <c r="Q13" i="2" s="1"/>
  <c r="R23" i="3"/>
  <c r="U20" i="3" s="1"/>
  <c r="U23" i="3" s="1"/>
  <c r="U24" i="3" s="1"/>
  <c r="M17" i="7" l="1"/>
  <c r="M85" i="7"/>
  <c r="M86" i="7" s="1"/>
  <c r="K15" i="6"/>
  <c r="N14" i="6"/>
  <c r="Q15" i="2"/>
  <c r="M73" i="2" s="1"/>
  <c r="M66" i="2" s="1"/>
  <c r="M74" i="2" s="1"/>
  <c r="M75" i="2" s="1"/>
  <c r="O14" i="6"/>
  <c r="O15" i="7" l="1"/>
  <c r="P15" i="7" s="1"/>
  <c r="O3" i="7"/>
  <c r="O4" i="7"/>
  <c r="O5" i="7"/>
  <c r="O6" i="7"/>
  <c r="O7" i="7"/>
  <c r="O8" i="7"/>
  <c r="O9" i="7"/>
  <c r="O10" i="7"/>
  <c r="O11" i="7"/>
  <c r="O12" i="7"/>
  <c r="O13" i="7"/>
  <c r="O14" i="7"/>
  <c r="P14" i="6"/>
  <c r="Q14" i="6" s="1"/>
  <c r="R14" i="6"/>
  <c r="S14" i="6" s="1"/>
  <c r="R13" i="7" l="1"/>
  <c r="S13" i="7" s="1"/>
  <c r="P13" i="7"/>
  <c r="Q13" i="7" s="1"/>
  <c r="R10" i="7"/>
  <c r="S10" i="7" s="1"/>
  <c r="P10" i="7"/>
  <c r="Q10" i="7" s="1"/>
  <c r="R8" i="7"/>
  <c r="S8" i="7" s="1"/>
  <c r="P8" i="7"/>
  <c r="Q8" i="7" s="1"/>
  <c r="R6" i="7"/>
  <c r="S6" i="7" s="1"/>
  <c r="P6" i="7"/>
  <c r="Q6" i="7" s="1"/>
  <c r="P4" i="7"/>
  <c r="Q4" i="7" s="1"/>
  <c r="R4" i="7"/>
  <c r="S4" i="7" s="1"/>
  <c r="R3" i="7"/>
  <c r="S3" i="7" s="1"/>
  <c r="P3" i="7"/>
  <c r="Q3" i="7" s="1"/>
  <c r="R14" i="7"/>
  <c r="S14" i="7" s="1"/>
  <c r="P14" i="7"/>
  <c r="Q14" i="7" s="1"/>
  <c r="R12" i="7"/>
  <c r="S12" i="7" s="1"/>
  <c r="P12" i="7"/>
  <c r="Q12" i="7" s="1"/>
  <c r="P11" i="7"/>
  <c r="Q11" i="7" s="1"/>
  <c r="R11" i="7"/>
  <c r="S11" i="7" s="1"/>
  <c r="R9" i="7"/>
  <c r="S9" i="7" s="1"/>
  <c r="P9" i="7"/>
  <c r="Q9" i="7" s="1"/>
  <c r="P7" i="7"/>
  <c r="Q7" i="7" s="1"/>
  <c r="R7" i="7"/>
  <c r="S7" i="7" s="1"/>
  <c r="R5" i="7"/>
  <c r="S5" i="7" s="1"/>
  <c r="P5" i="7"/>
  <c r="Q5" i="7" s="1"/>
  <c r="S15" i="7" l="1"/>
  <c r="M91" i="7" s="1"/>
  <c r="M90" i="7" s="1"/>
  <c r="Q15" i="7"/>
  <c r="M87" i="7" s="1"/>
  <c r="M80" i="7" s="1"/>
  <c r="M88" i="7" s="1"/>
  <c r="M89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<sst xmlns="http://schemas.openxmlformats.org/spreadsheetml/2006/main" count="365" uniqueCount="168">
  <si>
    <t xml:space="preserve">Ungrouped Data </t>
  </si>
  <si>
    <t>Ungrouped Data  (Flatten/Unsorted)</t>
  </si>
  <si>
    <t>Ungrouped Data  (Sorted)</t>
  </si>
  <si>
    <t>The shear strengths of 80 spot welds in a titanium alloy follow.</t>
  </si>
  <si>
    <t>Values</t>
  </si>
  <si>
    <t>Number of Freq</t>
  </si>
  <si>
    <t>Index</t>
  </si>
  <si>
    <t>Deviation (x-mean)</t>
  </si>
  <si>
    <t>Squared Deviation</t>
  </si>
  <si>
    <t>Absolution Deviation</t>
  </si>
  <si>
    <t>Mean</t>
  </si>
  <si>
    <t>Data Count</t>
  </si>
  <si>
    <t>Median</t>
  </si>
  <si>
    <t>Middle Count</t>
  </si>
  <si>
    <t>Middle Count Smallest Value</t>
  </si>
  <si>
    <t xml:space="preserve">Middle Count (+1) Smallest Value </t>
  </si>
  <si>
    <t>Mode</t>
  </si>
  <si>
    <t>Count of number with highest frequency</t>
  </si>
  <si>
    <t>Quartiles (Q1)</t>
  </si>
  <si>
    <t>Q1 index position</t>
  </si>
  <si>
    <t>Q1 (Interpolate if position is not an integer)</t>
  </si>
  <si>
    <t>Quartiles (Q3)</t>
  </si>
  <si>
    <t>Q3 index position</t>
  </si>
  <si>
    <t>Q3 (Interpolate if position is not an integer)</t>
  </si>
  <si>
    <t>Percentiles (P10)</t>
  </si>
  <si>
    <t>P10's index position</t>
  </si>
  <si>
    <t>P10 (Interpolate if position is not an integer)</t>
  </si>
  <si>
    <t>Percentiles (P90)</t>
  </si>
  <si>
    <t>P10's index location</t>
  </si>
  <si>
    <t>P10 (Interpolate if position  is not an integer)</t>
  </si>
  <si>
    <t>Interquartile Range</t>
  </si>
  <si>
    <t>Q1</t>
  </si>
  <si>
    <t>Q3</t>
  </si>
  <si>
    <t>Quartile Deviation</t>
  </si>
  <si>
    <t>Variance</t>
  </si>
  <si>
    <t>Sum of Squared Deviation</t>
  </si>
  <si>
    <t>Standard Deviation</t>
  </si>
  <si>
    <t>Coefficient of Variation</t>
  </si>
  <si>
    <t>Mean Deviation</t>
  </si>
  <si>
    <t>Sum of Absolute Deviation</t>
  </si>
  <si>
    <t xml:space="preserve"> </t>
  </si>
  <si>
    <t>Ungrouped Data</t>
  </si>
  <si>
    <t>Grouped Data</t>
  </si>
  <si>
    <t>Aluminium-Lithium Alloy Specimens (PSI)</t>
  </si>
  <si>
    <t>(xi - mean)</t>
  </si>
  <si>
    <t>(xi - mean)²</t>
  </si>
  <si>
    <t>Highest</t>
  </si>
  <si>
    <t>Lowest</t>
  </si>
  <si>
    <t>Mean:</t>
  </si>
  <si>
    <t>Range:</t>
  </si>
  <si>
    <t>Median:</t>
  </si>
  <si>
    <t># of Classes</t>
  </si>
  <si>
    <t>Median = (160 + 163) / 2 = 161.5</t>
  </si>
  <si>
    <t>Class Mark</t>
  </si>
  <si>
    <t>Class Interval</t>
  </si>
  <si>
    <t>Frequency</t>
  </si>
  <si>
    <t>Cumulative Frequency</t>
  </si>
  <si>
    <t>Mid Points</t>
  </si>
  <si>
    <t>Mid Points*Frequency</t>
  </si>
  <si>
    <t>(mi - mean)</t>
  </si>
  <si>
    <t>(mi - mean)²</t>
  </si>
  <si>
    <t>fi * (mi - mean)²</t>
  </si>
  <si>
    <t>Mode:</t>
  </si>
  <si>
    <t>unimodal</t>
  </si>
  <si>
    <t>Variance:</t>
  </si>
  <si>
    <t>Median = Lm + (((n/2) - cf) / fm) * i</t>
  </si>
  <si>
    <t>Median Class: /2</t>
  </si>
  <si>
    <t>151-165</t>
  </si>
  <si>
    <r>
      <t>Standard Deviation</t>
    </r>
    <r>
      <rPr>
        <sz val="11"/>
        <color theme="1"/>
        <rFont val="Aptos Narrow"/>
        <family val="2"/>
        <scheme val="minor"/>
      </rPr>
      <t>:</t>
    </r>
  </si>
  <si>
    <t>Mode: class interval with the highest frequency</t>
  </si>
  <si>
    <r>
      <t>Coefficient of Variation</t>
    </r>
    <r>
      <rPr>
        <sz val="11"/>
        <color theme="1"/>
        <rFont val="Aptos Narrow"/>
        <family val="2"/>
        <scheme val="minor"/>
      </rPr>
      <t>:</t>
    </r>
  </si>
  <si>
    <r>
      <t>Standard Deviation</t>
    </r>
    <r>
      <rPr>
        <sz val="11"/>
        <color theme="1"/>
        <rFont val="Aptos Narrow"/>
        <family val="2"/>
        <scheme val="minor"/>
      </rPr>
      <t xml:space="preserve">: </t>
    </r>
  </si>
  <si>
    <r>
      <t>Coefficient of Variation</t>
    </r>
    <r>
      <rPr>
        <sz val="11"/>
        <color theme="1"/>
        <rFont val="Aptos Narrow"/>
        <family val="2"/>
        <scheme val="minor"/>
      </rPr>
      <t xml:space="preserve">: </t>
    </r>
  </si>
  <si>
    <t>Standard Deviation = √Variance</t>
  </si>
  <si>
    <t>Variance = ∑[fi * (mi - mean)²] / (n - 1)</t>
  </si>
  <si>
    <t>Lm = Lower boundary of the median class (150)
n = Total number of values (80)
cf = Cumulative frequency of the class before the median class (35)
fm = Frequency of the median class (20)
i = Class interval width (165 - 150 = 15)</t>
  </si>
  <si>
    <t>CV = (Standard Deviation / Mean) * 100%</t>
  </si>
  <si>
    <t>Where:</t>
  </si>
  <si>
    <t>fi = Frequency of the ith class</t>
  </si>
  <si>
    <t>Standard Error</t>
  </si>
  <si>
    <t>mi = Midpoint of the ith class</t>
  </si>
  <si>
    <t>mean = Mean of the grouped data</t>
  </si>
  <si>
    <t>n = Total number of values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</si>
  <si>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</si>
  <si>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</si>
  <si>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</si>
  <si>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</si>
  <si>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</si>
  <si>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</si>
  <si>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</si>
  <si>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</si>
  <si>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Largest(1)</t>
  </si>
  <si>
    <t>Smallest(1)</t>
  </si>
  <si>
    <t>Confidence Level(99%)</t>
  </si>
  <si>
    <t>Max value</t>
  </si>
  <si>
    <t>Min Value</t>
  </si>
  <si>
    <t>76-90</t>
  </si>
  <si>
    <t>91-105</t>
  </si>
  <si>
    <t>106-120</t>
  </si>
  <si>
    <t>121-135</t>
  </si>
  <si>
    <t>136-150</t>
  </si>
  <si>
    <t>181-195</t>
  </si>
  <si>
    <t>196-210</t>
  </si>
  <si>
    <t>226-240</t>
  </si>
  <si>
    <t>211-225</t>
  </si>
  <si>
    <t>241-255</t>
  </si>
  <si>
    <t>Class Width</t>
  </si>
  <si>
    <t>Highest Frequency Value</t>
  </si>
  <si>
    <t>Lower boundary of the modal class</t>
  </si>
  <si>
    <t>Cumulative frequency of the class before the median class</t>
  </si>
  <si>
    <t>Cumulative frequency before Q1 class</t>
  </si>
  <si>
    <t>Q1 Class</t>
  </si>
  <si>
    <t>Q1 corresponding frequency</t>
  </si>
  <si>
    <t xml:space="preserve">   </t>
  </si>
  <si>
    <t>Q3 corresponding frequency</t>
  </si>
  <si>
    <t>Cumulative frequency before Q3 class</t>
  </si>
  <si>
    <t>Q1 class position</t>
  </si>
  <si>
    <t>18-27</t>
  </si>
  <si>
    <t>The shear strengths of 100 spot welds in a titanium alloy follow.</t>
  </si>
  <si>
    <t>Assigned Bin Range</t>
  </si>
  <si>
    <t>P10's position</t>
  </si>
  <si>
    <t>Q3 position</t>
  </si>
  <si>
    <t>Q1 position</t>
  </si>
  <si>
    <t>P10 Class</t>
  </si>
  <si>
    <t>Lower Boundary of P10</t>
  </si>
  <si>
    <t>P90's position</t>
  </si>
  <si>
    <t>P90 Class</t>
  </si>
  <si>
    <t>Lower Boundary of P90</t>
  </si>
  <si>
    <t>Q3 class position</t>
  </si>
  <si>
    <t>Q3 Class</t>
  </si>
  <si>
    <t>166-180</t>
  </si>
  <si>
    <t>Quartile Deviation (IQR/2)</t>
  </si>
  <si>
    <t>Interquartile Range (Q3-Q2)</t>
  </si>
  <si>
    <r>
      <t>Interquartile Range</t>
    </r>
    <r>
      <rPr>
        <b/>
        <i/>
        <sz val="11"/>
        <color theme="1"/>
        <rFont val="Aptos Narrow"/>
        <family val="2"/>
        <scheme val="minor"/>
      </rPr>
      <t xml:space="preserve"> </t>
    </r>
    <r>
      <rPr>
        <i/>
        <sz val="11"/>
        <color theme="1"/>
        <rFont val="Aptos Narrow"/>
        <family val="2"/>
        <scheme val="minor"/>
      </rPr>
      <t>(Q3-Q2)</t>
    </r>
  </si>
  <si>
    <r>
      <t>Quartile Deviation</t>
    </r>
    <r>
      <rPr>
        <i/>
        <sz val="11"/>
        <color theme="1"/>
        <rFont val="Aptos Narrow"/>
        <family val="2"/>
        <scheme val="minor"/>
      </rPr>
      <t xml:space="preserve"> (IQR/2)</t>
    </r>
  </si>
  <si>
    <t>Frequency (f)</t>
  </si>
  <si>
    <t>Class Index</t>
  </si>
  <si>
    <t>Mean (Frequencies*Midpoints)</t>
  </si>
  <si>
    <t>Variance (Sample)</t>
  </si>
  <si>
    <t>Sum (Frequencies*Midpoints)</t>
  </si>
  <si>
    <t>f * (mi - mean)²</t>
  </si>
  <si>
    <t>Mid Points (mi)</t>
  </si>
  <si>
    <t xml:space="preserve">Cumulative Frequency (cF) </t>
  </si>
  <si>
    <t>(f*mi)</t>
  </si>
  <si>
    <t>Sum (frequency* (mi - mean)²)</t>
  </si>
  <si>
    <t>(mi - mean) Absolute Value</t>
  </si>
  <si>
    <t>(mi - mean) Absolute Value*f</t>
  </si>
  <si>
    <t>Q1 Class Lower Boundary (LQ1)</t>
  </si>
  <si>
    <t>Q3 Class Lower Boundary (LQ3)</t>
  </si>
  <si>
    <t>Median Position (N/2)</t>
  </si>
  <si>
    <t>Median Class</t>
  </si>
  <si>
    <t>Median Class Lower Boundary</t>
  </si>
  <si>
    <t>Cumulative frequency preceding median class</t>
  </si>
  <si>
    <t>Modal Class Lower Boundary</t>
  </si>
  <si>
    <t>Delta1</t>
  </si>
  <si>
    <t>Delta2</t>
  </si>
  <si>
    <t>Q1 class position (n/4)</t>
  </si>
  <si>
    <t>Cumulative frequency preceding Q1 class</t>
  </si>
  <si>
    <t>Q3 class position (3n/4)</t>
  </si>
  <si>
    <t>Cumulative frequency preceding Q3 class</t>
  </si>
  <si>
    <t>P10's position (10n/100)</t>
  </si>
  <si>
    <t>P10 class Lower Boundary</t>
  </si>
  <si>
    <t>P10 Class Frequency</t>
  </si>
  <si>
    <t>Cumulative frequency preceding P10 class</t>
  </si>
  <si>
    <t>P90's position (90n/100)</t>
  </si>
  <si>
    <t>Lower Boundary of P90 class</t>
  </si>
  <si>
    <t>P90 Class Frequency</t>
  </si>
  <si>
    <t>Cumulative frequency preceding P90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</si>
</sst>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4"/>
      <name val="Aptos Narrow"/>
      <family val="2"/>
      <scheme val="minor"/>
    </font>
    <font>
      <i/>
      <sz val="11"/>
      <color theme="4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6"/>
      <name val="Aptos Narrow"/>
      <family val="2"/>
      <scheme val="minor"/>
    </font>
    <font>
      <sz val="11"/>
      <color rgb="FFC00000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i/>
      <sz val="11"/>
      <color theme="1" tint="0.14999847407452621"/>
      <name val="Aptos Narrow"/>
      <family val="2"/>
      <scheme val="minor"/>
    </font>
    <font>
      <sz val="11"/>
      <color theme="1" tint="0.14999847407452621"/>
      <name val="Aptos Narrow"/>
      <family val="2"/>
      <scheme val="minor"/>
    </font>
    <font>
      <b/>
      <i/>
      <sz val="11"/>
      <color theme="1" tint="0.14999847407452621"/>
      <name val="Aptos Narrow"/>
      <family val="2"/>
      <scheme val="minor"/>
    </font>
    <font>
      <i/>
      <sz val="10.5"/>
      <color theme="1" tint="0.14999847407452621"/>
      <name val="Aptos Narrow"/>
      <family val="2"/>
      <scheme val="minor"/>
    </font>
    <font>
      <i/>
      <sz val="10.5"/>
      <color theme="1"/>
      <name val="Aptos Narrow"/>
      <family val="2"/>
      <scheme val="minor"/>
    </font>
    <font>
      <b/>
      <i/>
      <sz val="10.5"/>
      <color rgb="FFC0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96">
    <border>
      <left/>
      <right/>
      <top/>
      <bottom/>
      <diagonal/>
    </border>
    <border>
      <left style="hair">
        <color theme="0"/>
      </left>
      <right style="hair">
        <color theme="0"/>
      </right>
      <top style="hair">
        <color theme="0"/>
      </top>
      <bottom style="hair">
        <color theme="0"/>
      </bottom>
      <diagonal/>
    </border>
    <border>
      <left style="hair">
        <color theme="0"/>
      </left>
      <right/>
      <top style="hair">
        <color theme="0"/>
      </top>
      <bottom style="dashed">
        <color theme="1"/>
      </bottom>
      <diagonal/>
    </border>
    <border>
      <left/>
      <right style="hair">
        <color theme="0"/>
      </right>
      <top style="hair">
        <color theme="0"/>
      </top>
      <bottom style="dashed">
        <color theme="1"/>
      </bottom>
      <diagonal/>
    </border>
    <border>
      <left style="hair">
        <color theme="0"/>
      </left>
      <right/>
      <top style="hair">
        <color theme="0"/>
      </top>
      <bottom/>
      <diagonal/>
    </border>
    <border>
      <left/>
      <right/>
      <top style="hair">
        <color theme="0"/>
      </top>
      <bottom/>
      <diagonal/>
    </border>
    <border>
      <left/>
      <right style="hair">
        <color theme="0"/>
      </right>
      <top style="hair">
        <color theme="0"/>
      </top>
      <bottom/>
      <diagonal/>
    </border>
    <border>
      <left style="hair">
        <color theme="0"/>
      </left>
      <right style="hair">
        <color theme="0"/>
      </right>
      <top style="hair">
        <color theme="0"/>
      </top>
      <bottom/>
      <diagonal/>
    </border>
    <border>
      <left style="hair">
        <color theme="0"/>
      </left>
      <right/>
      <top style="hair">
        <color theme="0"/>
      </top>
      <bottom style="hair">
        <color theme="0"/>
      </bottom>
      <diagonal/>
    </border>
    <border>
      <left style="dashed">
        <color theme="1"/>
      </left>
      <right style="dashed">
        <color theme="1"/>
      </right>
      <top style="dashed">
        <color theme="1"/>
      </top>
      <bottom style="dashed">
        <color theme="1"/>
      </bottom>
      <diagonal/>
    </border>
    <border>
      <left/>
      <right/>
      <top style="hair">
        <color theme="0"/>
      </top>
      <bottom style="hair">
        <color theme="0"/>
      </bottom>
      <diagonal/>
    </border>
    <border>
      <left style="dashed">
        <color theme="1"/>
      </left>
      <right/>
      <top style="dashed">
        <color theme="1"/>
      </top>
      <bottom style="dashed">
        <color theme="1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hair">
        <color theme="0"/>
      </right>
      <top style="hair">
        <color theme="0"/>
      </top>
      <bottom style="hair">
        <color theme="0"/>
      </bottom>
      <diagonal/>
    </border>
    <border>
      <left style="hair">
        <color theme="0"/>
      </left>
      <right style="hair">
        <color theme="0"/>
      </right>
      <top/>
      <bottom style="hair">
        <color theme="0"/>
      </bottom>
      <diagonal/>
    </border>
    <border>
      <left style="hair">
        <color theme="0"/>
      </left>
      <right style="hair">
        <color theme="0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hair">
        <color theme="0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hair">
        <color theme="0"/>
      </right>
      <top style="thin">
        <color theme="1"/>
      </top>
      <bottom/>
      <diagonal/>
    </border>
    <border>
      <left style="hair">
        <color theme="0"/>
      </left>
      <right/>
      <top/>
      <bottom style="hair">
        <color theme="0"/>
      </bottom>
      <diagonal/>
    </border>
    <border>
      <left/>
      <right/>
      <top/>
      <bottom style="hair">
        <color theme="0"/>
      </bottom>
      <diagonal/>
    </border>
    <border>
      <left/>
      <right style="hair">
        <color theme="0"/>
      </right>
      <top/>
      <bottom style="hair">
        <color theme="0"/>
      </bottom>
      <diagonal/>
    </border>
    <border>
      <left style="hair">
        <color theme="0"/>
      </left>
      <right/>
      <top/>
      <bottom/>
      <diagonal/>
    </border>
    <border>
      <left/>
      <right style="hair">
        <color theme="0"/>
      </right>
      <top/>
      <bottom/>
      <diagonal/>
    </border>
    <border>
      <left style="hair">
        <color theme="0"/>
      </left>
      <right/>
      <top style="thin">
        <color theme="1"/>
      </top>
      <bottom style="hair">
        <color theme="0"/>
      </bottom>
      <diagonal/>
    </border>
    <border>
      <left/>
      <right/>
      <top style="thin">
        <color theme="1"/>
      </top>
      <bottom style="hair">
        <color theme="0"/>
      </bottom>
      <diagonal/>
    </border>
    <border>
      <left/>
      <right style="hair">
        <color theme="0"/>
      </right>
      <top style="thin">
        <color theme="1"/>
      </top>
      <bottom style="hair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theme="0"/>
      </right>
      <top/>
      <bottom/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dashed">
        <color theme="2"/>
      </left>
      <right style="dashed">
        <color theme="2"/>
      </right>
      <top style="dashed">
        <color theme="2"/>
      </top>
      <bottom style="dashed">
        <color theme="2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dashed">
        <color theme="1"/>
      </left>
      <right/>
      <top style="dashed">
        <color theme="1"/>
      </top>
      <bottom/>
      <diagonal/>
    </border>
    <border>
      <left style="dashed">
        <color theme="2"/>
      </left>
      <right style="dashed">
        <color indexed="64"/>
      </right>
      <top style="dashed">
        <color theme="2"/>
      </top>
      <bottom style="dashed">
        <color theme="2"/>
      </bottom>
      <diagonal/>
    </border>
    <border>
      <left style="dashed">
        <color theme="2"/>
      </left>
      <right style="dashed">
        <color theme="2"/>
      </right>
      <top style="dashed">
        <color theme="2"/>
      </top>
      <bottom/>
      <diagonal/>
    </border>
    <border>
      <left style="dashed">
        <color theme="2"/>
      </left>
      <right style="dashed">
        <color theme="2"/>
      </right>
      <top/>
      <bottom style="dashed">
        <color theme="2"/>
      </bottom>
      <diagonal/>
    </border>
    <border>
      <left style="hair">
        <color theme="0"/>
      </left>
      <right/>
      <top style="thin">
        <color indexed="64"/>
      </top>
      <bottom/>
      <diagonal/>
    </border>
    <border>
      <left/>
      <right style="hair">
        <color theme="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theme="0"/>
      </left>
      <right/>
      <top style="hair">
        <color theme="0"/>
      </top>
      <bottom style="dashed">
        <color indexed="64"/>
      </bottom>
      <diagonal/>
    </border>
    <border>
      <left/>
      <right/>
      <top style="hair">
        <color theme="0"/>
      </top>
      <bottom style="dashed">
        <color indexed="64"/>
      </bottom>
      <diagonal/>
    </border>
    <border>
      <left/>
      <right style="hair">
        <color theme="0"/>
      </right>
      <top style="hair">
        <color theme="0"/>
      </top>
      <bottom style="dashed">
        <color indexed="64"/>
      </bottom>
      <diagonal/>
    </border>
    <border>
      <left style="dashed">
        <color theme="2"/>
      </left>
      <right/>
      <top style="dashed">
        <color theme="2"/>
      </top>
      <bottom style="dashed">
        <color theme="2"/>
      </bottom>
      <diagonal/>
    </border>
    <border>
      <left/>
      <right/>
      <top style="dashed">
        <color theme="2"/>
      </top>
      <bottom style="dashed">
        <color theme="2"/>
      </bottom>
      <diagonal/>
    </border>
    <border>
      <left/>
      <right style="dashed">
        <color theme="2"/>
      </right>
      <top style="dashed">
        <color theme="2"/>
      </top>
      <bottom style="dashed">
        <color theme="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theme="2"/>
      </left>
      <right/>
      <top style="hair">
        <color theme="0"/>
      </top>
      <bottom style="dashed">
        <color theme="2"/>
      </bottom>
      <diagonal/>
    </border>
    <border>
      <left/>
      <right/>
      <top style="hair">
        <color theme="0"/>
      </top>
      <bottom style="dashed">
        <color theme="2"/>
      </bottom>
      <diagonal/>
    </border>
    <border>
      <left/>
      <right style="dashed">
        <color theme="2"/>
      </right>
      <top style="hair">
        <color theme="0"/>
      </top>
      <bottom style="dashed">
        <color theme="2"/>
      </bottom>
      <diagonal/>
    </border>
    <border>
      <left style="dashed">
        <color theme="2"/>
      </left>
      <right/>
      <top style="dashed">
        <color theme="2"/>
      </top>
      <bottom style="thin">
        <color indexed="64"/>
      </bottom>
      <diagonal/>
    </border>
    <border>
      <left/>
      <right/>
      <top style="dashed">
        <color theme="2"/>
      </top>
      <bottom style="thin">
        <color indexed="64"/>
      </bottom>
      <diagonal/>
    </border>
    <border>
      <left/>
      <right style="dashed">
        <color theme="2"/>
      </right>
      <top style="dashed">
        <color theme="2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dashed">
        <color theme="2"/>
      </left>
      <right style="dashed">
        <color theme="2"/>
      </right>
      <top/>
      <bottom/>
      <diagonal/>
    </border>
    <border>
      <left style="dashed">
        <color theme="2"/>
      </left>
      <right/>
      <top/>
      <bottom style="dashed">
        <color theme="2"/>
      </bottom>
      <diagonal/>
    </border>
    <border>
      <left/>
      <right/>
      <top/>
      <bottom style="dashed">
        <color theme="2"/>
      </bottom>
      <diagonal/>
    </border>
    <border>
      <left/>
      <right style="dashed">
        <color theme="2"/>
      </right>
      <top/>
      <bottom style="dashed">
        <color theme="2"/>
      </bottom>
      <diagonal/>
    </border>
    <border>
      <left style="dashed">
        <color theme="2"/>
      </left>
      <right/>
      <top style="dashed">
        <color theme="2"/>
      </top>
      <bottom/>
      <diagonal/>
    </border>
    <border>
      <left/>
      <right/>
      <top style="dashed">
        <color theme="2"/>
      </top>
      <bottom/>
      <diagonal/>
    </border>
    <border>
      <left/>
      <right style="dashed">
        <color theme="2"/>
      </right>
      <top style="dashed">
        <color theme="2"/>
      </top>
      <bottom/>
      <diagonal/>
    </border>
    <border>
      <left/>
      <right/>
      <top style="thin">
        <color theme="1"/>
      </top>
      <bottom style="dashed">
        <color theme="0" tint="-4.9989318521683403E-2"/>
      </bottom>
      <diagonal/>
    </border>
    <border>
      <left/>
      <right style="hair">
        <color theme="0"/>
      </right>
      <top style="thin">
        <color theme="1"/>
      </top>
      <bottom style="dashed">
        <color theme="0" tint="-4.9989318521683403E-2"/>
      </bottom>
      <diagonal/>
    </border>
    <border>
      <left style="hair">
        <color theme="0"/>
      </left>
      <right style="dashed">
        <color theme="0" tint="-4.9989318521683403E-2"/>
      </right>
      <top style="thin">
        <color theme="1"/>
      </top>
      <bottom style="dashed">
        <color theme="0" tint="-4.9989318521683403E-2"/>
      </bottom>
      <diagonal/>
    </border>
    <border>
      <left style="hair">
        <color theme="0"/>
      </left>
      <right style="dashed">
        <color theme="0" tint="-4.9989318521683403E-2"/>
      </right>
      <top style="hair">
        <color theme="0"/>
      </top>
      <bottom style="hair">
        <color theme="0"/>
      </bottom>
      <diagonal/>
    </border>
    <border>
      <left style="dashed">
        <color theme="0" tint="-4.9989318521683403E-2"/>
      </left>
      <right/>
      <top style="thin">
        <color theme="1"/>
      </top>
      <bottom style="dashed">
        <color theme="0" tint="-4.9989318521683403E-2"/>
      </bottom>
      <diagonal/>
    </border>
    <border>
      <left style="dashed">
        <color theme="2"/>
      </left>
      <right/>
      <top style="hair">
        <color theme="0"/>
      </top>
      <bottom/>
      <diagonal/>
    </border>
    <border>
      <left style="dashed">
        <color theme="2"/>
      </left>
      <right/>
      <top/>
      <bottom/>
      <diagonal/>
    </border>
    <border>
      <left style="dashed">
        <color theme="2"/>
      </left>
      <right/>
      <top/>
      <bottom style="hair">
        <color theme="0"/>
      </bottom>
      <diagonal/>
    </border>
    <border>
      <left style="hair">
        <color theme="0"/>
      </left>
      <right/>
      <top style="thin">
        <color indexed="64"/>
      </top>
      <bottom style="thin">
        <color indexed="64"/>
      </bottom>
      <diagonal/>
    </border>
    <border>
      <left/>
      <right style="hair">
        <color theme="0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dashed">
        <color theme="2"/>
      </right>
      <top/>
      <bottom/>
      <diagonal/>
    </border>
    <border>
      <left/>
      <right style="dashed">
        <color theme="2"/>
      </right>
      <top/>
      <bottom style="hair">
        <color theme="0"/>
      </bottom>
      <diagonal/>
    </border>
    <border>
      <left style="dashed">
        <color theme="2"/>
      </left>
      <right style="hair">
        <color theme="0"/>
      </right>
      <top style="hair">
        <color theme="0"/>
      </top>
      <bottom style="hair">
        <color theme="0"/>
      </bottom>
      <diagonal/>
    </border>
    <border>
      <left style="hair">
        <color theme="0"/>
      </left>
      <right style="dashed">
        <color theme="2"/>
      </right>
      <top style="hair">
        <color theme="0"/>
      </top>
      <bottom style="hair">
        <color theme="0"/>
      </bottom>
      <diagonal/>
    </border>
    <border>
      <left style="dashed">
        <color theme="2"/>
      </left>
      <right style="hair">
        <color theme="0"/>
      </right>
      <top style="hair">
        <color theme="0"/>
      </top>
      <bottom/>
      <diagonal/>
    </border>
    <border>
      <left style="hair">
        <color theme="0"/>
      </left>
      <right style="dashed">
        <color theme="2"/>
      </right>
      <top style="hair">
        <color theme="0"/>
      </top>
      <bottom/>
      <diagonal/>
    </border>
    <border>
      <left style="hair">
        <color theme="0"/>
      </left>
      <right style="hair">
        <color theme="0"/>
      </right>
      <top style="dashed">
        <color theme="2"/>
      </top>
      <bottom style="hair">
        <color theme="0"/>
      </bottom>
      <diagonal/>
    </border>
    <border>
      <left style="hair">
        <color theme="0"/>
      </left>
      <right style="dashed">
        <color theme="2"/>
      </right>
      <top style="dashed">
        <color theme="2"/>
      </top>
      <bottom style="hair">
        <color theme="0"/>
      </bottom>
      <diagonal/>
    </border>
    <border>
      <left style="hair">
        <color theme="0"/>
      </left>
      <right style="dashed">
        <color theme="2"/>
      </right>
      <top/>
      <bottom style="hair">
        <color theme="0"/>
      </bottom>
      <diagonal/>
    </border>
    <border>
      <left style="hair">
        <color theme="0"/>
      </left>
      <right style="dashed">
        <color theme="0" tint="-4.9989318521683403E-2"/>
      </right>
      <top/>
      <bottom style="hair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0" fillId="0" borderId="10" xfId="0" applyBorder="1"/>
    <xf numFmtId="0" fontId="5" fillId="0" borderId="0" xfId="0" applyFont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2" fontId="4" fillId="0" borderId="12" xfId="0" applyNumberFormat="1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6" fillId="0" borderId="0" xfId="0" applyFont="1"/>
    <xf numFmtId="0" fontId="0" fillId="0" borderId="11" xfId="0" applyBorder="1" applyAlignment="1">
      <alignment horizontal="center"/>
    </xf>
    <xf numFmtId="2" fontId="0" fillId="0" borderId="12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4" xfId="0" applyBorder="1"/>
    <xf numFmtId="0" fontId="8" fillId="0" borderId="8" xfId="0" applyFont="1" applyBorder="1" applyAlignment="1">
      <alignment horizontal="right"/>
    </xf>
    <xf numFmtId="0" fontId="0" fillId="0" borderId="16" xfId="0" applyBorder="1"/>
    <xf numFmtId="0" fontId="0" fillId="0" borderId="13" xfId="0" applyBorder="1"/>
    <xf numFmtId="0" fontId="0" fillId="0" borderId="1" xfId="0" applyBorder="1" applyAlignment="1">
      <alignment vertical="center" wrapText="1"/>
    </xf>
    <xf numFmtId="0" fontId="8" fillId="0" borderId="1" xfId="0" applyFont="1" applyBorder="1" applyAlignment="1">
      <alignment horizontal="right"/>
    </xf>
    <xf numFmtId="0" fontId="6" fillId="0" borderId="15" xfId="0" applyFont="1" applyBorder="1"/>
    <xf numFmtId="0" fontId="6" fillId="0" borderId="14" xfId="0" applyFont="1" applyBorder="1"/>
    <xf numFmtId="0" fontId="9" fillId="0" borderId="1" xfId="0" applyFont="1" applyBorder="1" applyAlignment="1">
      <alignment horizontal="left"/>
    </xf>
    <xf numFmtId="0" fontId="6" fillId="0" borderId="8" xfId="0" applyFont="1" applyBorder="1"/>
    <xf numFmtId="0" fontId="6" fillId="0" borderId="10" xfId="0" applyFont="1" applyBorder="1"/>
    <xf numFmtId="0" fontId="6" fillId="0" borderId="13" xfId="0" applyFont="1" applyBorder="1"/>
    <xf numFmtId="0" fontId="6" fillId="0" borderId="1" xfId="0" applyFont="1" applyBorder="1"/>
    <xf numFmtId="0" fontId="6" fillId="0" borderId="7" xfId="0" applyFont="1" applyBorder="1"/>
    <xf numFmtId="0" fontId="8" fillId="0" borderId="8" xfId="0" applyFont="1" applyBorder="1"/>
    <xf numFmtId="0" fontId="8" fillId="0" borderId="1" xfId="0" applyFont="1" applyBorder="1"/>
    <xf numFmtId="0" fontId="3" fillId="0" borderId="1" xfId="0" applyFont="1" applyBorder="1" applyAlignment="1">
      <alignment wrapText="1"/>
    </xf>
    <xf numFmtId="9" fontId="0" fillId="0" borderId="1" xfId="1" applyFont="1" applyBorder="1"/>
    <xf numFmtId="0" fontId="0" fillId="0" borderId="11" xfId="0" applyBorder="1" applyAlignment="1">
      <alignment horizontal="center" vertical="center"/>
    </xf>
    <xf numFmtId="2" fontId="0" fillId="0" borderId="16" xfId="0" applyNumberFormat="1" applyBorder="1"/>
    <xf numFmtId="2" fontId="6" fillId="0" borderId="14" xfId="0" applyNumberFormat="1" applyFont="1" applyBorder="1"/>
    <xf numFmtId="10" fontId="0" fillId="0" borderId="16" xfId="0" applyNumberFormat="1" applyBorder="1"/>
    <xf numFmtId="2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4" xfId="0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28" xfId="0" applyBorder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2" fontId="0" fillId="0" borderId="0" xfId="0" applyNumberFormat="1"/>
    <xf numFmtId="0" fontId="0" fillId="0" borderId="29" xfId="0" applyBorder="1"/>
    <xf numFmtId="0" fontId="0" fillId="0" borderId="29" xfId="0" applyBorder="1" applyAlignment="1">
      <alignment horizontal="center"/>
    </xf>
    <xf numFmtId="0" fontId="0" fillId="0" borderId="30" xfId="0" applyBorder="1"/>
    <xf numFmtId="164" fontId="0" fillId="0" borderId="29" xfId="0" applyNumberFormat="1" applyBorder="1"/>
    <xf numFmtId="0" fontId="0" fillId="0" borderId="0" xfId="0" applyAlignment="1">
      <alignment vertical="center" wrapText="1"/>
    </xf>
    <xf numFmtId="0" fontId="3" fillId="0" borderId="0" xfId="0" applyFont="1"/>
    <xf numFmtId="0" fontId="0" fillId="4" borderId="29" xfId="0" applyFill="1" applyBorder="1"/>
    <xf numFmtId="10" fontId="0" fillId="0" borderId="0" xfId="0" applyNumberFormat="1"/>
    <xf numFmtId="0" fontId="3" fillId="0" borderId="0" xfId="0" applyFont="1" applyAlignment="1">
      <alignment wrapText="1"/>
    </xf>
    <xf numFmtId="0" fontId="0" fillId="0" borderId="31" xfId="0" applyBorder="1"/>
    <xf numFmtId="9" fontId="0" fillId="0" borderId="0" xfId="1" applyFont="1"/>
    <xf numFmtId="0" fontId="0" fillId="0" borderId="0" xfId="0" applyAlignment="1">
      <alignment horizontal="left" vertical="center" indent="1"/>
    </xf>
    <xf numFmtId="0" fontId="0" fillId="0" borderId="10" xfId="0" applyBorder="1" applyAlignment="1">
      <alignment wrapText="1"/>
    </xf>
    <xf numFmtId="0" fontId="0" fillId="0" borderId="12" xfId="0" applyBorder="1" applyAlignment="1">
      <alignment horizontal="center" wrapText="1"/>
    </xf>
    <xf numFmtId="0" fontId="0" fillId="0" borderId="12" xfId="0" applyBorder="1"/>
    <xf numFmtId="0" fontId="3" fillId="0" borderId="12" xfId="0" applyFont="1" applyBorder="1"/>
    <xf numFmtId="0" fontId="0" fillId="0" borderId="12" xfId="0" applyBorder="1" applyAlignment="1">
      <alignment horizontal="center"/>
    </xf>
    <xf numFmtId="164" fontId="0" fillId="0" borderId="12" xfId="0" applyNumberFormat="1" applyBorder="1"/>
    <xf numFmtId="0" fontId="3" fillId="3" borderId="12" xfId="0" applyFont="1" applyFill="1" applyBorder="1" applyAlignment="1">
      <alignment horizontal="left" wrapText="1"/>
    </xf>
    <xf numFmtId="0" fontId="3" fillId="3" borderId="12" xfId="0" applyFont="1" applyFill="1" applyBorder="1" applyAlignment="1">
      <alignment horizontal="left"/>
    </xf>
    <xf numFmtId="0" fontId="0" fillId="0" borderId="4" xfId="0" applyBorder="1" applyAlignment="1">
      <alignment horizontal="center" wrapText="1"/>
    </xf>
    <xf numFmtId="0" fontId="0" fillId="0" borderId="20" xfId="0" applyBorder="1"/>
    <xf numFmtId="0" fontId="0" fillId="0" borderId="34" xfId="0" applyBorder="1" applyAlignment="1">
      <alignment horizontal="center"/>
    </xf>
    <xf numFmtId="0" fontId="6" fillId="0" borderId="35" xfId="0" applyFont="1" applyBorder="1" applyAlignment="1">
      <alignment horizontal="right" wrapText="1"/>
    </xf>
    <xf numFmtId="0" fontId="6" fillId="0" borderId="35" xfId="0" applyFont="1" applyBorder="1" applyAlignment="1">
      <alignment horizontal="right"/>
    </xf>
    <xf numFmtId="0" fontId="9" fillId="0" borderId="8" xfId="0" applyFont="1" applyBorder="1" applyAlignment="1">
      <alignment horizontal="left"/>
    </xf>
    <xf numFmtId="0" fontId="6" fillId="0" borderId="36" xfId="0" applyFont="1" applyBorder="1"/>
    <xf numFmtId="0" fontId="0" fillId="0" borderId="36" xfId="0" applyBorder="1"/>
    <xf numFmtId="0" fontId="0" fillId="0" borderId="36" xfId="0" applyBorder="1" applyAlignment="1">
      <alignment horizontal="right"/>
    </xf>
    <xf numFmtId="2" fontId="0" fillId="0" borderId="34" xfId="0" applyNumberFormat="1" applyBorder="1" applyAlignment="1">
      <alignment horizontal="center"/>
    </xf>
    <xf numFmtId="0" fontId="0" fillId="0" borderId="41" xfId="0" applyBorder="1" applyAlignment="1">
      <alignment horizontal="center"/>
    </xf>
    <xf numFmtId="0" fontId="6" fillId="0" borderId="42" xfId="0" applyFont="1" applyBorder="1"/>
    <xf numFmtId="0" fontId="3" fillId="0" borderId="34" xfId="0" applyFont="1" applyBorder="1" applyAlignment="1">
      <alignment horizontal="center"/>
    </xf>
    <xf numFmtId="0" fontId="11" fillId="0" borderId="36" xfId="0" applyFont="1" applyBorder="1"/>
    <xf numFmtId="0" fontId="12" fillId="0" borderId="36" xfId="0" applyFont="1" applyBorder="1" applyAlignment="1">
      <alignment horizontal="right"/>
    </xf>
    <xf numFmtId="0" fontId="11" fillId="0" borderId="36" xfId="0" applyFont="1" applyBorder="1" applyAlignment="1">
      <alignment horizontal="right"/>
    </xf>
    <xf numFmtId="0" fontId="11" fillId="0" borderId="43" xfId="0" applyFont="1" applyBorder="1" applyAlignment="1">
      <alignment horizontal="right"/>
    </xf>
    <xf numFmtId="0" fontId="6" fillId="0" borderId="44" xfId="0" applyFont="1" applyBorder="1"/>
    <xf numFmtId="0" fontId="0" fillId="5" borderId="23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45" xfId="0" applyFill="1" applyBorder="1" applyAlignment="1">
      <alignment horizontal="center"/>
    </xf>
    <xf numFmtId="0" fontId="0" fillId="5" borderId="46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0" fillId="5" borderId="47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11" fillId="0" borderId="44" xfId="0" applyFont="1" applyBorder="1" applyAlignment="1">
      <alignment horizontal="right"/>
    </xf>
    <xf numFmtId="0" fontId="11" fillId="0" borderId="44" xfId="0" applyFont="1" applyBorder="1"/>
    <xf numFmtId="0" fontId="3" fillId="0" borderId="14" xfId="0" applyFont="1" applyBorder="1"/>
    <xf numFmtId="0" fontId="3" fillId="0" borderId="1" xfId="0" applyFont="1" applyBorder="1"/>
    <xf numFmtId="0" fontId="0" fillId="6" borderId="29" xfId="0" applyFill="1" applyBorder="1"/>
    <xf numFmtId="0" fontId="0" fillId="6" borderId="29" xfId="0" applyFill="1" applyBorder="1" applyAlignment="1">
      <alignment horizontal="right"/>
    </xf>
    <xf numFmtId="2" fontId="0" fillId="0" borderId="12" xfId="0" applyNumberFormat="1" applyBorder="1"/>
    <xf numFmtId="2" fontId="3" fillId="0" borderId="14" xfId="0" applyNumberFormat="1" applyFont="1" applyBorder="1"/>
    <xf numFmtId="164" fontId="0" fillId="0" borderId="14" xfId="0" applyNumberFormat="1" applyBorder="1"/>
    <xf numFmtId="2" fontId="0" fillId="0" borderId="33" xfId="0" applyNumberFormat="1" applyBorder="1"/>
    <xf numFmtId="0" fontId="4" fillId="0" borderId="51" xfId="0" applyFont="1" applyBorder="1" applyAlignment="1">
      <alignment horizontal="center" vertical="center" wrapText="1"/>
    </xf>
    <xf numFmtId="164" fontId="0" fillId="0" borderId="9" xfId="0" applyNumberFormat="1" applyBorder="1"/>
    <xf numFmtId="0" fontId="0" fillId="0" borderId="9" xfId="0" applyBorder="1"/>
    <xf numFmtId="2" fontId="0" fillId="6" borderId="40" xfId="0" applyNumberFormat="1" applyFill="1" applyBorder="1"/>
    <xf numFmtId="2" fontId="6" fillId="0" borderId="36" xfId="0" applyNumberFormat="1" applyFont="1" applyBorder="1"/>
    <xf numFmtId="0" fontId="12" fillId="0" borderId="36" xfId="0" applyFont="1" applyBorder="1"/>
    <xf numFmtId="0" fontId="0" fillId="6" borderId="60" xfId="0" applyFill="1" applyBorder="1"/>
    <xf numFmtId="0" fontId="0" fillId="6" borderId="67" xfId="0" applyFill="1" applyBorder="1"/>
    <xf numFmtId="0" fontId="11" fillId="0" borderId="68" xfId="0" applyFont="1" applyBorder="1" applyAlignment="1">
      <alignment horizontal="left"/>
    </xf>
    <xf numFmtId="0" fontId="13" fillId="0" borderId="68" xfId="0" applyFont="1" applyBorder="1"/>
    <xf numFmtId="0" fontId="11" fillId="0" borderId="43" xfId="0" applyFont="1" applyBorder="1"/>
    <xf numFmtId="0" fontId="0" fillId="0" borderId="43" xfId="0" applyBorder="1"/>
    <xf numFmtId="0" fontId="6" fillId="0" borderId="43" xfId="0" applyFont="1" applyBorder="1"/>
    <xf numFmtId="2" fontId="0" fillId="6" borderId="29" xfId="0" applyNumberFormat="1" applyFill="1" applyBorder="1"/>
    <xf numFmtId="2" fontId="6" fillId="0" borderId="43" xfId="0" applyNumberFormat="1" applyFont="1" applyBorder="1"/>
    <xf numFmtId="10" fontId="0" fillId="6" borderId="29" xfId="0" applyNumberFormat="1" applyFill="1" applyBorder="1"/>
    <xf numFmtId="2" fontId="0" fillId="0" borderId="77" xfId="0" applyNumberFormat="1" applyBorder="1"/>
    <xf numFmtId="0" fontId="8" fillId="0" borderId="78" xfId="0" applyFont="1" applyBorder="1" applyAlignment="1">
      <alignment horizontal="right"/>
    </xf>
    <xf numFmtId="0" fontId="9" fillId="0" borderId="8" xfId="0" applyFont="1" applyBorder="1" applyAlignment="1">
      <alignment horizontal="right"/>
    </xf>
    <xf numFmtId="0" fontId="0" fillId="6" borderId="12" xfId="0" applyFill="1" applyBorder="1"/>
    <xf numFmtId="2" fontId="0" fillId="6" borderId="12" xfId="0" applyNumberFormat="1" applyFill="1" applyBorder="1"/>
    <xf numFmtId="0" fontId="14" fillId="0" borderId="88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4" fillId="0" borderId="89" xfId="0" applyFont="1" applyBorder="1"/>
    <xf numFmtId="0" fontId="15" fillId="0" borderId="1" xfId="0" applyFont="1" applyBorder="1"/>
    <xf numFmtId="0" fontId="15" fillId="0" borderId="1" xfId="0" applyFont="1" applyBorder="1" applyAlignment="1">
      <alignment horizontal="right"/>
    </xf>
    <xf numFmtId="0" fontId="3" fillId="0" borderId="8" xfId="0" applyFont="1" applyBorder="1"/>
    <xf numFmtId="0" fontId="14" fillId="0" borderId="90" xfId="0" applyFont="1" applyBorder="1" applyAlignment="1">
      <alignment horizontal="left"/>
    </xf>
    <xf numFmtId="0" fontId="14" fillId="0" borderId="7" xfId="0" applyFont="1" applyBorder="1" applyAlignment="1">
      <alignment horizontal="left"/>
    </xf>
    <xf numFmtId="0" fontId="14" fillId="0" borderId="91" xfId="0" applyFont="1" applyBorder="1"/>
    <xf numFmtId="0" fontId="9" fillId="0" borderId="8" xfId="0" applyFont="1" applyBorder="1"/>
    <xf numFmtId="0" fontId="9" fillId="0" borderId="1" xfId="0" applyFont="1" applyBorder="1"/>
    <xf numFmtId="0" fontId="15" fillId="0" borderId="7" xfId="0" applyFont="1" applyBorder="1"/>
    <xf numFmtId="0" fontId="14" fillId="0" borderId="1" xfId="0" applyFont="1" applyBorder="1"/>
    <xf numFmtId="0" fontId="14" fillId="0" borderId="1" xfId="0" applyFont="1" applyBorder="1" applyAlignment="1">
      <alignment horizontal="right"/>
    </xf>
    <xf numFmtId="0" fontId="14" fillId="0" borderId="7" xfId="0" applyFont="1" applyBorder="1" applyAlignment="1">
      <alignment horizontal="right"/>
    </xf>
    <xf numFmtId="0" fontId="0" fillId="6" borderId="12" xfId="0" applyFill="1" applyBorder="1" applyAlignment="1">
      <alignment horizontal="right"/>
    </xf>
    <xf numFmtId="0" fontId="15" fillId="0" borderId="92" xfId="0" applyFont="1" applyBorder="1" applyAlignment="1">
      <alignment horizontal="left"/>
    </xf>
    <xf numFmtId="0" fontId="15" fillId="0" borderId="93" xfId="0" applyFont="1" applyBorder="1"/>
    <xf numFmtId="0" fontId="15" fillId="0" borderId="1" xfId="0" applyFont="1" applyBorder="1" applyAlignment="1">
      <alignment horizontal="left"/>
    </xf>
    <xf numFmtId="0" fontId="15" fillId="0" borderId="89" xfId="0" applyFont="1" applyBorder="1" applyAlignment="1">
      <alignment horizontal="right"/>
    </xf>
    <xf numFmtId="0" fontId="15" fillId="0" borderId="89" xfId="0" applyFont="1" applyBorder="1"/>
    <xf numFmtId="0" fontId="15" fillId="0" borderId="92" xfId="0" applyFont="1" applyBorder="1"/>
    <xf numFmtId="0" fontId="16" fillId="0" borderId="1" xfId="0" applyFont="1" applyBorder="1" applyAlignment="1">
      <alignment horizontal="right"/>
    </xf>
    <xf numFmtId="0" fontId="15" fillId="0" borderId="14" xfId="0" applyFont="1" applyBorder="1" applyAlignment="1">
      <alignment horizontal="left"/>
    </xf>
    <xf numFmtId="0" fontId="15" fillId="0" borderId="94" xfId="0" applyFont="1" applyBorder="1"/>
    <xf numFmtId="0" fontId="15" fillId="0" borderId="7" xfId="0" applyFont="1" applyBorder="1" applyAlignment="1">
      <alignment horizontal="left"/>
    </xf>
    <xf numFmtId="0" fontId="15" fillId="0" borderId="91" xfId="0" applyFont="1" applyBorder="1"/>
    <xf numFmtId="0" fontId="9" fillId="0" borderId="1" xfId="0" applyFont="1" applyBorder="1" applyAlignment="1">
      <alignment horizontal="right"/>
    </xf>
    <xf numFmtId="2" fontId="15" fillId="0" borderId="1" xfId="0" applyNumberFormat="1" applyFont="1" applyBorder="1"/>
    <xf numFmtId="2" fontId="15" fillId="0" borderId="7" xfId="0" applyNumberFormat="1" applyFont="1" applyBorder="1"/>
    <xf numFmtId="10" fontId="0" fillId="6" borderId="12" xfId="0" applyNumberFormat="1" applyFill="1" applyBorder="1"/>
    <xf numFmtId="2" fontId="15" fillId="0" borderId="95" xfId="0" applyNumberFormat="1" applyFont="1" applyBorder="1"/>
    <xf numFmtId="0" fontId="3" fillId="0" borderId="0" xfId="0" applyFont="1" applyAlignment="1">
      <alignment horizontal="center" vertical="center" wrapText="1"/>
    </xf>
    <xf numFmtId="0" fontId="3" fillId="3" borderId="16" xfId="0" applyFont="1" applyFill="1" applyBorder="1"/>
    <xf numFmtId="0" fontId="6" fillId="0" borderId="25" xfId="0" applyFont="1" applyBorder="1" applyAlignment="1">
      <alignment horizontal="left"/>
    </xf>
    <xf numFmtId="0" fontId="6" fillId="0" borderId="26" xfId="0" applyFont="1" applyBorder="1" applyAlignment="1">
      <alignment horizontal="left"/>
    </xf>
    <xf numFmtId="0" fontId="6" fillId="0" borderId="27" xfId="0" applyFont="1" applyBorder="1" applyAlignment="1">
      <alignment horizontal="left"/>
    </xf>
    <xf numFmtId="0" fontId="6" fillId="0" borderId="20" xfId="0" applyFont="1" applyBorder="1"/>
    <xf numFmtId="0" fontId="6" fillId="0" borderId="21" xfId="0" applyFont="1" applyBorder="1"/>
    <xf numFmtId="0" fontId="6" fillId="0" borderId="22" xfId="0" applyFont="1" applyBorder="1"/>
    <xf numFmtId="0" fontId="6" fillId="0" borderId="20" xfId="0" applyFont="1" applyBorder="1" applyAlignment="1">
      <alignment horizontal="left"/>
    </xf>
    <xf numFmtId="0" fontId="6" fillId="0" borderId="21" xfId="0" applyFont="1" applyBorder="1" applyAlignment="1">
      <alignment horizontal="left"/>
    </xf>
    <xf numFmtId="0" fontId="6" fillId="0" borderId="22" xfId="0" applyFont="1" applyBorder="1" applyAlignment="1">
      <alignment horizontal="left"/>
    </xf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0" fontId="3" fillId="3" borderId="16" xfId="0" applyFont="1" applyFill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23" xfId="0" applyFont="1" applyBorder="1"/>
    <xf numFmtId="0" fontId="6" fillId="0" borderId="0" xfId="0" applyFont="1"/>
    <xf numFmtId="0" fontId="6" fillId="0" borderId="24" xfId="0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0" fontId="6" fillId="0" borderId="17" xfId="0" applyFont="1" applyBorder="1" applyAlignment="1">
      <alignment horizontal="left"/>
    </xf>
    <xf numFmtId="0" fontId="6" fillId="0" borderId="18" xfId="0" applyFont="1" applyBorder="1" applyAlignment="1">
      <alignment horizontal="left"/>
    </xf>
    <xf numFmtId="0" fontId="6" fillId="0" borderId="19" xfId="0" applyFont="1" applyBorder="1" applyAlignment="1">
      <alignment horizontal="left"/>
    </xf>
    <xf numFmtId="0" fontId="3" fillId="3" borderId="33" xfId="0" applyFont="1" applyFill="1" applyBorder="1" applyAlignment="1">
      <alignment horizontal="left"/>
    </xf>
    <xf numFmtId="0" fontId="3" fillId="3" borderId="85" xfId="0" applyFont="1" applyFill="1" applyBorder="1" applyAlignment="1">
      <alignment horizontal="left"/>
    </xf>
    <xf numFmtId="0" fontId="3" fillId="3" borderId="34" xfId="0" applyFont="1" applyFill="1" applyBorder="1" applyAlignment="1">
      <alignment horizontal="left"/>
    </xf>
    <xf numFmtId="0" fontId="3" fillId="3" borderId="12" xfId="0" applyFont="1" applyFill="1" applyBorder="1" applyAlignment="1">
      <alignment horizontal="left"/>
    </xf>
    <xf numFmtId="0" fontId="0" fillId="5" borderId="23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86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7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2" fillId="2" borderId="54" xfId="0" applyFont="1" applyFill="1" applyBorder="1" applyAlignment="1">
      <alignment horizontal="center" vertical="center" wrapText="1"/>
    </xf>
    <xf numFmtId="0" fontId="2" fillId="2" borderId="55" xfId="0" applyFont="1" applyFill="1" applyBorder="1" applyAlignment="1">
      <alignment horizontal="center" vertical="center" wrapText="1"/>
    </xf>
    <xf numFmtId="0" fontId="2" fillId="2" borderId="56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6" fillId="0" borderId="79" xfId="0" applyFont="1" applyBorder="1" applyAlignment="1">
      <alignment horizontal="left"/>
    </xf>
    <xf numFmtId="0" fontId="6" fillId="0" borderId="75" xfId="0" applyFont="1" applyBorder="1" applyAlignment="1">
      <alignment horizontal="left"/>
    </xf>
    <xf numFmtId="0" fontId="6" fillId="0" borderId="76" xfId="0" applyFont="1" applyBorder="1" applyAlignment="1">
      <alignment horizontal="left"/>
    </xf>
    <xf numFmtId="0" fontId="0" fillId="0" borderId="8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82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5" borderId="83" xfId="0" applyFill="1" applyBorder="1" applyAlignment="1">
      <alignment horizontal="center"/>
    </xf>
    <xf numFmtId="0" fontId="0" fillId="5" borderId="52" xfId="0" applyFill="1" applyBorder="1" applyAlignment="1">
      <alignment horizontal="center"/>
    </xf>
    <xf numFmtId="0" fontId="0" fillId="5" borderId="84" xfId="0" applyFill="1" applyBorder="1" applyAlignment="1">
      <alignment horizontal="center"/>
    </xf>
    <xf numFmtId="0" fontId="6" fillId="0" borderId="57" xfId="0" applyFont="1" applyBorder="1" applyAlignment="1">
      <alignment horizontal="left"/>
    </xf>
    <xf numFmtId="0" fontId="6" fillId="0" borderId="58" xfId="0" applyFont="1" applyBorder="1" applyAlignment="1">
      <alignment horizontal="left"/>
    </xf>
    <xf numFmtId="0" fontId="6" fillId="0" borderId="59" xfId="0" applyFont="1" applyBorder="1" applyAlignment="1">
      <alignment horizontal="left"/>
    </xf>
    <xf numFmtId="0" fontId="11" fillId="0" borderId="61" xfId="0" applyFont="1" applyBorder="1" applyAlignment="1">
      <alignment horizontal="left"/>
    </xf>
    <xf numFmtId="0" fontId="11" fillId="0" borderId="62" xfId="0" applyFont="1" applyBorder="1" applyAlignment="1">
      <alignment horizontal="left"/>
    </xf>
    <xf numFmtId="0" fontId="11" fillId="0" borderId="63" xfId="0" applyFont="1" applyBorder="1" applyAlignment="1">
      <alignment horizontal="left"/>
    </xf>
    <xf numFmtId="0" fontId="11" fillId="0" borderId="57" xfId="0" applyFont="1" applyBorder="1" applyAlignment="1">
      <alignment horizontal="left"/>
    </xf>
    <xf numFmtId="0" fontId="11" fillId="0" borderId="58" xfId="0" applyFont="1" applyBorder="1" applyAlignment="1">
      <alignment horizontal="left"/>
    </xf>
    <xf numFmtId="0" fontId="11" fillId="0" borderId="59" xfId="0" applyFont="1" applyBorder="1" applyAlignment="1">
      <alignment horizontal="left"/>
    </xf>
    <xf numFmtId="0" fontId="6" fillId="0" borderId="72" xfId="0" applyFont="1" applyBorder="1" applyAlignment="1">
      <alignment horizontal="left"/>
    </xf>
    <xf numFmtId="0" fontId="6" fillId="0" borderId="73" xfId="0" applyFont="1" applyBorder="1" applyAlignment="1">
      <alignment horizontal="left"/>
    </xf>
    <xf numFmtId="0" fontId="6" fillId="0" borderId="74" xfId="0" applyFont="1" applyBorder="1" applyAlignment="1">
      <alignment horizontal="left"/>
    </xf>
    <xf numFmtId="0" fontId="3" fillId="3" borderId="29" xfId="0" applyFont="1" applyFill="1" applyBorder="1" applyAlignment="1">
      <alignment horizontal="left"/>
    </xf>
    <xf numFmtId="0" fontId="3" fillId="3" borderId="37" xfId="0" applyFont="1" applyFill="1" applyBorder="1" applyAlignment="1">
      <alignment horizontal="left"/>
    </xf>
    <xf numFmtId="0" fontId="3" fillId="3" borderId="38" xfId="0" applyFont="1" applyFill="1" applyBorder="1" applyAlignment="1">
      <alignment horizontal="left"/>
    </xf>
    <xf numFmtId="0" fontId="3" fillId="3" borderId="39" xfId="0" applyFont="1" applyFill="1" applyBorder="1" applyAlignment="1">
      <alignment horizontal="left"/>
    </xf>
    <xf numFmtId="0" fontId="6" fillId="0" borderId="44" xfId="0" applyFont="1" applyBorder="1" applyAlignment="1">
      <alignment horizontal="left"/>
    </xf>
    <xf numFmtId="0" fontId="6" fillId="0" borderId="43" xfId="0" applyFont="1" applyBorder="1" applyAlignment="1">
      <alignment horizontal="left"/>
    </xf>
    <xf numFmtId="0" fontId="3" fillId="3" borderId="30" xfId="0" applyFont="1" applyFill="1" applyBorder="1" applyAlignment="1">
      <alignment horizontal="left"/>
    </xf>
    <xf numFmtId="0" fontId="3" fillId="3" borderId="52" xfId="0" applyFont="1" applyFill="1" applyBorder="1" applyAlignment="1">
      <alignment horizontal="left"/>
    </xf>
    <xf numFmtId="0" fontId="3" fillId="3" borderId="53" xfId="0" applyFont="1" applyFill="1" applyBorder="1" applyAlignment="1">
      <alignment horizontal="left"/>
    </xf>
    <xf numFmtId="0" fontId="3" fillId="3" borderId="48" xfId="0" applyFont="1" applyFill="1" applyBorder="1" applyAlignment="1">
      <alignment horizontal="left"/>
    </xf>
    <xf numFmtId="0" fontId="3" fillId="3" borderId="49" xfId="0" applyFont="1" applyFill="1" applyBorder="1" applyAlignment="1">
      <alignment horizontal="left"/>
    </xf>
    <xf numFmtId="0" fontId="3" fillId="3" borderId="50" xfId="0" applyFont="1" applyFill="1" applyBorder="1" applyAlignment="1">
      <alignment horizontal="left"/>
    </xf>
    <xf numFmtId="0" fontId="11" fillId="0" borderId="64" xfId="0" applyFont="1" applyBorder="1" applyAlignment="1">
      <alignment horizontal="left"/>
    </xf>
    <xf numFmtId="0" fontId="11" fillId="0" borderId="65" xfId="0" applyFont="1" applyBorder="1" applyAlignment="1">
      <alignment horizontal="left"/>
    </xf>
    <xf numFmtId="0" fontId="11" fillId="0" borderId="66" xfId="0" applyFont="1" applyBorder="1" applyAlignment="1">
      <alignment horizontal="left"/>
    </xf>
    <xf numFmtId="0" fontId="11" fillId="0" borderId="69" xfId="0" applyFont="1" applyBorder="1" applyAlignment="1">
      <alignment horizontal="left"/>
    </xf>
    <xf numFmtId="0" fontId="11" fillId="0" borderId="70" xfId="0" applyFont="1" applyBorder="1" applyAlignment="1">
      <alignment horizontal="left"/>
    </xf>
    <xf numFmtId="0" fontId="11" fillId="0" borderId="71" xfId="0" applyFont="1" applyBorder="1" applyAlignment="1">
      <alignment horizontal="left"/>
    </xf>
    <xf numFmtId="0" fontId="11" fillId="0" borderId="72" xfId="0" applyFont="1" applyBorder="1" applyAlignment="1">
      <alignment horizontal="left"/>
    </xf>
    <xf numFmtId="0" fontId="11" fillId="0" borderId="73" xfId="0" applyFont="1" applyBorder="1" applyAlignment="1">
      <alignment horizontal="left"/>
    </xf>
    <xf numFmtId="0" fontId="11" fillId="0" borderId="74" xfId="0" applyFont="1" applyBorder="1" applyAlignment="1">
      <alignment horizontal="left"/>
    </xf>
    <xf numFmtId="0" fontId="3" fillId="3" borderId="67" xfId="0" applyFont="1" applyFill="1" applyBorder="1" applyAlignment="1">
      <alignment horizontal="left"/>
    </xf>
    <xf numFmtId="0" fontId="11" fillId="0" borderId="68" xfId="0" applyFont="1" applyBorder="1" applyAlignment="1">
      <alignment horizontal="left"/>
    </xf>
    <xf numFmtId="0" fontId="0" fillId="0" borderId="0" xfId="0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32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29" xfId="0" applyBorder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8B7B2"/>
      <color rgb="FFF27F76"/>
      <color rgb="FFB8B8B8"/>
      <color rgb="FFD42314"/>
      <color rgb="FFBC7A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Frequency Distribution </a:t>
            </a:r>
          </a:p>
          <a:p>
            <a:pPr>
              <a:defRPr/>
            </a:pPr>
            <a:r>
              <a:rPr lang="en-US" sz="105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- Shear strengths of 80 spot welds in a titanium alloy follow</a:t>
            </a:r>
          </a:p>
        </c:rich>
      </c:tx>
      <c:layout>
        <c:manualLayout>
          <c:xMode val="edge"/>
          <c:yMode val="edge"/>
          <c:x val="0.12983673254651634"/>
          <c:y val="2.94659243212976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'80data(Group)'!$V$2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'80data(Group)'!$U$3:$U$14</c:f>
              <c:strCache>
                <c:ptCount val="12"/>
                <c:pt idx="0">
                  <c:v>76-90</c:v>
                </c:pt>
                <c:pt idx="1">
                  <c:v>91-105</c:v>
                </c:pt>
                <c:pt idx="2">
                  <c:v>106-120</c:v>
                </c:pt>
                <c:pt idx="3">
                  <c:v>121-135</c:v>
                </c:pt>
                <c:pt idx="4">
                  <c:v>136-150</c:v>
                </c:pt>
                <c:pt idx="5">
                  <c:v>151-165</c:v>
                </c:pt>
                <c:pt idx="6">
                  <c:v>166-180</c:v>
                </c:pt>
                <c:pt idx="7">
                  <c:v>181-195</c:v>
                </c:pt>
                <c:pt idx="8">
                  <c:v>196-210</c:v>
                </c:pt>
                <c:pt idx="9">
                  <c:v>211-225</c:v>
                </c:pt>
                <c:pt idx="10">
                  <c:v>226-240</c:v>
                </c:pt>
                <c:pt idx="11">
                  <c:v>241-255</c:v>
                </c:pt>
              </c:strCache>
            </c:strRef>
          </c:cat>
          <c:val>
            <c:numRef>
              <c:f>'80data(Group)'!$V$3:$V$14</c:f>
              <c:numCache>
                <c:formatCode>General</c:formatCode>
                <c:ptCount val="1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16</c:v>
                </c:pt>
                <c:pt idx="6">
                  <c:v>16</c:v>
                </c:pt>
                <c:pt idx="7">
                  <c:v>8</c:v>
                </c:pt>
                <c:pt idx="8">
                  <c:v>7</c:v>
                </c:pt>
                <c:pt idx="9">
                  <c:v>2</c:v>
                </c:pt>
                <c:pt idx="10">
                  <c:v>3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D3-4A28-B3F7-11E72C8C85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147710367"/>
        <c:axId val="1147708927"/>
      </c:barChart>
      <c:catAx>
        <c:axId val="11477103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PH"/>
                  <a:t>Class Interval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708927"/>
        <c:crosses val="autoZero"/>
        <c:auto val="0"/>
        <c:lblAlgn val="ctr"/>
        <c:lblOffset val="100"/>
        <c:noMultiLvlLbl val="0"/>
      </c:catAx>
      <c:valAx>
        <c:axId val="1147708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PH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710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Box 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Box Plot</a:t>
          </a:r>
        </a:p>
      </cx:txPr>
    </cx:title>
    <cx:plotArea>
      <cx:plotAreaRegion>
        <cx:series layoutId="boxWhisker" uniqueId="{1FD31BD2-9DB2-40F7-A3FE-2DC535157AF2}">
          <cx:spPr>
            <a:solidFill>
              <a:schemeClr val="accent2">
                <a:lumMod val="40000"/>
                <a:lumOff val="60000"/>
              </a:schemeClr>
            </a:solidFill>
          </cx:spPr>
          <cx:dataLabels pos="r">
            <cx:spPr>
              <a:ln>
                <a:noFill/>
              </a:ln>
            </cx:spPr>
            <cx:visibility seriesName="0" categoryName="0" value="1"/>
            <cx:separator>, </cx:separator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_xlchart.v1.8</cx:f>
      </cx:numDim>
    </cx:data>
    <cx:data id="1">
      <cx:numDim type="val">
        <cx:f dir="row">_xlchart.v1.9</cx:f>
      </cx:numDim>
    </cx:data>
    <cx:data id="2">
      <cx:numDim type="val">
        <cx:f dir="row">_xlchart.v1.10</cx:f>
      </cx:numDim>
    </cx:data>
    <cx:data id="3">
      <cx:numDim type="val">
        <cx:f dir="row">_xlchart.v1.11</cx:f>
      </cx:numDim>
    </cx:data>
    <cx:data id="4">
      <cx:numDim type="val">
        <cx:f dir="row">_xlchart.v1.12</cx:f>
      </cx:numDim>
    </cx:data>
    <cx:data id="5">
      <cx:numDim type="val">
        <cx:f dir="row">_xlchart.v1.13</cx:f>
      </cx:numDim>
    </cx:data>
    <cx:data id="6">
      <cx:numDim type="val">
        <cx:f dir="row">_xlchart.v1.14</cx:f>
      </cx:numDim>
    </cx:data>
    <cx:data id="7">
      <cx:numDim type="val">
        <cx:f dir="row">_xlchart.v1.5</cx:f>
      </cx:numDim>
    </cx:data>
    <cx:data id="8">
      <cx:numDim type="val">
        <cx:f dir="row">_xlchart.v1.6</cx:f>
      </cx:numDim>
    </cx:data>
    <cx:data id="9">
      <cx:numDim type="val">
        <cx:f dir="row">_xlchart.v1.7</cx:f>
      </cx:numDim>
    </cx:data>
  </cx:chartData>
  <cx:chart>
    <cx:title pos="t" align="ctr" overlay="0"/>
    <cx:plotArea>
      <cx:plotAreaRegion>
        <cx:series layoutId="clusteredColumn" uniqueId="{D9928A95-9016-4BB5-8D86-8179DE636BF7}" formatIdx="0">
          <cx:dataId val="0"/>
          <cx:layoutPr>
            <cx:binning intervalClosed="r"/>
          </cx:layoutPr>
        </cx:series>
        <cx:series layoutId="clusteredColumn" hidden="1" uniqueId="{8648EE4B-FD2C-48D6-991A-AB8744022349}" formatIdx="1">
          <cx:dataId val="1"/>
          <cx:layoutPr>
            <cx:binning intervalClosed="r"/>
          </cx:layoutPr>
        </cx:series>
        <cx:series layoutId="clusteredColumn" hidden="1" uniqueId="{4210961F-68C5-4E5D-9D22-7F6A3E07DE4D}" formatIdx="2">
          <cx:dataId val="2"/>
          <cx:layoutPr>
            <cx:binning intervalClosed="r"/>
          </cx:layoutPr>
        </cx:series>
        <cx:series layoutId="clusteredColumn" hidden="1" uniqueId="{8BF783B5-D278-43F6-A18F-F8AE1BE3D5DE}" formatIdx="3">
          <cx:dataId val="3"/>
          <cx:layoutPr>
            <cx:binning intervalClosed="r"/>
          </cx:layoutPr>
        </cx:series>
        <cx:series layoutId="clusteredColumn" hidden="1" uniqueId="{F211F8D2-E76C-48A1-9D20-44BF80CB5057}" formatIdx="4">
          <cx:dataId val="4"/>
          <cx:layoutPr>
            <cx:binning intervalClosed="r"/>
          </cx:layoutPr>
        </cx:series>
        <cx:series layoutId="clusteredColumn" hidden="1" uniqueId="{2656632C-D81B-415D-A8D0-8871E2090DF2}" formatIdx="5">
          <cx:dataId val="5"/>
          <cx:layoutPr>
            <cx:binning intervalClosed="r"/>
          </cx:layoutPr>
        </cx:series>
        <cx:series layoutId="clusteredColumn" hidden="1" uniqueId="{BAE7D645-C947-4F23-A5EC-716215455D7D}" formatIdx="6">
          <cx:dataId val="6"/>
          <cx:layoutPr>
            <cx:binning intervalClosed="r"/>
          </cx:layoutPr>
        </cx:series>
        <cx:series layoutId="clusteredColumn" hidden="1" uniqueId="{B24B4DBB-0E36-4116-8935-5A65040636D7}" formatIdx="7">
          <cx:dataId val="7"/>
          <cx:layoutPr>
            <cx:binning intervalClosed="r"/>
          </cx:layoutPr>
        </cx:series>
        <cx:series layoutId="clusteredColumn" hidden="1" uniqueId="{3A37ACC2-3B43-4283-B472-76F0D9935889}" formatIdx="8">
          <cx:dataId val="8"/>
          <cx:layoutPr>
            <cx:binning intervalClosed="r"/>
          </cx:layoutPr>
        </cx:series>
        <cx:series layoutId="clusteredColumn" hidden="1" uniqueId="{582F6595-FE94-48FD-9843-250BDEABEF00}" formatIdx="9">
          <cx:dataId val="9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8" Type="http://schemas.microsoft.com/office/2007/relationships/hdphoto" Target="../media/hdphoto2.wdp"/><Relationship Id="rId3" Type="http://schemas.openxmlformats.org/officeDocument/2006/relationships/image" Target="../media/image3.png"/><Relationship Id="rId7" Type="http://schemas.openxmlformats.org/officeDocument/2006/relationships/image" Target="../media/image6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11" Type="http://schemas.openxmlformats.org/officeDocument/2006/relationships/chart" Target="../charts/chart1.xml"/><Relationship Id="rId5" Type="http://schemas.openxmlformats.org/officeDocument/2006/relationships/image" Target="../media/image4.png"/><Relationship Id="rId10" Type="http://schemas.microsoft.com/office/2007/relationships/hdphoto" Target="../media/hdphoto3.wdp"/><Relationship Id="rId4" Type="http://schemas.microsoft.com/office/2007/relationships/hdphoto" Target="../media/hdphoto1.wdp"/><Relationship Id="rId9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8.png"/><Relationship Id="rId7" Type="http://schemas.microsoft.com/office/2007/relationships/hdphoto" Target="../media/hdphoto2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microsoft.com/office/2007/relationships/hdphoto" Target="../media/hdphoto4.wdp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222885</xdr:colOff>
      <xdr:row>1</xdr:row>
      <xdr:rowOff>197167</xdr:rowOff>
    </xdr:from>
    <xdr:to>
      <xdr:col>22</xdr:col>
      <xdr:colOff>904875</xdr:colOff>
      <xdr:row>15</xdr:row>
      <xdr:rowOff>169545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B76EF9FF-2F40-CEC2-5B31-15080D534FD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776835" y="559117"/>
              <a:ext cx="4577715" cy="282987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PH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104776</xdr:colOff>
      <xdr:row>56</xdr:row>
      <xdr:rowOff>95250</xdr:rowOff>
    </xdr:from>
    <xdr:to>
      <xdr:col>11</xdr:col>
      <xdr:colOff>758190</xdr:colOff>
      <xdr:row>59</xdr:row>
      <xdr:rowOff>110049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ACA4817A-6DF3-4F02-8EA0-026A72B9D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86601" y="11125200"/>
          <a:ext cx="1666874" cy="571059"/>
        </a:xfrm>
        <a:prstGeom prst="roundRect">
          <a:avLst>
            <a:gd name="adj" fmla="val 16667"/>
          </a:avLst>
        </a:prstGeom>
        <a:ln>
          <a:noFill/>
        </a:ln>
        <a:effectLst/>
      </xdr:spPr>
    </xdr:pic>
    <xdr:clientData/>
  </xdr:twoCellAnchor>
  <xdr:twoCellAnchor editAs="oneCell">
    <xdr:from>
      <xdr:col>10</xdr:col>
      <xdr:colOff>76200</xdr:colOff>
      <xdr:row>66</xdr:row>
      <xdr:rowOff>104775</xdr:rowOff>
    </xdr:from>
    <xdr:to>
      <xdr:col>11</xdr:col>
      <xdr:colOff>836295</xdr:colOff>
      <xdr:row>69</xdr:row>
      <xdr:rowOff>109625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92864FA-1FC0-432D-BF79-472580E76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58025" y="13039725"/>
          <a:ext cx="1781175" cy="557300"/>
        </a:xfrm>
        <a:prstGeom prst="roundRect">
          <a:avLst>
            <a:gd name="adj" fmla="val 16667"/>
          </a:avLst>
        </a:prstGeom>
        <a:ln>
          <a:noFill/>
        </a:ln>
        <a:effectLst/>
      </xdr:spPr>
    </xdr:pic>
    <xdr:clientData/>
  </xdr:twoCellAnchor>
  <xdr:twoCellAnchor editAs="oneCell">
    <xdr:from>
      <xdr:col>10</xdr:col>
      <xdr:colOff>66676</xdr:colOff>
      <xdr:row>36</xdr:row>
      <xdr:rowOff>95250</xdr:rowOff>
    </xdr:from>
    <xdr:to>
      <xdr:col>11</xdr:col>
      <xdr:colOff>872491</xdr:colOff>
      <xdr:row>39</xdr:row>
      <xdr:rowOff>73900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D689FC09-19D3-4A03-BF1D-11008691FD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aturation sat="33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7048501" y="7315200"/>
          <a:ext cx="1809750" cy="546340"/>
        </a:xfrm>
        <a:prstGeom prst="roundRect">
          <a:avLst>
            <a:gd name="adj" fmla="val 16667"/>
          </a:avLst>
        </a:prstGeom>
        <a:ln>
          <a:noFill/>
        </a:ln>
        <a:effectLst/>
      </xdr:spPr>
    </xdr:pic>
    <xdr:clientData/>
  </xdr:twoCellAnchor>
  <xdr:twoCellAnchor editAs="oneCell">
    <xdr:from>
      <xdr:col>10</xdr:col>
      <xdr:colOff>76200</xdr:colOff>
      <xdr:row>46</xdr:row>
      <xdr:rowOff>161926</xdr:rowOff>
    </xdr:from>
    <xdr:to>
      <xdr:col>11</xdr:col>
      <xdr:colOff>874395</xdr:colOff>
      <xdr:row>49</xdr:row>
      <xdr:rowOff>41722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FB63BB4-966E-4A2B-917E-811D1048C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058025" y="9286876"/>
          <a:ext cx="1819275" cy="458916"/>
        </a:xfrm>
        <a:prstGeom prst="roundRect">
          <a:avLst>
            <a:gd name="adj" fmla="val 16667"/>
          </a:avLst>
        </a:prstGeom>
        <a:ln>
          <a:noFill/>
        </a:ln>
        <a:effectLst/>
      </xdr:spPr>
    </xdr:pic>
    <xdr:clientData/>
  </xdr:twoCellAnchor>
  <xdr:twoCellAnchor editAs="oneCell">
    <xdr:from>
      <xdr:col>10</xdr:col>
      <xdr:colOff>123826</xdr:colOff>
      <xdr:row>80</xdr:row>
      <xdr:rowOff>142876</xdr:rowOff>
    </xdr:from>
    <xdr:to>
      <xdr:col>11</xdr:col>
      <xdr:colOff>567691</xdr:colOff>
      <xdr:row>83</xdr:row>
      <xdr:rowOff>41236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48848E13-9A7B-475D-A287-ACC3BF9AFB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105651" y="15744826"/>
          <a:ext cx="1466850" cy="473670"/>
        </a:xfrm>
        <a:prstGeom prst="roundRect">
          <a:avLst>
            <a:gd name="adj" fmla="val 16667"/>
          </a:avLst>
        </a:prstGeom>
        <a:ln>
          <a:noFill/>
        </a:ln>
        <a:effectLst/>
      </xdr:spPr>
    </xdr:pic>
    <xdr:clientData/>
  </xdr:twoCellAnchor>
  <xdr:twoCellAnchor editAs="oneCell">
    <xdr:from>
      <xdr:col>10</xdr:col>
      <xdr:colOff>28575</xdr:colOff>
      <xdr:row>19</xdr:row>
      <xdr:rowOff>95251</xdr:rowOff>
    </xdr:from>
    <xdr:to>
      <xdr:col>11</xdr:col>
      <xdr:colOff>871749</xdr:colOff>
      <xdr:row>21</xdr:row>
      <xdr:rowOff>72390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9FAC766A-E8B4-40F9-B0C1-D558AD0490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saturation sat="33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7010400" y="4076701"/>
          <a:ext cx="1858539" cy="352424"/>
        </a:xfrm>
        <a:prstGeom prst="roundRect">
          <a:avLst>
            <a:gd name="adj" fmla="val 16667"/>
          </a:avLst>
        </a:prstGeom>
        <a:ln>
          <a:noFill/>
        </a:ln>
        <a:effectLst/>
      </xdr:spPr>
    </xdr:pic>
    <xdr:clientData/>
  </xdr:twoCellAnchor>
  <xdr:twoCellAnchor editAs="oneCell">
    <xdr:from>
      <xdr:col>9</xdr:col>
      <xdr:colOff>828676</xdr:colOff>
      <xdr:row>29</xdr:row>
      <xdr:rowOff>76200</xdr:rowOff>
    </xdr:from>
    <xdr:to>
      <xdr:col>11</xdr:col>
      <xdr:colOff>1371601</xdr:colOff>
      <xdr:row>31</xdr:row>
      <xdr:rowOff>110183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1297AC9F-B038-4115-8B5B-A89C4C20E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BEBA8EAE-BF5A-486C-A8C5-ECC9F3942E4B}">
              <a14:imgProps xmlns:a14="http://schemas.microsoft.com/office/drawing/2010/main">
                <a14:imgLayer r:embed="rId10">
                  <a14:imgEffect>
                    <a14:saturation sat="33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6819901" y="5962650"/>
          <a:ext cx="2552700" cy="411173"/>
        </a:xfrm>
        <a:prstGeom prst="roundRect">
          <a:avLst>
            <a:gd name="adj" fmla="val 16667"/>
          </a:avLst>
        </a:prstGeom>
        <a:ln>
          <a:noFill/>
        </a:ln>
        <a:effectLst/>
      </xdr:spPr>
    </xdr:pic>
    <xdr:clientData/>
  </xdr:twoCellAnchor>
  <xdr:twoCellAnchor>
    <xdr:from>
      <xdr:col>13</xdr:col>
      <xdr:colOff>904876</xdr:colOff>
      <xdr:row>16</xdr:row>
      <xdr:rowOff>100011</xdr:rowOff>
    </xdr:from>
    <xdr:to>
      <xdr:col>18</xdr:col>
      <xdr:colOff>314325</xdr:colOff>
      <xdr:row>30</xdr:row>
      <xdr:rowOff>28575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6CB3EEF7-8440-D5C8-3D54-7D6EE38A4A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274321</xdr:colOff>
      <xdr:row>46</xdr:row>
      <xdr:rowOff>91440</xdr:rowOff>
    </xdr:from>
    <xdr:to>
      <xdr:col>11</xdr:col>
      <xdr:colOff>920115</xdr:colOff>
      <xdr:row>49</xdr:row>
      <xdr:rowOff>108144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A3AA9A-7791-9546-5BC5-44BBD4AECF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49441" y="9585960"/>
          <a:ext cx="1672589" cy="582489"/>
        </a:xfrm>
        <a:prstGeom prst="roundRect">
          <a:avLst>
            <a:gd name="adj" fmla="val 16667"/>
          </a:avLst>
        </a:prstGeom>
        <a:ln>
          <a:noFill/>
        </a:ln>
        <a:effectLst/>
      </xdr:spPr>
    </xdr:pic>
    <xdr:clientData/>
  </xdr:twoCellAnchor>
  <xdr:twoCellAnchor editAs="oneCell">
    <xdr:from>
      <xdr:col>10</xdr:col>
      <xdr:colOff>274320</xdr:colOff>
      <xdr:row>54</xdr:row>
      <xdr:rowOff>106680</xdr:rowOff>
    </xdr:from>
    <xdr:to>
      <xdr:col>11</xdr:col>
      <xdr:colOff>1032510</xdr:colOff>
      <xdr:row>57</xdr:row>
      <xdr:rowOff>109625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E44ACB-BF42-A6D9-E28E-6C78AD6AFB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49440" y="11125200"/>
          <a:ext cx="1783080" cy="574445"/>
        </a:xfrm>
        <a:prstGeom prst="roundRect">
          <a:avLst>
            <a:gd name="adj" fmla="val 16667"/>
          </a:avLst>
        </a:prstGeom>
        <a:ln>
          <a:noFill/>
        </a:ln>
        <a:effectLst/>
      </xdr:spPr>
    </xdr:pic>
    <xdr:clientData/>
  </xdr:twoCellAnchor>
  <xdr:twoCellAnchor editAs="oneCell">
    <xdr:from>
      <xdr:col>10</xdr:col>
      <xdr:colOff>205741</xdr:colOff>
      <xdr:row>26</xdr:row>
      <xdr:rowOff>99060</xdr:rowOff>
    </xdr:from>
    <xdr:to>
      <xdr:col>11</xdr:col>
      <xdr:colOff>1019176</xdr:colOff>
      <xdr:row>29</xdr:row>
      <xdr:rowOff>71995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C6AB8A3-5584-15ED-B611-C31442482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80861" y="5783580"/>
          <a:ext cx="1824990" cy="544435"/>
        </a:xfrm>
        <a:prstGeom prst="roundRect">
          <a:avLst>
            <a:gd name="adj" fmla="val 16667"/>
          </a:avLst>
        </a:prstGeom>
        <a:ln>
          <a:noFill/>
        </a:ln>
        <a:effectLst/>
      </xdr:spPr>
    </xdr:pic>
    <xdr:clientData/>
  </xdr:twoCellAnchor>
  <xdr:twoCellAnchor editAs="oneCell">
    <xdr:from>
      <xdr:col>10</xdr:col>
      <xdr:colOff>213360</xdr:colOff>
      <xdr:row>36</xdr:row>
      <xdr:rowOff>160021</xdr:rowOff>
    </xdr:from>
    <xdr:to>
      <xdr:col>11</xdr:col>
      <xdr:colOff>1021080</xdr:colOff>
      <xdr:row>39</xdr:row>
      <xdr:rowOff>41722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95240B7-6485-3541-02EB-D07AC796F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88480" y="7749541"/>
          <a:ext cx="1821180" cy="453201"/>
        </a:xfrm>
        <a:prstGeom prst="roundRect">
          <a:avLst>
            <a:gd name="adj" fmla="val 16667"/>
          </a:avLst>
        </a:prstGeom>
        <a:ln>
          <a:noFill/>
        </a:ln>
        <a:effectLst/>
      </xdr:spPr>
    </xdr:pic>
    <xdr:clientData/>
  </xdr:twoCellAnchor>
  <xdr:twoCellAnchor editAs="oneCell">
    <xdr:from>
      <xdr:col>10</xdr:col>
      <xdr:colOff>365761</xdr:colOff>
      <xdr:row>66</xdr:row>
      <xdr:rowOff>121921</xdr:rowOff>
    </xdr:from>
    <xdr:to>
      <xdr:col>11</xdr:col>
      <xdr:colOff>828676</xdr:colOff>
      <xdr:row>69</xdr:row>
      <xdr:rowOff>41236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E7DF54A-43BA-5F95-CFCF-0EDFC8E3A4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040881" y="13426441"/>
          <a:ext cx="1474470" cy="490815"/>
        </a:xfrm>
        <a:prstGeom prst="roundRect">
          <a:avLst>
            <a:gd name="adj" fmla="val 16667"/>
          </a:avLst>
        </a:prstGeom>
        <a:ln>
          <a:noFill/>
        </a:ln>
        <a:effectLst/>
      </xdr:spPr>
    </xdr:pic>
    <xdr:clientData/>
  </xdr:twoCellAnchor>
  <xdr:twoCellAnchor editAs="oneCell">
    <xdr:from>
      <xdr:col>5</xdr:col>
      <xdr:colOff>270510</xdr:colOff>
      <xdr:row>18</xdr:row>
      <xdr:rowOff>28576</xdr:rowOff>
    </xdr:from>
    <xdr:to>
      <xdr:col>8</xdr:col>
      <xdr:colOff>501015</xdr:colOff>
      <xdr:row>19</xdr:row>
      <xdr:rowOff>187161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E77D53E-BC4A-4385-BCCB-01ABE87904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saturation sat="33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3638550" y="3823336"/>
          <a:ext cx="1784985" cy="349085"/>
        </a:xfrm>
        <a:prstGeom prst="roundRect">
          <a:avLst>
            <a:gd name="adj" fmla="val 16667"/>
          </a:avLst>
        </a:prstGeom>
        <a:ln>
          <a:noFill/>
        </a:ln>
        <a:effectLst/>
      </xdr:spPr>
    </xdr:pic>
    <xdr:clientData/>
  </xdr:twoCellAnchor>
  <xdr:twoCellAnchor editAs="oneCell">
    <xdr:from>
      <xdr:col>5</xdr:col>
      <xdr:colOff>240030</xdr:colOff>
      <xdr:row>23</xdr:row>
      <xdr:rowOff>3810</xdr:rowOff>
    </xdr:from>
    <xdr:to>
      <xdr:col>8</xdr:col>
      <xdr:colOff>565642</xdr:colOff>
      <xdr:row>24</xdr:row>
      <xdr:rowOff>165735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216BFA6-608E-44BA-B3EA-FE8234350F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BEBA8EAE-BF5A-486C-A8C5-ECC9F3942E4B}">
              <a14:imgProps xmlns:a14="http://schemas.microsoft.com/office/drawing/2010/main">
                <a14:imgLayer r:embed="rId9">
                  <a14:imgEffect>
                    <a14:saturation sat="33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3608070" y="4751070"/>
          <a:ext cx="1880092" cy="352425"/>
        </a:xfrm>
        <a:prstGeom prst="roundRect">
          <a:avLst>
            <a:gd name="adj" fmla="val 16667"/>
          </a:avLst>
        </a:prstGeom>
        <a:ln>
          <a:noFill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104776</xdr:colOff>
      <xdr:row>47</xdr:row>
      <xdr:rowOff>95250</xdr:rowOff>
    </xdr:from>
    <xdr:to>
      <xdr:col>11</xdr:col>
      <xdr:colOff>758190</xdr:colOff>
      <xdr:row>50</xdr:row>
      <xdr:rowOff>110049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9F45D1-8388-44D1-BD2F-4E3732B08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72276" y="9220200"/>
          <a:ext cx="1666874" cy="571059"/>
        </a:xfrm>
        <a:prstGeom prst="roundRect">
          <a:avLst>
            <a:gd name="adj" fmla="val 16667"/>
          </a:avLst>
        </a:prstGeom>
        <a:ln>
          <a:noFill/>
        </a:ln>
        <a:effectLst/>
      </xdr:spPr>
    </xdr:pic>
    <xdr:clientData/>
  </xdr:twoCellAnchor>
  <xdr:twoCellAnchor editAs="oneCell">
    <xdr:from>
      <xdr:col>10</xdr:col>
      <xdr:colOff>76200</xdr:colOff>
      <xdr:row>55</xdr:row>
      <xdr:rowOff>104775</xdr:rowOff>
    </xdr:from>
    <xdr:to>
      <xdr:col>11</xdr:col>
      <xdr:colOff>838200</xdr:colOff>
      <xdr:row>58</xdr:row>
      <xdr:rowOff>109625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284E5DF-C18C-4AE5-AB04-7F08D641D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43700" y="10753725"/>
          <a:ext cx="1781175" cy="557300"/>
        </a:xfrm>
        <a:prstGeom prst="roundRect">
          <a:avLst>
            <a:gd name="adj" fmla="val 16667"/>
          </a:avLst>
        </a:prstGeom>
        <a:ln>
          <a:noFill/>
        </a:ln>
        <a:effectLst/>
      </xdr:spPr>
    </xdr:pic>
    <xdr:clientData/>
  </xdr:twoCellAnchor>
  <xdr:twoCellAnchor editAs="oneCell">
    <xdr:from>
      <xdr:col>10</xdr:col>
      <xdr:colOff>66676</xdr:colOff>
      <xdr:row>27</xdr:row>
      <xdr:rowOff>95250</xdr:rowOff>
    </xdr:from>
    <xdr:to>
      <xdr:col>11</xdr:col>
      <xdr:colOff>872491</xdr:colOff>
      <xdr:row>30</xdr:row>
      <xdr:rowOff>71995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04AC851-AF21-4ABA-B7AC-B76AB32027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34176" y="5410200"/>
          <a:ext cx="1809750" cy="546340"/>
        </a:xfrm>
        <a:prstGeom prst="roundRect">
          <a:avLst>
            <a:gd name="adj" fmla="val 16667"/>
          </a:avLst>
        </a:prstGeom>
        <a:ln>
          <a:noFill/>
        </a:ln>
        <a:effectLst/>
      </xdr:spPr>
    </xdr:pic>
    <xdr:clientData/>
  </xdr:twoCellAnchor>
  <xdr:twoCellAnchor editAs="oneCell">
    <xdr:from>
      <xdr:col>10</xdr:col>
      <xdr:colOff>76200</xdr:colOff>
      <xdr:row>37</xdr:row>
      <xdr:rowOff>161926</xdr:rowOff>
    </xdr:from>
    <xdr:to>
      <xdr:col>11</xdr:col>
      <xdr:colOff>876300</xdr:colOff>
      <xdr:row>40</xdr:row>
      <xdr:rowOff>41722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81D33A3-CC51-4B23-8B41-3014AF70A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43700" y="7381876"/>
          <a:ext cx="1819275" cy="458916"/>
        </a:xfrm>
        <a:prstGeom prst="roundRect">
          <a:avLst>
            <a:gd name="adj" fmla="val 16667"/>
          </a:avLst>
        </a:prstGeom>
        <a:ln>
          <a:noFill/>
        </a:ln>
        <a:effectLst/>
      </xdr:spPr>
    </xdr:pic>
    <xdr:clientData/>
  </xdr:twoCellAnchor>
  <xdr:twoCellAnchor editAs="oneCell">
    <xdr:from>
      <xdr:col>10</xdr:col>
      <xdr:colOff>152401</xdr:colOff>
      <xdr:row>67</xdr:row>
      <xdr:rowOff>152401</xdr:rowOff>
    </xdr:from>
    <xdr:to>
      <xdr:col>11</xdr:col>
      <xdr:colOff>605791</xdr:colOff>
      <xdr:row>70</xdr:row>
      <xdr:rowOff>71716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703EAEF-0A6E-4DF8-A431-A4262E7F07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19901" y="13087351"/>
          <a:ext cx="1466850" cy="473670"/>
        </a:xfrm>
        <a:prstGeom prst="roundRect">
          <a:avLst>
            <a:gd name="adj" fmla="val 16667"/>
          </a:avLst>
        </a:prstGeom>
        <a:ln>
          <a:noFill/>
        </a:ln>
        <a:effectLst/>
      </xdr:spPr>
    </xdr:pic>
    <xdr:clientData/>
  </xdr:twoCellAnchor>
  <xdr:twoCellAnchor editAs="oneCell">
    <xdr:from>
      <xdr:col>10</xdr:col>
      <xdr:colOff>274321</xdr:colOff>
      <xdr:row>47</xdr:row>
      <xdr:rowOff>91440</xdr:rowOff>
    </xdr:from>
    <xdr:to>
      <xdr:col>11</xdr:col>
      <xdr:colOff>918210</xdr:colOff>
      <xdr:row>50</xdr:row>
      <xdr:rowOff>110049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2C581A2-9841-404D-A2FF-EC92B49889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47536" y="9224010"/>
          <a:ext cx="1666874" cy="586299"/>
        </a:xfrm>
        <a:prstGeom prst="roundRect">
          <a:avLst>
            <a:gd name="adj" fmla="val 16667"/>
          </a:avLst>
        </a:prstGeom>
        <a:ln>
          <a:noFill/>
        </a:ln>
        <a:effectLst/>
      </xdr:spPr>
    </xdr:pic>
    <xdr:clientData/>
  </xdr:twoCellAnchor>
  <xdr:twoCellAnchor editAs="oneCell">
    <xdr:from>
      <xdr:col>10</xdr:col>
      <xdr:colOff>274320</xdr:colOff>
      <xdr:row>55</xdr:row>
      <xdr:rowOff>106680</xdr:rowOff>
    </xdr:from>
    <xdr:to>
      <xdr:col>11</xdr:col>
      <xdr:colOff>1032510</xdr:colOff>
      <xdr:row>58</xdr:row>
      <xdr:rowOff>109625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2F27C9C-2F9D-4EEB-831A-071DF6E0AA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47535" y="10761345"/>
          <a:ext cx="1781175" cy="572540"/>
        </a:xfrm>
        <a:prstGeom prst="roundRect">
          <a:avLst>
            <a:gd name="adj" fmla="val 16667"/>
          </a:avLst>
        </a:prstGeom>
        <a:ln>
          <a:noFill/>
        </a:ln>
        <a:effectLst/>
      </xdr:spPr>
    </xdr:pic>
    <xdr:clientData/>
  </xdr:twoCellAnchor>
  <xdr:twoCellAnchor editAs="oneCell">
    <xdr:from>
      <xdr:col>10</xdr:col>
      <xdr:colOff>205741</xdr:colOff>
      <xdr:row>27</xdr:row>
      <xdr:rowOff>99060</xdr:rowOff>
    </xdr:from>
    <xdr:to>
      <xdr:col>11</xdr:col>
      <xdr:colOff>1024891</xdr:colOff>
      <xdr:row>30</xdr:row>
      <xdr:rowOff>71995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BD26CE8-A0BA-4671-9E29-5155773A9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84671" y="5421630"/>
          <a:ext cx="1832610" cy="540625"/>
        </a:xfrm>
        <a:prstGeom prst="roundRect">
          <a:avLst>
            <a:gd name="adj" fmla="val 16667"/>
          </a:avLst>
        </a:prstGeom>
        <a:ln>
          <a:noFill/>
        </a:ln>
        <a:effectLst/>
      </xdr:spPr>
    </xdr:pic>
    <xdr:clientData/>
  </xdr:twoCellAnchor>
  <xdr:twoCellAnchor editAs="oneCell">
    <xdr:from>
      <xdr:col>10</xdr:col>
      <xdr:colOff>213360</xdr:colOff>
      <xdr:row>37</xdr:row>
      <xdr:rowOff>160021</xdr:rowOff>
    </xdr:from>
    <xdr:to>
      <xdr:col>11</xdr:col>
      <xdr:colOff>1024890</xdr:colOff>
      <xdr:row>40</xdr:row>
      <xdr:rowOff>41722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FB1C7DB-2B77-469F-8AB8-3F64846DF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92290" y="7381876"/>
          <a:ext cx="1826895" cy="455106"/>
        </a:xfrm>
        <a:prstGeom prst="roundRect">
          <a:avLst>
            <a:gd name="adj" fmla="val 16667"/>
          </a:avLst>
        </a:prstGeom>
        <a:ln>
          <a:noFill/>
        </a:ln>
        <a:effectLst/>
      </xdr:spPr>
    </xdr:pic>
    <xdr:clientData/>
  </xdr:twoCellAnchor>
  <xdr:twoCellAnchor editAs="oneCell">
    <xdr:from>
      <xdr:col>10</xdr:col>
      <xdr:colOff>365761</xdr:colOff>
      <xdr:row>67</xdr:row>
      <xdr:rowOff>121921</xdr:rowOff>
    </xdr:from>
    <xdr:to>
      <xdr:col>11</xdr:col>
      <xdr:colOff>834391</xdr:colOff>
      <xdr:row>70</xdr:row>
      <xdr:rowOff>41236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EFF9021-0ACE-4D23-A82A-E1439A8E72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044691" y="13058776"/>
          <a:ext cx="1482090" cy="492720"/>
        </a:xfrm>
        <a:prstGeom prst="roundRect">
          <a:avLst>
            <a:gd name="adj" fmla="val 16667"/>
          </a:avLst>
        </a:prstGeom>
        <a:ln>
          <a:noFill/>
        </a:ln>
        <a:effectLst/>
      </xdr:spPr>
    </xdr:pic>
    <xdr:clientData/>
  </xdr:twoCellAnchor>
  <xdr:twoCellAnchor editAs="oneCell">
    <xdr:from>
      <xdr:col>10</xdr:col>
      <xdr:colOff>274321</xdr:colOff>
      <xdr:row>46</xdr:row>
      <xdr:rowOff>91440</xdr:rowOff>
    </xdr:from>
    <xdr:to>
      <xdr:col>11</xdr:col>
      <xdr:colOff>918210</xdr:colOff>
      <xdr:row>49</xdr:row>
      <xdr:rowOff>110049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F273560-1BAC-421B-90C8-1FEE348609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47536" y="9224010"/>
          <a:ext cx="1666874" cy="586299"/>
        </a:xfrm>
        <a:prstGeom prst="roundRect">
          <a:avLst>
            <a:gd name="adj" fmla="val 16667"/>
          </a:avLst>
        </a:prstGeom>
        <a:ln>
          <a:noFill/>
        </a:ln>
        <a:effectLst/>
      </xdr:spPr>
    </xdr:pic>
    <xdr:clientData/>
  </xdr:twoCellAnchor>
  <xdr:twoCellAnchor editAs="oneCell">
    <xdr:from>
      <xdr:col>10</xdr:col>
      <xdr:colOff>274320</xdr:colOff>
      <xdr:row>54</xdr:row>
      <xdr:rowOff>106680</xdr:rowOff>
    </xdr:from>
    <xdr:to>
      <xdr:col>11</xdr:col>
      <xdr:colOff>1032510</xdr:colOff>
      <xdr:row>57</xdr:row>
      <xdr:rowOff>109625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859F6CB-2F21-4C21-B81E-BBEAA4A88D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47535" y="10761345"/>
          <a:ext cx="1781175" cy="572540"/>
        </a:xfrm>
        <a:prstGeom prst="roundRect">
          <a:avLst>
            <a:gd name="adj" fmla="val 16667"/>
          </a:avLst>
        </a:prstGeom>
        <a:ln>
          <a:noFill/>
        </a:ln>
        <a:effectLst/>
      </xdr:spPr>
    </xdr:pic>
    <xdr:clientData/>
  </xdr:twoCellAnchor>
  <xdr:twoCellAnchor editAs="oneCell">
    <xdr:from>
      <xdr:col>10</xdr:col>
      <xdr:colOff>205741</xdr:colOff>
      <xdr:row>26</xdr:row>
      <xdr:rowOff>99060</xdr:rowOff>
    </xdr:from>
    <xdr:to>
      <xdr:col>11</xdr:col>
      <xdr:colOff>1024891</xdr:colOff>
      <xdr:row>29</xdr:row>
      <xdr:rowOff>71995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B5E5ED3-E6C9-4D15-B19D-915B48D1B7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84671" y="5421630"/>
          <a:ext cx="1832610" cy="540625"/>
        </a:xfrm>
        <a:prstGeom prst="roundRect">
          <a:avLst>
            <a:gd name="adj" fmla="val 16667"/>
          </a:avLst>
        </a:prstGeom>
        <a:ln>
          <a:noFill/>
        </a:ln>
        <a:effectLst/>
      </xdr:spPr>
    </xdr:pic>
    <xdr:clientData/>
  </xdr:twoCellAnchor>
  <xdr:twoCellAnchor editAs="oneCell">
    <xdr:from>
      <xdr:col>10</xdr:col>
      <xdr:colOff>213360</xdr:colOff>
      <xdr:row>36</xdr:row>
      <xdr:rowOff>160021</xdr:rowOff>
    </xdr:from>
    <xdr:to>
      <xdr:col>11</xdr:col>
      <xdr:colOff>1024890</xdr:colOff>
      <xdr:row>39</xdr:row>
      <xdr:rowOff>41722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C515150-15D3-461F-97A1-94AAA86F1E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92290" y="7381876"/>
          <a:ext cx="1826895" cy="455106"/>
        </a:xfrm>
        <a:prstGeom prst="roundRect">
          <a:avLst>
            <a:gd name="adj" fmla="val 16667"/>
          </a:avLst>
        </a:prstGeom>
        <a:ln>
          <a:noFill/>
        </a:ln>
        <a:effectLst/>
      </xdr:spPr>
    </xdr:pic>
    <xdr:clientData/>
  </xdr:twoCellAnchor>
  <xdr:twoCellAnchor editAs="oneCell">
    <xdr:from>
      <xdr:col>10</xdr:col>
      <xdr:colOff>365761</xdr:colOff>
      <xdr:row>66</xdr:row>
      <xdr:rowOff>121921</xdr:rowOff>
    </xdr:from>
    <xdr:to>
      <xdr:col>11</xdr:col>
      <xdr:colOff>834391</xdr:colOff>
      <xdr:row>69</xdr:row>
      <xdr:rowOff>41236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79CBD9F-7ABC-4733-A1AE-E12467D59A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044691" y="13058776"/>
          <a:ext cx="1482090" cy="492720"/>
        </a:xfrm>
        <a:prstGeom prst="roundRect">
          <a:avLst>
            <a:gd name="adj" fmla="val 16667"/>
          </a:avLst>
        </a:prstGeom>
        <a:ln>
          <a:noFill/>
        </a:ln>
        <a:effectLst/>
      </xdr:spPr>
    </xdr:pic>
    <xdr:clientData/>
  </xdr:twoCellAnchor>
  <xdr:twoCellAnchor editAs="oneCell">
    <xdr:from>
      <xdr:col>10</xdr:col>
      <xdr:colOff>274321</xdr:colOff>
      <xdr:row>46</xdr:row>
      <xdr:rowOff>91440</xdr:rowOff>
    </xdr:from>
    <xdr:to>
      <xdr:col>11</xdr:col>
      <xdr:colOff>918210</xdr:colOff>
      <xdr:row>49</xdr:row>
      <xdr:rowOff>110049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D1C22E33-FC5E-4B52-B424-1C772DAA5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47536" y="9224010"/>
          <a:ext cx="1666874" cy="586299"/>
        </a:xfrm>
        <a:prstGeom prst="roundRect">
          <a:avLst>
            <a:gd name="adj" fmla="val 16667"/>
          </a:avLst>
        </a:prstGeom>
        <a:ln>
          <a:noFill/>
        </a:ln>
        <a:effectLst/>
      </xdr:spPr>
    </xdr:pic>
    <xdr:clientData/>
  </xdr:twoCellAnchor>
  <xdr:twoCellAnchor editAs="oneCell">
    <xdr:from>
      <xdr:col>10</xdr:col>
      <xdr:colOff>274320</xdr:colOff>
      <xdr:row>54</xdr:row>
      <xdr:rowOff>106680</xdr:rowOff>
    </xdr:from>
    <xdr:to>
      <xdr:col>11</xdr:col>
      <xdr:colOff>1032510</xdr:colOff>
      <xdr:row>57</xdr:row>
      <xdr:rowOff>109625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E0338F66-DB47-44EB-BBD0-A8870A0021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47535" y="10761345"/>
          <a:ext cx="1781175" cy="572540"/>
        </a:xfrm>
        <a:prstGeom prst="roundRect">
          <a:avLst>
            <a:gd name="adj" fmla="val 16667"/>
          </a:avLst>
        </a:prstGeom>
        <a:ln>
          <a:noFill/>
        </a:ln>
        <a:effectLst/>
      </xdr:spPr>
    </xdr:pic>
    <xdr:clientData/>
  </xdr:twoCellAnchor>
  <xdr:twoCellAnchor editAs="oneCell">
    <xdr:from>
      <xdr:col>10</xdr:col>
      <xdr:colOff>205741</xdr:colOff>
      <xdr:row>26</xdr:row>
      <xdr:rowOff>99060</xdr:rowOff>
    </xdr:from>
    <xdr:to>
      <xdr:col>11</xdr:col>
      <xdr:colOff>1021081</xdr:colOff>
      <xdr:row>29</xdr:row>
      <xdr:rowOff>71995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A362B841-D67D-4ADF-AC65-17B26B3A79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84671" y="5421630"/>
          <a:ext cx="1832610" cy="540625"/>
        </a:xfrm>
        <a:prstGeom prst="roundRect">
          <a:avLst>
            <a:gd name="adj" fmla="val 16667"/>
          </a:avLst>
        </a:prstGeom>
        <a:ln>
          <a:noFill/>
        </a:ln>
        <a:effectLst/>
      </xdr:spPr>
    </xdr:pic>
    <xdr:clientData/>
  </xdr:twoCellAnchor>
  <xdr:twoCellAnchor editAs="oneCell">
    <xdr:from>
      <xdr:col>10</xdr:col>
      <xdr:colOff>213360</xdr:colOff>
      <xdr:row>36</xdr:row>
      <xdr:rowOff>160021</xdr:rowOff>
    </xdr:from>
    <xdr:to>
      <xdr:col>11</xdr:col>
      <xdr:colOff>1022985</xdr:colOff>
      <xdr:row>39</xdr:row>
      <xdr:rowOff>41722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263AAA4F-5A63-4193-8B5D-89D2A13033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92290" y="7381876"/>
          <a:ext cx="1826895" cy="455106"/>
        </a:xfrm>
        <a:prstGeom prst="roundRect">
          <a:avLst>
            <a:gd name="adj" fmla="val 16667"/>
          </a:avLst>
        </a:prstGeom>
        <a:ln>
          <a:noFill/>
        </a:ln>
        <a:effectLst/>
      </xdr:spPr>
    </xdr:pic>
    <xdr:clientData/>
  </xdr:twoCellAnchor>
  <xdr:twoCellAnchor editAs="oneCell">
    <xdr:from>
      <xdr:col>10</xdr:col>
      <xdr:colOff>365761</xdr:colOff>
      <xdr:row>66</xdr:row>
      <xdr:rowOff>121921</xdr:rowOff>
    </xdr:from>
    <xdr:to>
      <xdr:col>11</xdr:col>
      <xdr:colOff>830581</xdr:colOff>
      <xdr:row>69</xdr:row>
      <xdr:rowOff>41236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F8D398E5-8921-4804-8C8C-22A6C7CBB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044691" y="13058776"/>
          <a:ext cx="1482090" cy="492720"/>
        </a:xfrm>
        <a:prstGeom prst="roundRect">
          <a:avLst>
            <a:gd name="adj" fmla="val 16667"/>
          </a:avLst>
        </a:prstGeom>
        <a:ln>
          <a:noFill/>
        </a:ln>
        <a:effec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219074</xdr:colOff>
      <xdr:row>0</xdr:row>
      <xdr:rowOff>309562</xdr:rowOff>
    </xdr:from>
    <xdr:to>
      <xdr:col>22</xdr:col>
      <xdr:colOff>1076324</xdr:colOff>
      <xdr:row>13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A68DE99-E094-5573-123A-7FCF11A2E3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125574" y="309562"/>
              <a:ext cx="3781425" cy="25288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PH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352425</xdr:colOff>
      <xdr:row>3</xdr:row>
      <xdr:rowOff>76200</xdr:rowOff>
    </xdr:from>
    <xdr:to>
      <xdr:col>27</xdr:col>
      <xdr:colOff>200025</xdr:colOff>
      <xdr:row>19</xdr:row>
      <xdr:rowOff>102171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F44C83-E036-3B75-6EF1-58640650DF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9425" y="647700"/>
          <a:ext cx="7772400" cy="307397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045B2-97F0-4ADE-8D42-F88B3AEB95E0}">
  <dimension ref="A1:AB83"/>
  <sheetViews>
    <sheetView tabSelected="1" zoomScaleNormal="100" workbookViewId="0">
      <selection activeCell="U22" sqref="U22"/>
    </sheetView>
  </sheetViews>
  <sheetFormatPr defaultRowHeight="15" x14ac:dyDescent="0.25"/>
  <cols>
    <col min="1" max="2" width="11" style="48" customWidth="1"/>
    <col min="3" max="3" width="10.85546875" style="48" customWidth="1"/>
    <col min="4" max="4" width="14.28515625" style="1" customWidth="1"/>
    <col min="5" max="5" width="13.85546875" style="1" customWidth="1"/>
    <col min="6" max="6" width="10.7109375" style="1" customWidth="1"/>
    <col min="7" max="7" width="8.28515625" style="1" customWidth="1"/>
    <col min="8" max="8" width="10.140625" style="1" customWidth="1"/>
    <col min="9" max="9" width="5" style="1" customWidth="1"/>
    <col min="10" max="10" width="14.7109375" style="48" customWidth="1"/>
    <col min="11" max="11" width="15.140625" style="48" customWidth="1"/>
    <col min="12" max="12" width="4.140625" style="1" customWidth="1"/>
    <col min="13" max="13" width="6.5703125" style="36" bestFit="1" customWidth="1"/>
    <col min="14" max="14" width="12.42578125" style="48" customWidth="1"/>
    <col min="15" max="15" width="10.7109375" style="52" customWidth="1"/>
    <col min="16" max="16" width="14.42578125" style="52" customWidth="1"/>
    <col min="17" max="17" width="15" style="1" customWidth="1"/>
    <col min="18" max="18" width="7.28515625" style="1" customWidth="1"/>
    <col min="19" max="19" width="11.28515625" style="1" bestFit="1" customWidth="1"/>
    <col min="20" max="20" width="12" style="1" bestFit="1" customWidth="1"/>
    <col min="21" max="21" width="20.5703125" style="1" customWidth="1"/>
    <col min="22" max="22" width="7.28515625" style="1" customWidth="1"/>
    <col min="23" max="23" width="24.7109375" style="2" customWidth="1"/>
    <col min="24" max="16384" width="9.140625" style="1"/>
  </cols>
  <sheetData>
    <row r="1" spans="1:28" ht="28.5" customHeight="1" x14ac:dyDescent="0.25">
      <c r="A1" s="191" t="s">
        <v>0</v>
      </c>
      <c r="B1" s="191"/>
      <c r="C1" s="191"/>
      <c r="D1" s="191"/>
      <c r="E1" s="191"/>
      <c r="F1" s="191"/>
      <c r="G1" s="191"/>
      <c r="H1" s="191"/>
      <c r="J1" s="192" t="s">
        <v>1</v>
      </c>
      <c r="K1" s="193"/>
      <c r="M1" s="194" t="s">
        <v>2</v>
      </c>
      <c r="N1" s="195"/>
      <c r="O1" s="195"/>
      <c r="P1" s="195"/>
      <c r="Q1" s="196"/>
      <c r="R1" s="2"/>
      <c r="S1" s="3"/>
      <c r="X1" s="2"/>
      <c r="Y1" s="2"/>
      <c r="Z1" s="3"/>
      <c r="AA1" s="3"/>
      <c r="AB1" s="3"/>
    </row>
    <row r="2" spans="1:28" ht="30" x14ac:dyDescent="0.25">
      <c r="A2" s="197" t="s">
        <v>3</v>
      </c>
      <c r="B2" s="197"/>
      <c r="C2" s="197"/>
      <c r="D2" s="197"/>
      <c r="E2" s="197"/>
      <c r="F2" s="197"/>
      <c r="G2" s="197"/>
      <c r="H2" s="5"/>
      <c r="I2" s="6"/>
      <c r="J2" s="7" t="s">
        <v>4</v>
      </c>
      <c r="K2" s="7" t="s">
        <v>5</v>
      </c>
      <c r="L2" s="8"/>
      <c r="M2" s="9" t="s">
        <v>6</v>
      </c>
      <c r="N2" s="10" t="s">
        <v>4</v>
      </c>
      <c r="O2" s="11" t="s">
        <v>7</v>
      </c>
      <c r="P2" s="11" t="s">
        <v>8</v>
      </c>
      <c r="Q2" s="12" t="s">
        <v>9</v>
      </c>
      <c r="R2" s="13"/>
      <c r="S2" s="3"/>
      <c r="T2" s="3"/>
      <c r="U2" s="3"/>
    </row>
    <row r="3" spans="1:28" x14ac:dyDescent="0.25">
      <c r="A3" s="14">
        <v>105</v>
      </c>
      <c r="B3" s="14">
        <v>221</v>
      </c>
      <c r="C3" s="14">
        <v>183</v>
      </c>
      <c r="D3" s="14">
        <v>186</v>
      </c>
      <c r="E3" s="14">
        <v>121</v>
      </c>
      <c r="F3" s="14">
        <v>181</v>
      </c>
      <c r="G3" s="14">
        <v>180</v>
      </c>
      <c r="H3" s="14">
        <v>143</v>
      </c>
      <c r="I3" s="15"/>
      <c r="J3" s="14" cm="1">
        <f t="array" ref="J3">INDEX($A$3:$H$12,INT((ROW(J3)-ROW(J$3))/COLUMNS($A$3:$H$12))+1,MOD(ROW(J3)-ROW(J$3),COLUMNS($A$3:$H$12))+1)</f>
        <v>105</v>
      </c>
      <c r="K3" s="14">
        <f t="shared" ref="K3:K66" si="0">COUNTIF($J$3:$J$82, J3)</f>
        <v>1</v>
      </c>
      <c r="L3" s="8"/>
      <c r="M3" s="16">
        <v>1</v>
      </c>
      <c r="N3" s="17">
        <v>76</v>
      </c>
      <c r="O3" s="18">
        <f>N3-$E$14</f>
        <v>-86.662499999999994</v>
      </c>
      <c r="P3" s="18">
        <f>O3^2</f>
        <v>7510.3889062499993</v>
      </c>
      <c r="Q3" s="18">
        <f>ABS(O3)</f>
        <v>86.662499999999994</v>
      </c>
      <c r="R3" s="13"/>
      <c r="S3" s="3"/>
      <c r="T3" s="3"/>
      <c r="U3" s="3"/>
    </row>
    <row r="4" spans="1:28" x14ac:dyDescent="0.25">
      <c r="A4" s="14">
        <v>97</v>
      </c>
      <c r="B4" s="14">
        <v>154</v>
      </c>
      <c r="C4" s="14">
        <v>153</v>
      </c>
      <c r="D4" s="14">
        <v>174</v>
      </c>
      <c r="E4" s="14">
        <v>120</v>
      </c>
      <c r="F4" s="14">
        <v>168</v>
      </c>
      <c r="G4" s="14">
        <v>167</v>
      </c>
      <c r="H4" s="14">
        <v>141</v>
      </c>
      <c r="I4" s="15"/>
      <c r="J4" s="14" cm="1">
        <f t="array" ref="J4">INDEX($A$3:$H$12,INT((ROW(J4)-ROW(J$3))/COLUMNS($A$3:$H$12))+1,MOD(ROW(J4)-ROW(J$3),COLUMNS($A$3:$H$12))+1)</f>
        <v>221</v>
      </c>
      <c r="K4" s="14">
        <f t="shared" si="0"/>
        <v>1</v>
      </c>
      <c r="L4" s="8"/>
      <c r="M4" s="16">
        <v>2</v>
      </c>
      <c r="N4" s="17">
        <v>87</v>
      </c>
      <c r="O4" s="18">
        <f t="shared" ref="O4:O67" si="1">N4-$E$14</f>
        <v>-75.662499999999994</v>
      </c>
      <c r="P4" s="18">
        <f t="shared" ref="P4:P67" si="2">O4^2</f>
        <v>5724.8139062499995</v>
      </c>
      <c r="Q4" s="18">
        <f t="shared" ref="Q4:Q67" si="3">ABS(O4)</f>
        <v>75.662499999999994</v>
      </c>
      <c r="R4" s="13"/>
      <c r="S4" s="3"/>
      <c r="T4" s="3"/>
      <c r="U4" s="3"/>
    </row>
    <row r="5" spans="1:28" x14ac:dyDescent="0.25">
      <c r="A5" s="14">
        <v>245</v>
      </c>
      <c r="B5" s="14">
        <v>228</v>
      </c>
      <c r="C5" s="14">
        <v>174</v>
      </c>
      <c r="D5" s="14">
        <v>199</v>
      </c>
      <c r="E5" s="19">
        <v>181</v>
      </c>
      <c r="F5" s="14">
        <v>158</v>
      </c>
      <c r="G5" s="14">
        <v>176</v>
      </c>
      <c r="H5" s="14">
        <v>110</v>
      </c>
      <c r="I5" s="15"/>
      <c r="J5" s="14" cm="1">
        <f t="array" ref="J5">INDEX($A$3:$H$12,INT((ROW(J5)-ROW(J$3))/COLUMNS($A$3:$H$12))+1,MOD(ROW(J5)-ROW(J$3),COLUMNS($A$3:$H$12))+1)</f>
        <v>183</v>
      </c>
      <c r="K5" s="14">
        <f t="shared" si="0"/>
        <v>1</v>
      </c>
      <c r="L5" s="8"/>
      <c r="M5" s="16">
        <v>3</v>
      </c>
      <c r="N5" s="20">
        <v>97</v>
      </c>
      <c r="O5" s="18">
        <f t="shared" si="1"/>
        <v>-65.662499999999994</v>
      </c>
      <c r="P5" s="18">
        <f t="shared" si="2"/>
        <v>4311.5639062499995</v>
      </c>
      <c r="Q5" s="18">
        <f t="shared" si="3"/>
        <v>65.662499999999994</v>
      </c>
      <c r="R5" s="13"/>
      <c r="S5" s="3"/>
      <c r="T5" s="3"/>
      <c r="U5" s="3"/>
    </row>
    <row r="6" spans="1:28" x14ac:dyDescent="0.25">
      <c r="A6" s="14">
        <v>163</v>
      </c>
      <c r="B6" s="14">
        <v>131</v>
      </c>
      <c r="C6" s="14">
        <v>154</v>
      </c>
      <c r="D6" s="14">
        <v>115</v>
      </c>
      <c r="E6" s="19">
        <v>160</v>
      </c>
      <c r="F6" s="14">
        <v>208</v>
      </c>
      <c r="G6" s="14">
        <v>158</v>
      </c>
      <c r="H6" s="14">
        <v>133</v>
      </c>
      <c r="I6" s="15"/>
      <c r="J6" s="14" cm="1">
        <f t="array" ref="J6">INDEX($A$3:$H$12,INT((ROW(J6)-ROW(J$3))/COLUMNS($A$3:$H$12))+1,MOD(ROW(J6)-ROW(J$3),COLUMNS($A$3:$H$12))+1)</f>
        <v>186</v>
      </c>
      <c r="K6" s="14">
        <f t="shared" si="0"/>
        <v>1</v>
      </c>
      <c r="L6" s="8"/>
      <c r="M6" s="16">
        <v>4</v>
      </c>
      <c r="N6" s="17">
        <v>101</v>
      </c>
      <c r="O6" s="18">
        <f t="shared" si="1"/>
        <v>-61.662499999999994</v>
      </c>
      <c r="P6" s="18">
        <f t="shared" si="2"/>
        <v>3802.2639062499993</v>
      </c>
      <c r="Q6" s="18">
        <f t="shared" si="3"/>
        <v>61.662499999999994</v>
      </c>
      <c r="R6" s="13"/>
      <c r="S6" s="3"/>
      <c r="T6" s="3"/>
      <c r="U6" s="3"/>
    </row>
    <row r="7" spans="1:28" x14ac:dyDescent="0.25">
      <c r="A7" s="14">
        <v>207</v>
      </c>
      <c r="B7" s="14">
        <v>180</v>
      </c>
      <c r="C7" s="14">
        <v>190</v>
      </c>
      <c r="D7" s="14">
        <v>193</v>
      </c>
      <c r="E7" s="14">
        <v>194</v>
      </c>
      <c r="F7" s="14">
        <v>133</v>
      </c>
      <c r="G7" s="14">
        <v>156</v>
      </c>
      <c r="H7" s="14">
        <v>123</v>
      </c>
      <c r="I7" s="15"/>
      <c r="J7" s="14" cm="1">
        <f t="array" ref="J7">INDEX($A$3:$H$12,INT((ROW(J7)-ROW(J$3))/COLUMNS($A$3:$H$12))+1,MOD(ROW(J7)-ROW(J$3),COLUMNS($A$3:$H$12))+1)</f>
        <v>121</v>
      </c>
      <c r="K7" s="14">
        <f t="shared" si="0"/>
        <v>1</v>
      </c>
      <c r="L7" s="8"/>
      <c r="M7" s="16">
        <v>5</v>
      </c>
      <c r="N7" s="20">
        <v>105</v>
      </c>
      <c r="O7" s="18">
        <f t="shared" si="1"/>
        <v>-57.662499999999994</v>
      </c>
      <c r="P7" s="18">
        <f t="shared" si="2"/>
        <v>3324.9639062499991</v>
      </c>
      <c r="Q7" s="18">
        <f t="shared" si="3"/>
        <v>57.662499999999994</v>
      </c>
      <c r="R7" s="13"/>
    </row>
    <row r="8" spans="1:28" x14ac:dyDescent="0.25">
      <c r="A8" s="14">
        <v>134</v>
      </c>
      <c r="B8" s="14">
        <v>178</v>
      </c>
      <c r="C8" s="14">
        <v>76</v>
      </c>
      <c r="D8" s="14">
        <v>167</v>
      </c>
      <c r="E8" s="14">
        <v>184</v>
      </c>
      <c r="F8" s="14">
        <v>135</v>
      </c>
      <c r="G8" s="14">
        <v>229</v>
      </c>
      <c r="H8" s="14">
        <v>146</v>
      </c>
      <c r="I8" s="15"/>
      <c r="J8" s="14" cm="1">
        <f t="array" ref="J8">INDEX($A$3:$H$12,INT((ROW(J8)-ROW(J$3))/COLUMNS($A$3:$H$12))+1,MOD(ROW(J8)-ROW(J$3),COLUMNS($A$3:$H$12))+1)</f>
        <v>181</v>
      </c>
      <c r="K8" s="14">
        <f t="shared" si="0"/>
        <v>2</v>
      </c>
      <c r="L8" s="8"/>
      <c r="M8" s="16">
        <v>6</v>
      </c>
      <c r="N8" s="17">
        <v>110</v>
      </c>
      <c r="O8" s="18">
        <f t="shared" si="1"/>
        <v>-52.662499999999994</v>
      </c>
      <c r="P8" s="18">
        <f t="shared" si="2"/>
        <v>2773.3389062499996</v>
      </c>
      <c r="Q8" s="18">
        <f t="shared" si="3"/>
        <v>52.662499999999994</v>
      </c>
      <c r="R8" s="13"/>
    </row>
    <row r="9" spans="1:28" x14ac:dyDescent="0.25">
      <c r="A9" s="14">
        <v>218</v>
      </c>
      <c r="B9" s="14">
        <v>157</v>
      </c>
      <c r="C9" s="14">
        <v>101</v>
      </c>
      <c r="D9" s="14">
        <v>171</v>
      </c>
      <c r="E9" s="14">
        <v>165</v>
      </c>
      <c r="F9" s="14">
        <v>172</v>
      </c>
      <c r="G9" s="14">
        <v>158</v>
      </c>
      <c r="H9" s="14">
        <v>169</v>
      </c>
      <c r="I9" s="15"/>
      <c r="J9" s="14" cm="1">
        <f t="array" ref="J9">INDEX($A$3:$H$12,INT((ROW(J9)-ROW(J$3))/COLUMNS($A$3:$H$12))+1,MOD(ROW(J9)-ROW(J$3),COLUMNS($A$3:$H$12))+1)</f>
        <v>180</v>
      </c>
      <c r="K9" s="14">
        <f t="shared" si="0"/>
        <v>2</v>
      </c>
      <c r="L9" s="8"/>
      <c r="M9" s="16">
        <v>7</v>
      </c>
      <c r="N9" s="17">
        <v>115</v>
      </c>
      <c r="O9" s="18">
        <f t="shared" si="1"/>
        <v>-47.662499999999994</v>
      </c>
      <c r="P9" s="18">
        <f t="shared" si="2"/>
        <v>2271.7139062499996</v>
      </c>
      <c r="Q9" s="18">
        <f t="shared" si="3"/>
        <v>47.662499999999994</v>
      </c>
      <c r="R9" s="13"/>
      <c r="S9" s="2"/>
      <c r="T9" s="2"/>
      <c r="U9" s="2"/>
    </row>
    <row r="10" spans="1:28" x14ac:dyDescent="0.25">
      <c r="A10" s="14">
        <v>199</v>
      </c>
      <c r="B10" s="14">
        <v>151</v>
      </c>
      <c r="C10" s="14">
        <v>142</v>
      </c>
      <c r="D10" s="14">
        <v>163</v>
      </c>
      <c r="E10" s="14">
        <v>145</v>
      </c>
      <c r="F10" s="14">
        <v>171</v>
      </c>
      <c r="G10" s="14">
        <v>148</v>
      </c>
      <c r="H10" s="14">
        <v>158</v>
      </c>
      <c r="I10" s="15"/>
      <c r="J10" s="14" cm="1">
        <f t="array" ref="J10">INDEX($A$3:$H$12,INT((ROW(J10)-ROW(J$3))/COLUMNS($A$3:$H$12))+1,MOD(ROW(J10)-ROW(J$3),COLUMNS($A$3:$H$12))+1)</f>
        <v>143</v>
      </c>
      <c r="K10" s="14">
        <f t="shared" si="0"/>
        <v>1</v>
      </c>
      <c r="L10" s="8"/>
      <c r="M10" s="16">
        <v>8</v>
      </c>
      <c r="N10" s="17">
        <v>118</v>
      </c>
      <c r="O10" s="18">
        <f t="shared" si="1"/>
        <v>-44.662499999999994</v>
      </c>
      <c r="P10" s="18">
        <f t="shared" si="2"/>
        <v>1994.7389062499994</v>
      </c>
      <c r="Q10" s="18">
        <f t="shared" si="3"/>
        <v>44.662499999999994</v>
      </c>
      <c r="R10" s="13"/>
      <c r="S10" s="2"/>
      <c r="T10" s="2"/>
      <c r="U10" s="2"/>
    </row>
    <row r="11" spans="1:28" x14ac:dyDescent="0.25">
      <c r="A11" s="14">
        <v>160</v>
      </c>
      <c r="B11" s="14">
        <v>175</v>
      </c>
      <c r="C11" s="14">
        <v>149</v>
      </c>
      <c r="D11" s="14">
        <v>87</v>
      </c>
      <c r="E11" s="14">
        <v>160</v>
      </c>
      <c r="F11" s="14">
        <v>237</v>
      </c>
      <c r="G11" s="14">
        <v>150</v>
      </c>
      <c r="H11" s="14">
        <v>135</v>
      </c>
      <c r="I11" s="15"/>
      <c r="J11" s="14" cm="1">
        <f t="array" ref="J11">INDEX($A$3:$H$12,INT((ROW(J11)-ROW(J$3))/COLUMNS($A$3:$H$12))+1,MOD(ROW(J11)-ROW(J$3),COLUMNS($A$3:$H$12))+1)</f>
        <v>97</v>
      </c>
      <c r="K11" s="14">
        <f t="shared" si="0"/>
        <v>1</v>
      </c>
      <c r="L11" s="8"/>
      <c r="M11" s="16">
        <v>9</v>
      </c>
      <c r="N11" s="20">
        <v>120</v>
      </c>
      <c r="O11" s="18">
        <f t="shared" si="1"/>
        <v>-42.662499999999994</v>
      </c>
      <c r="P11" s="18">
        <f t="shared" si="2"/>
        <v>1820.0889062499996</v>
      </c>
      <c r="Q11" s="18">
        <f t="shared" si="3"/>
        <v>42.662499999999994</v>
      </c>
      <c r="R11" s="13"/>
      <c r="S11" s="2"/>
      <c r="T11" s="2"/>
      <c r="U11" s="2"/>
    </row>
    <row r="12" spans="1:28" x14ac:dyDescent="0.25">
      <c r="A12" s="14">
        <v>196</v>
      </c>
      <c r="B12" s="14">
        <v>201</v>
      </c>
      <c r="C12" s="14">
        <v>200</v>
      </c>
      <c r="D12" s="14">
        <v>176</v>
      </c>
      <c r="E12" s="14">
        <v>150</v>
      </c>
      <c r="F12" s="14">
        <v>170</v>
      </c>
      <c r="G12" s="14">
        <v>118</v>
      </c>
      <c r="H12" s="14">
        <v>149</v>
      </c>
      <c r="I12" s="15"/>
      <c r="J12" s="14" cm="1">
        <f t="array" ref="J12">INDEX($A$3:$H$12,INT((ROW(J12)-ROW(J$3))/COLUMNS($A$3:$H$12))+1,MOD(ROW(J12)-ROW(J$3),COLUMNS($A$3:$H$12))+1)</f>
        <v>154</v>
      </c>
      <c r="K12" s="14">
        <f t="shared" si="0"/>
        <v>2</v>
      </c>
      <c r="L12" s="8"/>
      <c r="M12" s="16">
        <v>10</v>
      </c>
      <c r="N12" s="20">
        <v>121</v>
      </c>
      <c r="O12" s="18">
        <f t="shared" si="1"/>
        <v>-41.662499999999994</v>
      </c>
      <c r="P12" s="18">
        <f t="shared" si="2"/>
        <v>1735.7639062499995</v>
      </c>
      <c r="Q12" s="18">
        <f t="shared" si="3"/>
        <v>41.662499999999994</v>
      </c>
      <c r="R12" s="13"/>
      <c r="S12" s="2"/>
      <c r="T12" s="2"/>
      <c r="U12" s="2"/>
    </row>
    <row r="13" spans="1:28" x14ac:dyDescent="0.25">
      <c r="A13" s="21"/>
      <c r="B13" s="22"/>
      <c r="C13" s="22"/>
      <c r="D13" s="23"/>
      <c r="E13" s="23"/>
      <c r="F13" s="24"/>
      <c r="G13" s="24"/>
      <c r="H13" s="24"/>
      <c r="I13" s="6"/>
      <c r="J13" s="14" cm="1">
        <f t="array" ref="J13">INDEX($A$3:$H$12,INT((ROW(J13)-ROW(J$3))/COLUMNS($A$3:$H$12))+1,MOD(ROW(J13)-ROW(J$3),COLUMNS($A$3:$H$12))+1)</f>
        <v>153</v>
      </c>
      <c r="K13" s="14">
        <f t="shared" si="0"/>
        <v>1</v>
      </c>
      <c r="L13" s="8"/>
      <c r="M13" s="16">
        <v>11</v>
      </c>
      <c r="N13" s="17">
        <v>123</v>
      </c>
      <c r="O13" s="18">
        <f t="shared" si="1"/>
        <v>-39.662499999999994</v>
      </c>
      <c r="P13" s="18">
        <f t="shared" si="2"/>
        <v>1573.1139062499994</v>
      </c>
      <c r="Q13" s="18">
        <f t="shared" si="3"/>
        <v>39.662499999999994</v>
      </c>
      <c r="R13" s="13"/>
      <c r="S13" s="2"/>
      <c r="T13" s="2"/>
      <c r="U13" s="2"/>
    </row>
    <row r="14" spans="1:28" x14ac:dyDescent="0.25">
      <c r="A14" s="25">
        <v>1</v>
      </c>
      <c r="B14" s="184" t="s">
        <v>10</v>
      </c>
      <c r="C14" s="184"/>
      <c r="D14" s="184"/>
      <c r="E14" s="26" cm="1">
        <f t="array" ref="E14">SUM($A$3:$H$12/E15)</f>
        <v>162.66249999999999</v>
      </c>
      <c r="F14" s="27"/>
      <c r="I14" s="6"/>
      <c r="J14" s="14" cm="1">
        <f t="array" ref="J14">INDEX($A$3:$H$12,INT((ROW(J14)-ROW(J$3))/COLUMNS($A$3:$H$12))+1,MOD(ROW(J14)-ROW(J$3),COLUMNS($A$3:$H$12))+1)</f>
        <v>174</v>
      </c>
      <c r="K14" s="14">
        <f t="shared" si="0"/>
        <v>2</v>
      </c>
      <c r="L14" s="8"/>
      <c r="M14" s="16">
        <v>12</v>
      </c>
      <c r="N14" s="17">
        <v>131</v>
      </c>
      <c r="O14" s="18">
        <f t="shared" si="1"/>
        <v>-31.662499999999994</v>
      </c>
      <c r="P14" s="18">
        <f t="shared" si="2"/>
        <v>1002.5139062499996</v>
      </c>
      <c r="Q14" s="18">
        <f t="shared" si="3"/>
        <v>31.662499999999994</v>
      </c>
      <c r="R14" s="13"/>
      <c r="S14" s="2"/>
      <c r="T14" s="2"/>
      <c r="U14" s="2"/>
      <c r="W14" s="28"/>
    </row>
    <row r="15" spans="1:28" x14ac:dyDescent="0.25">
      <c r="A15" s="29"/>
      <c r="B15" s="198" t="s">
        <v>11</v>
      </c>
      <c r="C15" s="199"/>
      <c r="D15" s="200"/>
      <c r="E15" s="30">
        <f>COUNT($A$3:$H$12)</f>
        <v>80</v>
      </c>
      <c r="I15" s="6"/>
      <c r="J15" s="14" cm="1">
        <f t="array" ref="J15">INDEX($A$3:$H$12,INT((ROW(J15)-ROW(J$3))/COLUMNS($A$3:$H$12))+1,MOD(ROW(J15)-ROW(J$3),COLUMNS($A$3:$H$12))+1)</f>
        <v>120</v>
      </c>
      <c r="K15" s="14">
        <f t="shared" si="0"/>
        <v>1</v>
      </c>
      <c r="L15" s="8"/>
      <c r="M15" s="16">
        <v>13</v>
      </c>
      <c r="N15" s="17">
        <v>133</v>
      </c>
      <c r="O15" s="18">
        <f t="shared" si="1"/>
        <v>-29.662499999999994</v>
      </c>
      <c r="P15" s="18">
        <f t="shared" si="2"/>
        <v>879.86390624999967</v>
      </c>
      <c r="Q15" s="18">
        <f t="shared" si="3"/>
        <v>29.662499999999994</v>
      </c>
      <c r="R15" s="13"/>
      <c r="S15" s="2"/>
      <c r="T15" s="2"/>
      <c r="U15" s="2"/>
    </row>
    <row r="16" spans="1:28" x14ac:dyDescent="0.25">
      <c r="A16" s="25">
        <v>2</v>
      </c>
      <c r="B16" s="184" t="s">
        <v>12</v>
      </c>
      <c r="C16" s="184"/>
      <c r="D16" s="184"/>
      <c r="E16" s="26">
        <f>(E18+E19)/2</f>
        <v>161.5</v>
      </c>
      <c r="F16" s="27"/>
      <c r="I16" s="6"/>
      <c r="J16" s="14" cm="1">
        <f t="array" ref="J16">INDEX($A$3:$H$12,INT((ROW(J16)-ROW(J$3))/COLUMNS($A$3:$H$12))+1,MOD(ROW(J16)-ROW(J$3),COLUMNS($A$3:$H$12))+1)</f>
        <v>168</v>
      </c>
      <c r="K16" s="14">
        <f t="shared" si="0"/>
        <v>1</v>
      </c>
      <c r="L16" s="8"/>
      <c r="M16" s="16">
        <v>14</v>
      </c>
      <c r="N16" s="17">
        <v>133</v>
      </c>
      <c r="O16" s="18">
        <f t="shared" si="1"/>
        <v>-29.662499999999994</v>
      </c>
      <c r="P16" s="18">
        <f t="shared" si="2"/>
        <v>879.86390624999967</v>
      </c>
      <c r="Q16" s="18">
        <f t="shared" si="3"/>
        <v>29.662499999999994</v>
      </c>
      <c r="R16" s="13"/>
      <c r="S16" s="2"/>
      <c r="T16" s="2"/>
      <c r="U16" s="2"/>
    </row>
    <row r="17" spans="1:24" x14ac:dyDescent="0.25">
      <c r="A17" s="29"/>
      <c r="B17" s="178" t="s">
        <v>13</v>
      </c>
      <c r="C17" s="179"/>
      <c r="D17" s="180"/>
      <c r="E17" s="31">
        <f>COUNT(A3:H12)/2</f>
        <v>40</v>
      </c>
      <c r="I17" s="6"/>
      <c r="J17" s="14" cm="1">
        <f t="array" ref="J17">INDEX($A$3:$H$12,INT((ROW(J17)-ROW(J$3))/COLUMNS($A$3:$H$12))+1,MOD(ROW(J17)-ROW(J$3),COLUMNS($A$3:$H$12))+1)</f>
        <v>167</v>
      </c>
      <c r="K17" s="14">
        <f t="shared" si="0"/>
        <v>2</v>
      </c>
      <c r="L17" s="8"/>
      <c r="M17" s="16">
        <v>15</v>
      </c>
      <c r="N17" s="17">
        <v>134</v>
      </c>
      <c r="O17" s="18">
        <f t="shared" si="1"/>
        <v>-28.662499999999994</v>
      </c>
      <c r="P17" s="18">
        <f t="shared" si="2"/>
        <v>821.53890624999963</v>
      </c>
      <c r="Q17" s="18">
        <f t="shared" si="3"/>
        <v>28.662499999999994</v>
      </c>
      <c r="R17" s="13"/>
      <c r="S17" s="2"/>
      <c r="T17" s="2"/>
      <c r="U17" s="2"/>
    </row>
    <row r="18" spans="1:24" x14ac:dyDescent="0.25">
      <c r="A18" s="32"/>
      <c r="B18" s="33" t="s">
        <v>14</v>
      </c>
      <c r="C18" s="34"/>
      <c r="D18" s="35"/>
      <c r="E18" s="36">
        <f>SMALL($A$3:$H$12, E17)</f>
        <v>160</v>
      </c>
      <c r="I18" s="6"/>
      <c r="J18" s="14" cm="1">
        <f t="array" ref="J18">INDEX($A$3:$H$12,INT((ROW(J18)-ROW(J$3))/COLUMNS($A$3:$H$12))+1,MOD(ROW(J18)-ROW(J$3),COLUMNS($A$3:$H$12))+1)</f>
        <v>141</v>
      </c>
      <c r="K18" s="14">
        <f t="shared" si="0"/>
        <v>1</v>
      </c>
      <c r="L18" s="8"/>
      <c r="M18" s="16">
        <v>16</v>
      </c>
      <c r="N18" s="17">
        <v>135</v>
      </c>
      <c r="O18" s="18">
        <f t="shared" si="1"/>
        <v>-27.662499999999994</v>
      </c>
      <c r="P18" s="18">
        <f t="shared" si="2"/>
        <v>765.2139062499997</v>
      </c>
      <c r="Q18" s="18">
        <f t="shared" si="3"/>
        <v>27.662499999999994</v>
      </c>
      <c r="R18" s="13"/>
      <c r="S18" s="2"/>
      <c r="T18" s="2"/>
      <c r="U18" s="2"/>
    </row>
    <row r="19" spans="1:24" x14ac:dyDescent="0.25">
      <c r="A19" s="32"/>
      <c r="B19" s="185" t="s">
        <v>15</v>
      </c>
      <c r="C19" s="186"/>
      <c r="D19" s="187"/>
      <c r="E19" s="37">
        <f>SMALL($A$3:$H$12, E17+1)</f>
        <v>163</v>
      </c>
      <c r="I19" s="6"/>
      <c r="J19" s="14" cm="1">
        <f t="array" ref="J19">INDEX($A$3:$H$12,INT((ROW(J19)-ROW(J$3))/COLUMNS($A$3:$H$12))+1,MOD(ROW(J19)-ROW(J$3),COLUMNS($A$3:$H$12))+1)</f>
        <v>245</v>
      </c>
      <c r="K19" s="14">
        <f t="shared" si="0"/>
        <v>1</v>
      </c>
      <c r="L19" s="8"/>
      <c r="M19" s="16">
        <v>17</v>
      </c>
      <c r="N19" s="17">
        <v>135</v>
      </c>
      <c r="O19" s="18">
        <f t="shared" si="1"/>
        <v>-27.662499999999994</v>
      </c>
      <c r="P19" s="18">
        <f t="shared" si="2"/>
        <v>765.2139062499997</v>
      </c>
      <c r="Q19" s="18">
        <f t="shared" si="3"/>
        <v>27.662499999999994</v>
      </c>
      <c r="R19" s="13"/>
      <c r="S19" s="2"/>
      <c r="T19" s="2"/>
      <c r="U19" s="2"/>
    </row>
    <row r="20" spans="1:24" x14ac:dyDescent="0.25">
      <c r="A20" s="38">
        <v>3</v>
      </c>
      <c r="B20" s="171" t="s">
        <v>16</v>
      </c>
      <c r="C20" s="171"/>
      <c r="D20" s="171"/>
      <c r="E20" s="26">
        <f>INDEX(J3:J82,MATCH(E21,K3:K82,0))</f>
        <v>158</v>
      </c>
      <c r="F20" s="27"/>
      <c r="I20" s="6"/>
      <c r="J20" s="14" cm="1">
        <f t="array" ref="J20">INDEX($A$3:$H$12,INT((ROW(J20)-ROW(J$3))/COLUMNS($A$3:$H$12))+1,MOD(ROW(J20)-ROW(J$3),COLUMNS($A$3:$H$12))+1)</f>
        <v>228</v>
      </c>
      <c r="K20" s="14">
        <f t="shared" si="0"/>
        <v>1</v>
      </c>
      <c r="L20" s="8"/>
      <c r="M20" s="16">
        <v>18</v>
      </c>
      <c r="N20" s="17">
        <v>141</v>
      </c>
      <c r="O20" s="18">
        <f t="shared" si="1"/>
        <v>-21.662499999999994</v>
      </c>
      <c r="P20" s="18">
        <f t="shared" si="2"/>
        <v>469.26390624999976</v>
      </c>
      <c r="Q20" s="18">
        <f t="shared" si="3"/>
        <v>21.662499999999994</v>
      </c>
      <c r="R20" s="13"/>
      <c r="S20" s="2"/>
      <c r="T20" s="2"/>
      <c r="U20" s="2"/>
    </row>
    <row r="21" spans="1:24" x14ac:dyDescent="0.25">
      <c r="A21" s="39"/>
      <c r="B21" s="188" t="s">
        <v>17</v>
      </c>
      <c r="C21" s="189"/>
      <c r="D21" s="190"/>
      <c r="E21" s="30">
        <f>MAX(K3:K82)</f>
        <v>4</v>
      </c>
      <c r="F21" s="27"/>
      <c r="I21" s="6"/>
      <c r="J21" s="14" cm="1">
        <f t="array" ref="J21">INDEX($A$3:$H$12,INT((ROW(J21)-ROW(J$3))/COLUMNS($A$3:$H$12))+1,MOD(ROW(J21)-ROW(J$3),COLUMNS($A$3:$H$12))+1)</f>
        <v>174</v>
      </c>
      <c r="K21" s="14">
        <f t="shared" si="0"/>
        <v>2</v>
      </c>
      <c r="L21" s="8"/>
      <c r="M21" s="16">
        <v>19</v>
      </c>
      <c r="N21" s="17">
        <v>142</v>
      </c>
      <c r="O21" s="18">
        <f t="shared" si="1"/>
        <v>-20.662499999999994</v>
      </c>
      <c r="P21" s="18">
        <f t="shared" si="2"/>
        <v>426.93890624999977</v>
      </c>
      <c r="Q21" s="18">
        <f t="shared" si="3"/>
        <v>20.662499999999994</v>
      </c>
      <c r="R21" s="13"/>
      <c r="S21" s="2"/>
      <c r="T21" s="2"/>
      <c r="U21" s="2"/>
    </row>
    <row r="22" spans="1:24" x14ac:dyDescent="0.25">
      <c r="A22" s="38">
        <v>4</v>
      </c>
      <c r="B22" s="171" t="s">
        <v>18</v>
      </c>
      <c r="C22" s="171"/>
      <c r="D22" s="171"/>
      <c r="E22" s="26">
        <f>E24</f>
        <v>143.5</v>
      </c>
      <c r="F22" s="27"/>
      <c r="I22" s="6"/>
      <c r="J22" s="14" cm="1">
        <f t="array" ref="J22">INDEX($A$3:$H$12,INT((ROW(J22)-ROW(J$3))/COLUMNS($A$3:$H$12))+1,MOD(ROW(J22)-ROW(J$3),COLUMNS($A$3:$H$12))+1)</f>
        <v>199</v>
      </c>
      <c r="K22" s="14">
        <f t="shared" si="0"/>
        <v>2</v>
      </c>
      <c r="L22" s="8"/>
      <c r="M22" s="16">
        <v>20</v>
      </c>
      <c r="N22" s="20">
        <v>143</v>
      </c>
      <c r="O22" s="18">
        <f t="shared" si="1"/>
        <v>-19.662499999999994</v>
      </c>
      <c r="P22" s="18">
        <f t="shared" si="2"/>
        <v>386.61390624999979</v>
      </c>
      <c r="Q22" s="18">
        <f t="shared" si="3"/>
        <v>19.662499999999994</v>
      </c>
      <c r="R22" s="13"/>
      <c r="S22" s="2"/>
      <c r="T22" s="2"/>
      <c r="U22" s="2"/>
      <c r="W22" s="40"/>
    </row>
    <row r="23" spans="1:24" x14ac:dyDescent="0.25">
      <c r="A23" s="39"/>
      <c r="B23" s="175" t="s">
        <v>122</v>
      </c>
      <c r="C23" s="176"/>
      <c r="D23" s="177"/>
      <c r="E23" s="31">
        <f>(E15+1)/4</f>
        <v>20.25</v>
      </c>
      <c r="F23" s="27"/>
      <c r="I23" s="6"/>
      <c r="J23" s="14" cm="1">
        <f t="array" ref="J23">INDEX($A$3:$H$12,INT((ROW(J23)-ROW(J$3))/COLUMNS($A$3:$H$12))+1,MOD(ROW(J23)-ROW(J$3),COLUMNS($A$3:$H$12))+1)</f>
        <v>181</v>
      </c>
      <c r="K23" s="14">
        <f t="shared" si="0"/>
        <v>2</v>
      </c>
      <c r="L23" s="8"/>
      <c r="M23" s="16">
        <v>21</v>
      </c>
      <c r="N23" s="17">
        <v>145</v>
      </c>
      <c r="O23" s="18">
        <f t="shared" si="1"/>
        <v>-17.662499999999994</v>
      </c>
      <c r="P23" s="18">
        <f t="shared" si="2"/>
        <v>311.96390624999981</v>
      </c>
      <c r="Q23" s="18">
        <f t="shared" si="3"/>
        <v>17.662499999999994</v>
      </c>
      <c r="R23" s="13"/>
      <c r="S23" s="2"/>
      <c r="T23" s="2"/>
      <c r="U23" s="2"/>
      <c r="W23" s="40"/>
    </row>
    <row r="24" spans="1:24" x14ac:dyDescent="0.25">
      <c r="A24" s="39"/>
      <c r="B24" s="181" t="s">
        <v>20</v>
      </c>
      <c r="C24" s="182"/>
      <c r="D24" s="183"/>
      <c r="E24" s="37">
        <f>(N23-N22)*0.25+N22</f>
        <v>143.5</v>
      </c>
      <c r="I24" s="6"/>
      <c r="J24" s="14" cm="1">
        <f t="array" ref="J24">INDEX($A$3:$H$12,INT((ROW(J24)-ROW(J$3))/COLUMNS($A$3:$H$12))+1,MOD(ROW(J24)-ROW(J$3),COLUMNS($A$3:$H$12))+1)</f>
        <v>158</v>
      </c>
      <c r="K24" s="14">
        <f t="shared" si="0"/>
        <v>4</v>
      </c>
      <c r="L24" s="8"/>
      <c r="M24" s="16">
        <v>22</v>
      </c>
      <c r="N24" s="17">
        <v>146</v>
      </c>
      <c r="O24" s="18">
        <f t="shared" si="1"/>
        <v>-16.662499999999994</v>
      </c>
      <c r="P24" s="18">
        <f t="shared" si="2"/>
        <v>277.63890624999982</v>
      </c>
      <c r="Q24" s="18">
        <f t="shared" si="3"/>
        <v>16.662499999999994</v>
      </c>
      <c r="R24" s="13"/>
      <c r="S24" s="2"/>
      <c r="T24" s="2"/>
      <c r="U24" s="2"/>
      <c r="W24" s="40"/>
      <c r="X24" s="41"/>
    </row>
    <row r="25" spans="1:24" x14ac:dyDescent="0.25">
      <c r="A25" s="38">
        <v>5</v>
      </c>
      <c r="B25" s="171" t="s">
        <v>21</v>
      </c>
      <c r="C25" s="171"/>
      <c r="D25" s="171"/>
      <c r="E25" s="26">
        <f>E27</f>
        <v>181</v>
      </c>
      <c r="F25" s="27"/>
      <c r="I25" s="6"/>
      <c r="J25" s="14" cm="1">
        <f t="array" ref="J25">INDEX($A$3:$H$12,INT((ROW(J25)-ROW(J$3))/COLUMNS($A$3:$H$12))+1,MOD(ROW(J25)-ROW(J$3),COLUMNS($A$3:$H$12))+1)</f>
        <v>176</v>
      </c>
      <c r="K25" s="14">
        <f t="shared" si="0"/>
        <v>2</v>
      </c>
      <c r="L25" s="8"/>
      <c r="M25" s="16">
        <v>23</v>
      </c>
      <c r="N25" s="17">
        <v>148</v>
      </c>
      <c r="O25" s="18">
        <f t="shared" si="1"/>
        <v>-14.662499999999994</v>
      </c>
      <c r="P25" s="18">
        <f t="shared" si="2"/>
        <v>214.98890624999984</v>
      </c>
      <c r="Q25" s="18">
        <f t="shared" si="3"/>
        <v>14.662499999999994</v>
      </c>
      <c r="R25" s="13"/>
      <c r="S25" s="2"/>
      <c r="T25" s="2"/>
      <c r="U25" s="2"/>
    </row>
    <row r="26" spans="1:24" x14ac:dyDescent="0.25">
      <c r="A26" s="39"/>
      <c r="B26" s="175" t="s">
        <v>121</v>
      </c>
      <c r="C26" s="176"/>
      <c r="D26" s="177"/>
      <c r="E26" s="31">
        <f>((E15+1)*3)/4</f>
        <v>60.75</v>
      </c>
      <c r="F26" s="27"/>
      <c r="I26" s="6"/>
      <c r="J26" s="14" cm="1">
        <f t="array" ref="J26">INDEX($A$3:$H$12,INT((ROW(J26)-ROW(J$3))/COLUMNS($A$3:$H$12))+1,MOD(ROW(J26)-ROW(J$3),COLUMNS($A$3:$H$12))+1)</f>
        <v>110</v>
      </c>
      <c r="K26" s="14">
        <f t="shared" si="0"/>
        <v>1</v>
      </c>
      <c r="L26" s="8"/>
      <c r="M26" s="16">
        <v>24</v>
      </c>
      <c r="N26" s="17">
        <v>149</v>
      </c>
      <c r="O26" s="18">
        <f t="shared" si="1"/>
        <v>-13.662499999999994</v>
      </c>
      <c r="P26" s="18">
        <f t="shared" si="2"/>
        <v>186.66390624999985</v>
      </c>
      <c r="Q26" s="18">
        <f t="shared" si="3"/>
        <v>13.662499999999994</v>
      </c>
      <c r="R26" s="13"/>
      <c r="S26" s="2"/>
      <c r="T26" s="2"/>
      <c r="U26" s="2"/>
    </row>
    <row r="27" spans="1:24" x14ac:dyDescent="0.25">
      <c r="A27" s="39"/>
      <c r="B27" s="181" t="s">
        <v>23</v>
      </c>
      <c r="C27" s="182"/>
      <c r="D27" s="183"/>
      <c r="E27" s="37">
        <f>(N63-N62)*0.75+N62</f>
        <v>181</v>
      </c>
      <c r="I27" s="6"/>
      <c r="J27" s="14" cm="1">
        <f t="array" ref="J27">INDEX($A$3:$H$12,INT((ROW(J27)-ROW(J$3))/COLUMNS($A$3:$H$12))+1,MOD(ROW(J27)-ROW(J$3),COLUMNS($A$3:$H$12))+1)</f>
        <v>163</v>
      </c>
      <c r="K27" s="14">
        <f t="shared" si="0"/>
        <v>2</v>
      </c>
      <c r="L27" s="8"/>
      <c r="M27" s="16">
        <v>25</v>
      </c>
      <c r="N27" s="17">
        <v>149</v>
      </c>
      <c r="O27" s="18">
        <f t="shared" si="1"/>
        <v>-13.662499999999994</v>
      </c>
      <c r="P27" s="18">
        <f t="shared" si="2"/>
        <v>186.66390624999985</v>
      </c>
      <c r="Q27" s="18">
        <f t="shared" si="3"/>
        <v>13.662499999999994</v>
      </c>
      <c r="R27" s="13"/>
      <c r="S27" s="2"/>
      <c r="T27" s="2"/>
      <c r="U27" s="2"/>
    </row>
    <row r="28" spans="1:24" x14ac:dyDescent="0.25">
      <c r="A28" s="25">
        <v>6</v>
      </c>
      <c r="B28" s="171" t="s">
        <v>24</v>
      </c>
      <c r="C28" s="171"/>
      <c r="D28" s="171"/>
      <c r="E28" s="26">
        <f>E30</f>
        <v>118.2</v>
      </c>
      <c r="F28" s="27"/>
      <c r="I28" s="6"/>
      <c r="J28" s="14" cm="1">
        <f t="array" ref="J28">INDEX($A$3:$H$12,INT((ROW(J28)-ROW(J$3))/COLUMNS($A$3:$H$12))+1,MOD(ROW(J28)-ROW(J$3),COLUMNS($A$3:$H$12))+1)</f>
        <v>131</v>
      </c>
      <c r="K28" s="14">
        <f t="shared" si="0"/>
        <v>1</v>
      </c>
      <c r="L28" s="8"/>
      <c r="M28" s="16">
        <v>26</v>
      </c>
      <c r="N28" s="17">
        <v>150</v>
      </c>
      <c r="O28" s="18">
        <f t="shared" si="1"/>
        <v>-12.662499999999994</v>
      </c>
      <c r="P28" s="18">
        <f t="shared" si="2"/>
        <v>160.33890624999987</v>
      </c>
      <c r="Q28" s="18">
        <f t="shared" si="3"/>
        <v>12.662499999999994</v>
      </c>
      <c r="R28" s="13"/>
      <c r="S28" s="2"/>
      <c r="T28" s="2"/>
      <c r="U28" s="2"/>
    </row>
    <row r="29" spans="1:24" x14ac:dyDescent="0.25">
      <c r="A29" s="29"/>
      <c r="B29" s="175" t="s">
        <v>120</v>
      </c>
      <c r="C29" s="176"/>
      <c r="D29" s="177"/>
      <c r="E29" s="31">
        <f>(10/100)*($E$15+1)</f>
        <v>8.1</v>
      </c>
      <c r="I29" s="6"/>
      <c r="J29" s="14" cm="1">
        <f t="array" ref="J29">INDEX($A$3:$H$12,INT((ROW(J29)-ROW(J$3))/COLUMNS($A$3:$H$12))+1,MOD(ROW(J29)-ROW(J$3),COLUMNS($A$3:$H$12))+1)</f>
        <v>154</v>
      </c>
      <c r="K29" s="14">
        <f t="shared" si="0"/>
        <v>2</v>
      </c>
      <c r="L29" s="8"/>
      <c r="M29" s="16">
        <v>27</v>
      </c>
      <c r="N29" s="17">
        <v>150</v>
      </c>
      <c r="O29" s="18">
        <f t="shared" si="1"/>
        <v>-12.662499999999994</v>
      </c>
      <c r="P29" s="18">
        <f t="shared" si="2"/>
        <v>160.33890624999987</v>
      </c>
      <c r="Q29" s="18">
        <f t="shared" si="3"/>
        <v>12.662499999999994</v>
      </c>
      <c r="R29" s="13"/>
      <c r="S29" s="2"/>
      <c r="T29" s="2"/>
      <c r="U29" s="2"/>
    </row>
    <row r="30" spans="1:24" x14ac:dyDescent="0.25">
      <c r="A30" s="29"/>
      <c r="B30" s="181" t="s">
        <v>26</v>
      </c>
      <c r="C30" s="182"/>
      <c r="D30" s="183"/>
      <c r="E30" s="37">
        <f>(N11-N10)*MOD(E29,1)+N10</f>
        <v>118.2</v>
      </c>
      <c r="I30" s="6"/>
      <c r="J30" s="14" cm="1">
        <f t="array" ref="J30">INDEX($A$3:$H$12,INT((ROW(J30)-ROW(J$3))/COLUMNS($A$3:$H$12))+1,MOD(ROW(J30)-ROW(J$3),COLUMNS($A$3:$H$12))+1)</f>
        <v>115</v>
      </c>
      <c r="K30" s="14">
        <f t="shared" si="0"/>
        <v>1</v>
      </c>
      <c r="L30" s="8"/>
      <c r="M30" s="16">
        <v>28</v>
      </c>
      <c r="N30" s="17">
        <v>151</v>
      </c>
      <c r="O30" s="18">
        <f t="shared" si="1"/>
        <v>-11.662499999999994</v>
      </c>
      <c r="P30" s="18">
        <f t="shared" si="2"/>
        <v>136.01390624999988</v>
      </c>
      <c r="Q30" s="18">
        <f t="shared" si="3"/>
        <v>11.662499999999994</v>
      </c>
      <c r="R30" s="13"/>
      <c r="S30" s="3"/>
      <c r="T30" s="3"/>
      <c r="U30" s="3"/>
    </row>
    <row r="31" spans="1:24" x14ac:dyDescent="0.25">
      <c r="A31" s="29">
        <v>7</v>
      </c>
      <c r="B31" s="171" t="s">
        <v>27</v>
      </c>
      <c r="C31" s="171"/>
      <c r="D31" s="171"/>
      <c r="E31" s="26">
        <f>E33</f>
        <v>206.40000000000003</v>
      </c>
      <c r="I31" s="6"/>
      <c r="J31" s="14" cm="1">
        <f t="array" ref="J31">INDEX($A$3:$H$12,INT((ROW(J31)-ROW(J$3))/COLUMNS($A$3:$H$12))+1,MOD(ROW(J31)-ROW(J$3),COLUMNS($A$3:$H$12))+1)</f>
        <v>160</v>
      </c>
      <c r="K31" s="14">
        <f t="shared" si="0"/>
        <v>3</v>
      </c>
      <c r="L31" s="8"/>
      <c r="M31" s="16">
        <v>29</v>
      </c>
      <c r="N31" s="20">
        <v>153</v>
      </c>
      <c r="O31" s="18">
        <f t="shared" si="1"/>
        <v>-9.6624999999999943</v>
      </c>
      <c r="P31" s="18">
        <f t="shared" si="2"/>
        <v>93.363906249999886</v>
      </c>
      <c r="Q31" s="18">
        <f t="shared" si="3"/>
        <v>9.6624999999999943</v>
      </c>
      <c r="R31" s="27"/>
    </row>
    <row r="32" spans="1:24" x14ac:dyDescent="0.25">
      <c r="A32" s="29"/>
      <c r="B32" s="175" t="s">
        <v>120</v>
      </c>
      <c r="C32" s="176"/>
      <c r="D32" s="177"/>
      <c r="E32" s="31">
        <f>(90/100)*($E$15+1)</f>
        <v>72.900000000000006</v>
      </c>
      <c r="I32" s="6"/>
      <c r="J32" s="14" cm="1">
        <f t="array" ref="J32">INDEX($A$3:$H$12,INT((ROW(J32)-ROW(J$3))/COLUMNS($A$3:$H$12))+1,MOD(ROW(J32)-ROW(J$3),COLUMNS($A$3:$H$12))+1)</f>
        <v>208</v>
      </c>
      <c r="K32" s="14">
        <f t="shared" si="0"/>
        <v>1</v>
      </c>
      <c r="L32" s="8"/>
      <c r="M32" s="16">
        <v>30</v>
      </c>
      <c r="N32" s="20">
        <v>154</v>
      </c>
      <c r="O32" s="18">
        <f t="shared" si="1"/>
        <v>-8.6624999999999943</v>
      </c>
      <c r="P32" s="18">
        <f t="shared" si="2"/>
        <v>75.038906249999897</v>
      </c>
      <c r="Q32" s="18">
        <f t="shared" si="3"/>
        <v>8.6624999999999943</v>
      </c>
      <c r="R32" s="27"/>
    </row>
    <row r="33" spans="1:18" x14ac:dyDescent="0.25">
      <c r="A33" s="29"/>
      <c r="B33" s="181" t="s">
        <v>29</v>
      </c>
      <c r="C33" s="182"/>
      <c r="D33" s="183"/>
      <c r="E33" s="37">
        <f>(N75-N74)*MOD(E32,1)+N74</f>
        <v>206.40000000000003</v>
      </c>
      <c r="I33" s="6"/>
      <c r="J33" s="14" cm="1">
        <f t="array" ref="J33">INDEX($A$3:$H$12,INT((ROW(J33)-ROW(J$3))/COLUMNS($A$3:$H$12))+1,MOD(ROW(J33)-ROW(J$3),COLUMNS($A$3:$H$12))+1)</f>
        <v>158</v>
      </c>
      <c r="K33" s="14">
        <f t="shared" si="0"/>
        <v>4</v>
      </c>
      <c r="L33" s="8"/>
      <c r="M33" s="16">
        <v>31</v>
      </c>
      <c r="N33" s="17">
        <v>154</v>
      </c>
      <c r="O33" s="18">
        <f t="shared" si="1"/>
        <v>-8.6624999999999943</v>
      </c>
      <c r="P33" s="18">
        <f t="shared" si="2"/>
        <v>75.038906249999897</v>
      </c>
      <c r="Q33" s="18">
        <f t="shared" si="3"/>
        <v>8.6624999999999943</v>
      </c>
      <c r="R33" s="27"/>
    </row>
    <row r="34" spans="1:18" x14ac:dyDescent="0.25">
      <c r="A34" s="29">
        <v>8</v>
      </c>
      <c r="B34" s="171" t="s">
        <v>30</v>
      </c>
      <c r="C34" s="171"/>
      <c r="D34" s="171"/>
      <c r="E34" s="26">
        <f>E36-E35</f>
        <v>37.5</v>
      </c>
      <c r="I34" s="6"/>
      <c r="J34" s="14" cm="1">
        <f t="array" ref="J34">INDEX($A$3:$H$12,INT((ROW(J34)-ROW(J$3))/COLUMNS($A$3:$H$12))+1,MOD(ROW(J34)-ROW(J$3),COLUMNS($A$3:$H$12))+1)</f>
        <v>133</v>
      </c>
      <c r="K34" s="14">
        <f t="shared" si="0"/>
        <v>2</v>
      </c>
      <c r="L34" s="8"/>
      <c r="M34" s="16">
        <v>32</v>
      </c>
      <c r="N34" s="17">
        <v>156</v>
      </c>
      <c r="O34" s="18">
        <f t="shared" si="1"/>
        <v>-6.6624999999999943</v>
      </c>
      <c r="P34" s="18">
        <f t="shared" si="2"/>
        <v>44.388906249999927</v>
      </c>
      <c r="Q34" s="18">
        <f t="shared" si="3"/>
        <v>6.6624999999999943</v>
      </c>
      <c r="R34" s="27"/>
    </row>
    <row r="35" spans="1:18" x14ac:dyDescent="0.25">
      <c r="A35" s="29"/>
      <c r="B35" s="175" t="s">
        <v>31</v>
      </c>
      <c r="C35" s="176"/>
      <c r="D35" s="177"/>
      <c r="E35" s="31">
        <f>E22</f>
        <v>143.5</v>
      </c>
      <c r="I35" s="6"/>
      <c r="J35" s="14" cm="1">
        <f t="array" ref="J35">INDEX($A$3:$H$12,INT((ROW(J35)-ROW(J$3))/COLUMNS($A$3:$H$12))+1,MOD(ROW(J35)-ROW(J$3),COLUMNS($A$3:$H$12))+1)</f>
        <v>207</v>
      </c>
      <c r="K35" s="14">
        <f t="shared" si="0"/>
        <v>1</v>
      </c>
      <c r="L35" s="8"/>
      <c r="M35" s="16">
        <v>33</v>
      </c>
      <c r="N35" s="17">
        <v>157</v>
      </c>
      <c r="O35" s="18">
        <f t="shared" si="1"/>
        <v>-5.6624999999999943</v>
      </c>
      <c r="P35" s="18">
        <f t="shared" si="2"/>
        <v>32.063906249999938</v>
      </c>
      <c r="Q35" s="18">
        <f t="shared" si="3"/>
        <v>5.6624999999999943</v>
      </c>
      <c r="R35" s="27"/>
    </row>
    <row r="36" spans="1:18" x14ac:dyDescent="0.25">
      <c r="A36" s="29"/>
      <c r="B36" s="175" t="s">
        <v>32</v>
      </c>
      <c r="C36" s="176"/>
      <c r="D36" s="177"/>
      <c r="E36" s="31">
        <f>E25</f>
        <v>181</v>
      </c>
      <c r="I36" s="6"/>
      <c r="J36" s="14" cm="1">
        <f t="array" ref="J36">INDEX($A$3:$H$12,INT((ROW(J36)-ROW(J$3))/COLUMNS($A$3:$H$12))+1,MOD(ROW(J36)-ROW(J$3),COLUMNS($A$3:$H$12))+1)</f>
        <v>180</v>
      </c>
      <c r="K36" s="14">
        <f t="shared" si="0"/>
        <v>2</v>
      </c>
      <c r="L36" s="8"/>
      <c r="M36" s="16">
        <v>34</v>
      </c>
      <c r="N36" s="17">
        <v>158</v>
      </c>
      <c r="O36" s="18">
        <f t="shared" si="1"/>
        <v>-4.6624999999999943</v>
      </c>
      <c r="P36" s="18">
        <f t="shared" si="2"/>
        <v>21.738906249999946</v>
      </c>
      <c r="Q36" s="18">
        <f t="shared" si="3"/>
        <v>4.6624999999999943</v>
      </c>
      <c r="R36" s="27"/>
    </row>
    <row r="37" spans="1:18" x14ac:dyDescent="0.25">
      <c r="A37" s="29">
        <v>9</v>
      </c>
      <c r="B37" s="171" t="s">
        <v>33</v>
      </c>
      <c r="C37" s="171"/>
      <c r="D37" s="171"/>
      <c r="E37" s="26">
        <f>E34/2</f>
        <v>18.75</v>
      </c>
      <c r="I37" s="6"/>
      <c r="J37" s="14" cm="1">
        <f t="array" ref="J37">INDEX($A$3:$H$12,INT((ROW(J37)-ROW(J$3))/COLUMNS($A$3:$H$12))+1,MOD(ROW(J37)-ROW(J$3),COLUMNS($A$3:$H$12))+1)</f>
        <v>190</v>
      </c>
      <c r="K37" s="14">
        <f t="shared" si="0"/>
        <v>1</v>
      </c>
      <c r="L37" s="8"/>
      <c r="M37" s="16">
        <v>35</v>
      </c>
      <c r="N37" s="42">
        <v>158</v>
      </c>
      <c r="O37" s="18">
        <f t="shared" si="1"/>
        <v>-4.6624999999999943</v>
      </c>
      <c r="P37" s="18">
        <f t="shared" si="2"/>
        <v>21.738906249999946</v>
      </c>
      <c r="Q37" s="18">
        <f t="shared" si="3"/>
        <v>4.6624999999999943</v>
      </c>
      <c r="R37" s="27"/>
    </row>
    <row r="38" spans="1:18" x14ac:dyDescent="0.25">
      <c r="A38" s="29">
        <v>10</v>
      </c>
      <c r="B38" s="171" t="s">
        <v>34</v>
      </c>
      <c r="C38" s="171"/>
      <c r="D38" s="171"/>
      <c r="E38" s="43">
        <f>E39/(E15-1)</f>
        <v>1140.6314873417728</v>
      </c>
      <c r="I38" s="6"/>
      <c r="J38" s="14" cm="1">
        <f t="array" ref="J38">INDEX($A$3:$H$12,INT((ROW(J38)-ROW(J$3))/COLUMNS($A$3:$H$12))+1,MOD(ROW(J38)-ROW(J$3),COLUMNS($A$3:$H$12))+1)</f>
        <v>193</v>
      </c>
      <c r="K38" s="14">
        <f t="shared" si="0"/>
        <v>1</v>
      </c>
      <c r="L38" s="8"/>
      <c r="M38" s="16">
        <v>36</v>
      </c>
      <c r="N38" s="17">
        <v>158</v>
      </c>
      <c r="O38" s="18">
        <f t="shared" si="1"/>
        <v>-4.6624999999999943</v>
      </c>
      <c r="P38" s="18">
        <f t="shared" si="2"/>
        <v>21.738906249999946</v>
      </c>
      <c r="Q38" s="18">
        <f t="shared" si="3"/>
        <v>4.6624999999999943</v>
      </c>
      <c r="R38" s="27"/>
    </row>
    <row r="39" spans="1:18" x14ac:dyDescent="0.25">
      <c r="A39" s="29"/>
      <c r="B39" s="178" t="s">
        <v>35</v>
      </c>
      <c r="C39" s="179"/>
      <c r="D39" s="180"/>
      <c r="E39" s="44">
        <f>SUM(P3:P82)</f>
        <v>90109.887500000055</v>
      </c>
      <c r="I39" s="6"/>
      <c r="J39" s="14" cm="1">
        <f t="array" ref="J39">INDEX($A$3:$H$12,INT((ROW(J39)-ROW(J$3))/COLUMNS($A$3:$H$12))+1,MOD(ROW(J39)-ROW(J$3),COLUMNS($A$3:$H$12))+1)</f>
        <v>194</v>
      </c>
      <c r="K39" s="14">
        <f t="shared" si="0"/>
        <v>1</v>
      </c>
      <c r="L39" s="8"/>
      <c r="M39" s="16">
        <v>37</v>
      </c>
      <c r="N39" s="17">
        <v>158</v>
      </c>
      <c r="O39" s="18">
        <f t="shared" si="1"/>
        <v>-4.6624999999999943</v>
      </c>
      <c r="P39" s="18">
        <f t="shared" si="2"/>
        <v>21.738906249999946</v>
      </c>
      <c r="Q39" s="18">
        <f t="shared" si="3"/>
        <v>4.6624999999999943</v>
      </c>
      <c r="R39" s="27"/>
    </row>
    <row r="40" spans="1:18" x14ac:dyDescent="0.25">
      <c r="A40" s="29">
        <v>11</v>
      </c>
      <c r="B40" s="171" t="s">
        <v>36</v>
      </c>
      <c r="C40" s="171"/>
      <c r="D40" s="171"/>
      <c r="E40" s="43">
        <f>SQRT(E38)</f>
        <v>33.773236258045699</v>
      </c>
      <c r="I40" s="6"/>
      <c r="J40" s="14" cm="1">
        <f t="array" ref="J40">INDEX($A$3:$H$12,INT((ROW(J40)-ROW(J$3))/COLUMNS($A$3:$H$12))+1,MOD(ROW(J40)-ROW(J$3),COLUMNS($A$3:$H$12))+1)</f>
        <v>133</v>
      </c>
      <c r="K40" s="14">
        <f t="shared" si="0"/>
        <v>2</v>
      </c>
      <c r="L40" s="8"/>
      <c r="M40" s="16">
        <v>38</v>
      </c>
      <c r="N40" s="17">
        <v>160</v>
      </c>
      <c r="O40" s="18">
        <f t="shared" si="1"/>
        <v>-2.6624999999999943</v>
      </c>
      <c r="P40" s="18">
        <f t="shared" si="2"/>
        <v>7.0889062499999698</v>
      </c>
      <c r="Q40" s="18">
        <f t="shared" si="3"/>
        <v>2.6624999999999943</v>
      </c>
      <c r="R40" s="27"/>
    </row>
    <row r="41" spans="1:18" x14ac:dyDescent="0.25">
      <c r="A41" s="29">
        <v>12</v>
      </c>
      <c r="B41" s="171" t="s">
        <v>37</v>
      </c>
      <c r="C41" s="171"/>
      <c r="D41" s="171"/>
      <c r="E41" s="45">
        <f>(E40/E14)*(100%)</f>
        <v>0.20762767237713486</v>
      </c>
      <c r="I41" s="6"/>
      <c r="J41" s="14" cm="1">
        <f t="array" ref="J41">INDEX($A$3:$H$12,INT((ROW(J41)-ROW(J$3))/COLUMNS($A$3:$H$12))+1,MOD(ROW(J41)-ROW(J$3),COLUMNS($A$3:$H$12))+1)</f>
        <v>156</v>
      </c>
      <c r="K41" s="14">
        <f t="shared" si="0"/>
        <v>1</v>
      </c>
      <c r="L41" s="8"/>
      <c r="M41" s="16">
        <v>39</v>
      </c>
      <c r="N41" s="17">
        <v>160</v>
      </c>
      <c r="O41" s="18">
        <f t="shared" si="1"/>
        <v>-2.6624999999999943</v>
      </c>
      <c r="P41" s="18">
        <f t="shared" si="2"/>
        <v>7.0889062499999698</v>
      </c>
      <c r="Q41" s="18">
        <f t="shared" si="3"/>
        <v>2.6624999999999943</v>
      </c>
      <c r="R41" s="27"/>
    </row>
    <row r="42" spans="1:18" x14ac:dyDescent="0.25">
      <c r="A42" s="29">
        <v>13</v>
      </c>
      <c r="B42" s="171" t="s">
        <v>38</v>
      </c>
      <c r="C42" s="171"/>
      <c r="D42" s="171"/>
      <c r="E42" s="43">
        <f>E43/E15</f>
        <v>25.81250000000005</v>
      </c>
      <c r="I42" s="6"/>
      <c r="J42" s="14" cm="1">
        <f t="array" ref="J42">INDEX($A$3:$H$12,INT((ROW(J42)-ROW(J$3))/COLUMNS($A$3:$H$12))+1,MOD(ROW(J42)-ROW(J$3),COLUMNS($A$3:$H$12))+1)</f>
        <v>123</v>
      </c>
      <c r="K42" s="14">
        <f t="shared" si="0"/>
        <v>1</v>
      </c>
      <c r="L42" s="8"/>
      <c r="M42" s="16">
        <v>40</v>
      </c>
      <c r="N42" s="17">
        <v>160</v>
      </c>
      <c r="O42" s="18">
        <f t="shared" si="1"/>
        <v>-2.6624999999999943</v>
      </c>
      <c r="P42" s="18">
        <f t="shared" si="2"/>
        <v>7.0889062499999698</v>
      </c>
      <c r="Q42" s="18">
        <f t="shared" si="3"/>
        <v>2.6624999999999943</v>
      </c>
      <c r="R42" s="27"/>
    </row>
    <row r="43" spans="1:18" x14ac:dyDescent="0.25">
      <c r="A43" s="29"/>
      <c r="B43" s="172" t="s">
        <v>39</v>
      </c>
      <c r="C43" s="173"/>
      <c r="D43" s="174"/>
      <c r="E43" s="46">
        <f>SUM(Q3:Q82)</f>
        <v>2065.0000000000041</v>
      </c>
      <c r="I43" s="6"/>
      <c r="J43" s="14" cm="1">
        <f t="array" ref="J43">INDEX($A$3:$H$12,INT((ROW(J43)-ROW(J$3))/COLUMNS($A$3:$H$12))+1,MOD(ROW(J43)-ROW(J$3),COLUMNS($A$3:$H$12))+1)</f>
        <v>134</v>
      </c>
      <c r="K43" s="14">
        <f t="shared" si="0"/>
        <v>1</v>
      </c>
      <c r="L43" s="8"/>
      <c r="M43" s="16">
        <v>41</v>
      </c>
      <c r="N43" s="17">
        <v>163</v>
      </c>
      <c r="O43" s="18">
        <f t="shared" si="1"/>
        <v>0.33750000000000568</v>
      </c>
      <c r="P43" s="18">
        <f t="shared" si="2"/>
        <v>0.11390625000000383</v>
      </c>
      <c r="Q43" s="18">
        <f t="shared" si="3"/>
        <v>0.33750000000000568</v>
      </c>
      <c r="R43" s="27"/>
    </row>
    <row r="44" spans="1:18" x14ac:dyDescent="0.25">
      <c r="A44" s="47"/>
      <c r="I44" s="6"/>
      <c r="J44" s="14" cm="1">
        <f t="array" ref="J44">INDEX($A$3:$H$12,INT((ROW(J44)-ROW(J$3))/COLUMNS($A$3:$H$12))+1,MOD(ROW(J44)-ROW(J$3),COLUMNS($A$3:$H$12))+1)</f>
        <v>178</v>
      </c>
      <c r="K44" s="14">
        <f t="shared" si="0"/>
        <v>1</v>
      </c>
      <c r="L44" s="8"/>
      <c r="M44" s="16">
        <v>42</v>
      </c>
      <c r="N44" s="17">
        <v>163</v>
      </c>
      <c r="O44" s="18">
        <f t="shared" si="1"/>
        <v>0.33750000000000568</v>
      </c>
      <c r="P44" s="18">
        <f t="shared" si="2"/>
        <v>0.11390625000000383</v>
      </c>
      <c r="Q44" s="18">
        <f t="shared" si="3"/>
        <v>0.33750000000000568</v>
      </c>
      <c r="R44" s="27"/>
    </row>
    <row r="45" spans="1:18" x14ac:dyDescent="0.25">
      <c r="B45" s="1"/>
      <c r="F45" s="46"/>
      <c r="I45" s="6"/>
      <c r="J45" s="14" cm="1">
        <f t="array" ref="J45">INDEX($A$3:$H$12,INT((ROW(J45)-ROW(J$3))/COLUMNS($A$3:$H$12))+1,MOD(ROW(J45)-ROW(J$3),COLUMNS($A$3:$H$12))+1)</f>
        <v>76</v>
      </c>
      <c r="K45" s="14">
        <f t="shared" si="0"/>
        <v>1</v>
      </c>
      <c r="L45" s="8"/>
      <c r="M45" s="16">
        <v>43</v>
      </c>
      <c r="N45" s="17">
        <v>165</v>
      </c>
      <c r="O45" s="18">
        <f t="shared" si="1"/>
        <v>2.3375000000000057</v>
      </c>
      <c r="P45" s="18">
        <f t="shared" si="2"/>
        <v>5.4639062500000266</v>
      </c>
      <c r="Q45" s="18">
        <f t="shared" si="3"/>
        <v>2.3375000000000057</v>
      </c>
      <c r="R45" s="27"/>
    </row>
    <row r="46" spans="1:18" x14ac:dyDescent="0.25">
      <c r="B46" s="1"/>
      <c r="I46" s="6"/>
      <c r="J46" s="14" cm="1">
        <f t="array" ref="J46">INDEX($A$3:$H$12,INT((ROW(J46)-ROW(J$3))/COLUMNS($A$3:$H$12))+1,MOD(ROW(J46)-ROW(J$3),COLUMNS($A$3:$H$12))+1)</f>
        <v>167</v>
      </c>
      <c r="K46" s="14">
        <f t="shared" si="0"/>
        <v>2</v>
      </c>
      <c r="L46" s="8"/>
      <c r="M46" s="16">
        <v>44</v>
      </c>
      <c r="N46" s="20">
        <v>167</v>
      </c>
      <c r="O46" s="18">
        <f t="shared" si="1"/>
        <v>4.3375000000000057</v>
      </c>
      <c r="P46" s="18">
        <f t="shared" si="2"/>
        <v>18.813906250000048</v>
      </c>
      <c r="Q46" s="18">
        <f t="shared" si="3"/>
        <v>4.3375000000000057</v>
      </c>
      <c r="R46" s="27"/>
    </row>
    <row r="47" spans="1:18" x14ac:dyDescent="0.25">
      <c r="B47" s="49"/>
      <c r="I47" s="6"/>
      <c r="J47" s="14" cm="1">
        <f t="array" ref="J47">INDEX($A$3:$H$12,INT((ROW(J47)-ROW(J$3))/COLUMNS($A$3:$H$12))+1,MOD(ROW(J47)-ROW(J$3),COLUMNS($A$3:$H$12))+1)</f>
        <v>184</v>
      </c>
      <c r="K47" s="14">
        <f t="shared" si="0"/>
        <v>1</v>
      </c>
      <c r="L47" s="8"/>
      <c r="M47" s="16">
        <v>45</v>
      </c>
      <c r="N47" s="17">
        <v>167</v>
      </c>
      <c r="O47" s="18">
        <f t="shared" si="1"/>
        <v>4.3375000000000057</v>
      </c>
      <c r="P47" s="18">
        <f t="shared" si="2"/>
        <v>18.813906250000048</v>
      </c>
      <c r="Q47" s="18">
        <f t="shared" si="3"/>
        <v>4.3375000000000057</v>
      </c>
      <c r="R47" s="27"/>
    </row>
    <row r="48" spans="1:18" x14ac:dyDescent="0.25">
      <c r="E48" s="46"/>
      <c r="I48" s="6"/>
      <c r="J48" s="14" cm="1">
        <f t="array" ref="J48">INDEX($A$3:$H$12,INT((ROW(J48)-ROW(J$3))/COLUMNS($A$3:$H$12))+1,MOD(ROW(J48)-ROW(J$3),COLUMNS($A$3:$H$12))+1)</f>
        <v>135</v>
      </c>
      <c r="K48" s="14">
        <f t="shared" si="0"/>
        <v>2</v>
      </c>
      <c r="L48" s="8"/>
      <c r="M48" s="16">
        <v>46</v>
      </c>
      <c r="N48" s="20">
        <v>168</v>
      </c>
      <c r="O48" s="18">
        <f t="shared" si="1"/>
        <v>5.3375000000000057</v>
      </c>
      <c r="P48" s="18">
        <f t="shared" si="2"/>
        <v>28.48890625000006</v>
      </c>
      <c r="Q48" s="18">
        <f t="shared" si="3"/>
        <v>5.3375000000000057</v>
      </c>
      <c r="R48" s="27"/>
    </row>
    <row r="49" spans="9:18" x14ac:dyDescent="0.25">
      <c r="I49" s="6"/>
      <c r="J49" s="14" cm="1">
        <f t="array" ref="J49">INDEX($A$3:$H$12,INT((ROW(J49)-ROW(J$3))/COLUMNS($A$3:$H$12))+1,MOD(ROW(J49)-ROW(J$3),COLUMNS($A$3:$H$12))+1)</f>
        <v>229</v>
      </c>
      <c r="K49" s="14">
        <f t="shared" si="0"/>
        <v>1</v>
      </c>
      <c r="L49" s="8"/>
      <c r="M49" s="16">
        <v>47</v>
      </c>
      <c r="N49" s="17">
        <v>169</v>
      </c>
      <c r="O49" s="18">
        <f t="shared" si="1"/>
        <v>6.3375000000000057</v>
      </c>
      <c r="P49" s="18">
        <f t="shared" si="2"/>
        <v>40.163906250000075</v>
      </c>
      <c r="Q49" s="18">
        <f t="shared" si="3"/>
        <v>6.3375000000000057</v>
      </c>
      <c r="R49" s="27"/>
    </row>
    <row r="50" spans="9:18" x14ac:dyDescent="0.25">
      <c r="I50" s="6"/>
      <c r="J50" s="14" cm="1">
        <f t="array" ref="J50">INDEX($A$3:$H$12,INT((ROW(J50)-ROW(J$3))/COLUMNS($A$3:$H$12))+1,MOD(ROW(J50)-ROW(J$3),COLUMNS($A$3:$H$12))+1)</f>
        <v>146</v>
      </c>
      <c r="K50" s="14">
        <f t="shared" si="0"/>
        <v>1</v>
      </c>
      <c r="L50" s="8"/>
      <c r="M50" s="16">
        <v>48</v>
      </c>
      <c r="N50" s="17">
        <v>170</v>
      </c>
      <c r="O50" s="18">
        <f t="shared" si="1"/>
        <v>7.3375000000000057</v>
      </c>
      <c r="P50" s="18">
        <f t="shared" si="2"/>
        <v>53.838906250000086</v>
      </c>
      <c r="Q50" s="18">
        <f t="shared" si="3"/>
        <v>7.3375000000000057</v>
      </c>
      <c r="R50" s="27"/>
    </row>
    <row r="51" spans="9:18" x14ac:dyDescent="0.25">
      <c r="I51" s="6"/>
      <c r="J51" s="14" cm="1">
        <f t="array" ref="J51">INDEX($A$3:$H$12,INT((ROW(J51)-ROW(J$3))/COLUMNS($A$3:$H$12))+1,MOD(ROW(J51)-ROW(J$3),COLUMNS($A$3:$H$12))+1)</f>
        <v>218</v>
      </c>
      <c r="K51" s="14">
        <f t="shared" si="0"/>
        <v>1</v>
      </c>
      <c r="L51" s="8"/>
      <c r="M51" s="16">
        <v>49</v>
      </c>
      <c r="N51" s="17">
        <v>171</v>
      </c>
      <c r="O51" s="18">
        <f t="shared" si="1"/>
        <v>8.3375000000000057</v>
      </c>
      <c r="P51" s="18">
        <f t="shared" si="2"/>
        <v>69.51390625000009</v>
      </c>
      <c r="Q51" s="18">
        <f t="shared" si="3"/>
        <v>8.3375000000000057</v>
      </c>
      <c r="R51" s="27"/>
    </row>
    <row r="52" spans="9:18" x14ac:dyDescent="0.25">
      <c r="I52" s="6"/>
      <c r="J52" s="14" cm="1">
        <f t="array" ref="J52">INDEX($A$3:$H$12,INT((ROW(J52)-ROW(J$3))/COLUMNS($A$3:$H$12))+1,MOD(ROW(J52)-ROW(J$3),COLUMNS($A$3:$H$12))+1)</f>
        <v>157</v>
      </c>
      <c r="K52" s="14">
        <f t="shared" si="0"/>
        <v>1</v>
      </c>
      <c r="L52" s="8"/>
      <c r="M52" s="16">
        <v>50</v>
      </c>
      <c r="N52" s="17">
        <v>171</v>
      </c>
      <c r="O52" s="18">
        <f t="shared" si="1"/>
        <v>8.3375000000000057</v>
      </c>
      <c r="P52" s="18">
        <f t="shared" si="2"/>
        <v>69.51390625000009</v>
      </c>
      <c r="Q52" s="18">
        <f t="shared" si="3"/>
        <v>8.3375000000000057</v>
      </c>
      <c r="R52" s="27"/>
    </row>
    <row r="53" spans="9:18" x14ac:dyDescent="0.25">
      <c r="I53" s="6"/>
      <c r="J53" s="14" cm="1">
        <f t="array" ref="J53">INDEX($A$3:$H$12,INT((ROW(J53)-ROW(J$3))/COLUMNS($A$3:$H$12))+1,MOD(ROW(J53)-ROW(J$3),COLUMNS($A$3:$H$12))+1)</f>
        <v>101</v>
      </c>
      <c r="K53" s="14">
        <f t="shared" si="0"/>
        <v>1</v>
      </c>
      <c r="L53" s="8"/>
      <c r="M53" s="16">
        <v>51</v>
      </c>
      <c r="N53" s="17">
        <v>172</v>
      </c>
      <c r="O53" s="18">
        <f t="shared" si="1"/>
        <v>9.3375000000000057</v>
      </c>
      <c r="P53" s="18">
        <f t="shared" si="2"/>
        <v>87.188906250000102</v>
      </c>
      <c r="Q53" s="18">
        <f t="shared" si="3"/>
        <v>9.3375000000000057</v>
      </c>
      <c r="R53" s="27"/>
    </row>
    <row r="54" spans="9:18" x14ac:dyDescent="0.25">
      <c r="I54" s="6"/>
      <c r="J54" s="14" cm="1">
        <f t="array" ref="J54">INDEX($A$3:$H$12,INT((ROW(J54)-ROW(J$3))/COLUMNS($A$3:$H$12))+1,MOD(ROW(J54)-ROW(J$3),COLUMNS($A$3:$H$12))+1)</f>
        <v>171</v>
      </c>
      <c r="K54" s="14">
        <f t="shared" si="0"/>
        <v>2</v>
      </c>
      <c r="L54" s="8"/>
      <c r="M54" s="16">
        <v>52</v>
      </c>
      <c r="N54" s="20">
        <v>174</v>
      </c>
      <c r="O54" s="18">
        <f t="shared" si="1"/>
        <v>11.337500000000006</v>
      </c>
      <c r="P54" s="18">
        <f t="shared" si="2"/>
        <v>128.53890625000014</v>
      </c>
      <c r="Q54" s="18">
        <f t="shared" si="3"/>
        <v>11.337500000000006</v>
      </c>
      <c r="R54" s="27"/>
    </row>
    <row r="55" spans="9:18" x14ac:dyDescent="0.25">
      <c r="I55" s="6"/>
      <c r="J55" s="14" cm="1">
        <f t="array" ref="J55">INDEX($A$3:$H$12,INT((ROW(J55)-ROW(J$3))/COLUMNS($A$3:$H$12))+1,MOD(ROW(J55)-ROW(J$3),COLUMNS($A$3:$H$12))+1)</f>
        <v>165</v>
      </c>
      <c r="K55" s="14">
        <f t="shared" si="0"/>
        <v>1</v>
      </c>
      <c r="L55" s="8"/>
      <c r="M55" s="16">
        <v>53</v>
      </c>
      <c r="N55" s="17">
        <v>174</v>
      </c>
      <c r="O55" s="18">
        <f t="shared" si="1"/>
        <v>11.337500000000006</v>
      </c>
      <c r="P55" s="18">
        <f t="shared" si="2"/>
        <v>128.53890625000014</v>
      </c>
      <c r="Q55" s="18">
        <f t="shared" si="3"/>
        <v>11.337500000000006</v>
      </c>
      <c r="R55" s="27"/>
    </row>
    <row r="56" spans="9:18" x14ac:dyDescent="0.25">
      <c r="I56" s="6"/>
      <c r="J56" s="14" cm="1">
        <f t="array" ref="J56">INDEX($A$3:$H$12,INT((ROW(J56)-ROW(J$3))/COLUMNS($A$3:$H$12))+1,MOD(ROW(J56)-ROW(J$3),COLUMNS($A$3:$H$12))+1)</f>
        <v>172</v>
      </c>
      <c r="K56" s="14">
        <f t="shared" si="0"/>
        <v>1</v>
      </c>
      <c r="L56" s="8"/>
      <c r="M56" s="16">
        <v>54</v>
      </c>
      <c r="N56" s="17">
        <v>175</v>
      </c>
      <c r="O56" s="18">
        <f t="shared" si="1"/>
        <v>12.337500000000006</v>
      </c>
      <c r="P56" s="18">
        <f t="shared" si="2"/>
        <v>152.21390625000015</v>
      </c>
      <c r="Q56" s="18">
        <f t="shared" si="3"/>
        <v>12.337500000000006</v>
      </c>
      <c r="R56" s="27"/>
    </row>
    <row r="57" spans="9:18" x14ac:dyDescent="0.25">
      <c r="I57" s="6"/>
      <c r="J57" s="14" cm="1">
        <f t="array" ref="J57">INDEX($A$3:$H$12,INT((ROW(J57)-ROW(J$3))/COLUMNS($A$3:$H$12))+1,MOD(ROW(J57)-ROW(J$3),COLUMNS($A$3:$H$12))+1)</f>
        <v>158</v>
      </c>
      <c r="K57" s="14">
        <f t="shared" si="0"/>
        <v>4</v>
      </c>
      <c r="L57" s="8"/>
      <c r="M57" s="16">
        <v>55</v>
      </c>
      <c r="N57" s="17">
        <v>176</v>
      </c>
      <c r="O57" s="18">
        <f t="shared" si="1"/>
        <v>13.337500000000006</v>
      </c>
      <c r="P57" s="18">
        <f t="shared" si="2"/>
        <v>177.88890625000016</v>
      </c>
      <c r="Q57" s="18">
        <f t="shared" si="3"/>
        <v>13.337500000000006</v>
      </c>
      <c r="R57" s="27"/>
    </row>
    <row r="58" spans="9:18" x14ac:dyDescent="0.25">
      <c r="I58" s="6"/>
      <c r="J58" s="14" cm="1">
        <f t="array" ref="J58">INDEX($A$3:$H$12,INT((ROW(J58)-ROW(J$3))/COLUMNS($A$3:$H$12))+1,MOD(ROW(J58)-ROW(J$3),COLUMNS($A$3:$H$12))+1)</f>
        <v>169</v>
      </c>
      <c r="K58" s="14">
        <f t="shared" si="0"/>
        <v>1</v>
      </c>
      <c r="L58" s="8"/>
      <c r="M58" s="16">
        <v>56</v>
      </c>
      <c r="N58" s="17">
        <v>176</v>
      </c>
      <c r="O58" s="18">
        <f t="shared" si="1"/>
        <v>13.337500000000006</v>
      </c>
      <c r="P58" s="18">
        <f t="shared" si="2"/>
        <v>177.88890625000016</v>
      </c>
      <c r="Q58" s="18">
        <f t="shared" si="3"/>
        <v>13.337500000000006</v>
      </c>
      <c r="R58" s="27"/>
    </row>
    <row r="59" spans="9:18" x14ac:dyDescent="0.25">
      <c r="I59" s="6"/>
      <c r="J59" s="14" cm="1">
        <f t="array" ref="J59">INDEX($A$3:$H$12,INT((ROW(J59)-ROW(J$3))/COLUMNS($A$3:$H$12))+1,MOD(ROW(J59)-ROW(J$3),COLUMNS($A$3:$H$12))+1)</f>
        <v>199</v>
      </c>
      <c r="K59" s="14">
        <f t="shared" si="0"/>
        <v>2</v>
      </c>
      <c r="L59" s="8"/>
      <c r="M59" s="16">
        <v>57</v>
      </c>
      <c r="N59" s="17">
        <v>178</v>
      </c>
      <c r="O59" s="18">
        <f t="shared" si="1"/>
        <v>15.337500000000006</v>
      </c>
      <c r="P59" s="18">
        <f t="shared" si="2"/>
        <v>235.23890625000018</v>
      </c>
      <c r="Q59" s="18">
        <f t="shared" si="3"/>
        <v>15.337500000000006</v>
      </c>
      <c r="R59" s="27"/>
    </row>
    <row r="60" spans="9:18" x14ac:dyDescent="0.25">
      <c r="I60" s="6"/>
      <c r="J60" s="14" cm="1">
        <f t="array" ref="J60">INDEX($A$3:$H$12,INT((ROW(J60)-ROW(J$3))/COLUMNS($A$3:$H$12))+1,MOD(ROW(J60)-ROW(J$3),COLUMNS($A$3:$H$12))+1)</f>
        <v>151</v>
      </c>
      <c r="K60" s="14">
        <f t="shared" si="0"/>
        <v>1</v>
      </c>
      <c r="L60" s="8"/>
      <c r="M60" s="16">
        <v>58</v>
      </c>
      <c r="N60" s="20">
        <v>180</v>
      </c>
      <c r="O60" s="18">
        <f t="shared" si="1"/>
        <v>17.337500000000006</v>
      </c>
      <c r="P60" s="18">
        <f t="shared" si="2"/>
        <v>300.58890625000021</v>
      </c>
      <c r="Q60" s="18">
        <f t="shared" si="3"/>
        <v>17.337500000000006</v>
      </c>
      <c r="R60" s="27"/>
    </row>
    <row r="61" spans="9:18" x14ac:dyDescent="0.25">
      <c r="I61" s="6"/>
      <c r="J61" s="14" cm="1">
        <f t="array" ref="J61">INDEX($A$3:$H$12,INT((ROW(J61)-ROW(J$3))/COLUMNS($A$3:$H$12))+1,MOD(ROW(J61)-ROW(J$3),COLUMNS($A$3:$H$12))+1)</f>
        <v>142</v>
      </c>
      <c r="K61" s="14">
        <f t="shared" si="0"/>
        <v>1</v>
      </c>
      <c r="L61" s="8"/>
      <c r="M61" s="16">
        <v>59</v>
      </c>
      <c r="N61" s="17">
        <v>180</v>
      </c>
      <c r="O61" s="18">
        <f t="shared" si="1"/>
        <v>17.337500000000006</v>
      </c>
      <c r="P61" s="18">
        <f t="shared" si="2"/>
        <v>300.58890625000021</v>
      </c>
      <c r="Q61" s="18">
        <f t="shared" si="3"/>
        <v>17.337500000000006</v>
      </c>
      <c r="R61" s="27"/>
    </row>
    <row r="62" spans="9:18" x14ac:dyDescent="0.25">
      <c r="I62" s="6"/>
      <c r="J62" s="14" cm="1">
        <f t="array" ref="J62">INDEX($A$3:$H$12,INT((ROW(J62)-ROW(J$3))/COLUMNS($A$3:$H$12))+1,MOD(ROW(J62)-ROW(J$3),COLUMNS($A$3:$H$12))+1)</f>
        <v>163</v>
      </c>
      <c r="K62" s="14">
        <f t="shared" si="0"/>
        <v>2</v>
      </c>
      <c r="L62" s="8"/>
      <c r="M62" s="16">
        <v>60</v>
      </c>
      <c r="N62" s="20">
        <v>181</v>
      </c>
      <c r="O62" s="18">
        <f t="shared" si="1"/>
        <v>18.337500000000006</v>
      </c>
      <c r="P62" s="18">
        <f t="shared" si="2"/>
        <v>336.26390625000022</v>
      </c>
      <c r="Q62" s="18">
        <f t="shared" si="3"/>
        <v>18.337500000000006</v>
      </c>
      <c r="R62" s="27"/>
    </row>
    <row r="63" spans="9:18" x14ac:dyDescent="0.25">
      <c r="I63" s="6"/>
      <c r="J63" s="14" cm="1">
        <f t="array" ref="J63">INDEX($A$3:$H$12,INT((ROW(J63)-ROW(J$3))/COLUMNS($A$3:$H$12))+1,MOD(ROW(J63)-ROW(J$3),COLUMNS($A$3:$H$12))+1)</f>
        <v>145</v>
      </c>
      <c r="K63" s="14">
        <f t="shared" si="0"/>
        <v>1</v>
      </c>
      <c r="L63" s="8"/>
      <c r="M63" s="16">
        <v>61</v>
      </c>
      <c r="N63" s="17">
        <v>181</v>
      </c>
      <c r="O63" s="18">
        <f t="shared" si="1"/>
        <v>18.337500000000006</v>
      </c>
      <c r="P63" s="18">
        <f t="shared" si="2"/>
        <v>336.26390625000022</v>
      </c>
      <c r="Q63" s="18">
        <f t="shared" si="3"/>
        <v>18.337500000000006</v>
      </c>
      <c r="R63" s="27"/>
    </row>
    <row r="64" spans="9:18" x14ac:dyDescent="0.25">
      <c r="I64" s="6"/>
      <c r="J64" s="14" cm="1">
        <f t="array" ref="J64">INDEX($A$3:$H$12,INT((ROW(J64)-ROW(J$3))/COLUMNS($A$3:$H$12))+1,MOD(ROW(J64)-ROW(J$3),COLUMNS($A$3:$H$12))+1)</f>
        <v>171</v>
      </c>
      <c r="K64" s="14">
        <f t="shared" si="0"/>
        <v>2</v>
      </c>
      <c r="L64" s="8"/>
      <c r="M64" s="16">
        <v>62</v>
      </c>
      <c r="N64" s="20">
        <v>183</v>
      </c>
      <c r="O64" s="18">
        <f t="shared" si="1"/>
        <v>20.337500000000006</v>
      </c>
      <c r="P64" s="18">
        <f t="shared" si="2"/>
        <v>413.61390625000024</v>
      </c>
      <c r="Q64" s="18">
        <f t="shared" si="3"/>
        <v>20.337500000000006</v>
      </c>
      <c r="R64" s="27"/>
    </row>
    <row r="65" spans="9:18" x14ac:dyDescent="0.25">
      <c r="I65" s="6"/>
      <c r="J65" s="14" cm="1">
        <f t="array" ref="J65">INDEX($A$3:$H$12,INT((ROW(J65)-ROW(J$3))/COLUMNS($A$3:$H$12))+1,MOD(ROW(J65)-ROW(J$3),COLUMNS($A$3:$H$12))+1)</f>
        <v>148</v>
      </c>
      <c r="K65" s="14">
        <f t="shared" si="0"/>
        <v>1</v>
      </c>
      <c r="L65" s="8"/>
      <c r="M65" s="16">
        <v>63</v>
      </c>
      <c r="N65" s="17">
        <v>184</v>
      </c>
      <c r="O65" s="18">
        <f t="shared" si="1"/>
        <v>21.337500000000006</v>
      </c>
      <c r="P65" s="18">
        <f t="shared" si="2"/>
        <v>455.28890625000025</v>
      </c>
      <c r="Q65" s="18">
        <f t="shared" si="3"/>
        <v>21.337500000000006</v>
      </c>
      <c r="R65" s="27"/>
    </row>
    <row r="66" spans="9:18" x14ac:dyDescent="0.25">
      <c r="I66" s="6"/>
      <c r="J66" s="14" cm="1">
        <f t="array" ref="J66">INDEX($A$3:$H$12,INT((ROW(J66)-ROW(J$3))/COLUMNS($A$3:$H$12))+1,MOD(ROW(J66)-ROW(J$3),COLUMNS($A$3:$H$12))+1)</f>
        <v>158</v>
      </c>
      <c r="K66" s="14">
        <f t="shared" si="0"/>
        <v>4</v>
      </c>
      <c r="L66" s="8"/>
      <c r="M66" s="16">
        <v>64</v>
      </c>
      <c r="N66" s="20">
        <v>186</v>
      </c>
      <c r="O66" s="18">
        <f t="shared" si="1"/>
        <v>23.337500000000006</v>
      </c>
      <c r="P66" s="18">
        <f t="shared" si="2"/>
        <v>544.63890625000022</v>
      </c>
      <c r="Q66" s="18">
        <f t="shared" si="3"/>
        <v>23.337500000000006</v>
      </c>
      <c r="R66" s="27"/>
    </row>
    <row r="67" spans="9:18" x14ac:dyDescent="0.25">
      <c r="I67" s="6"/>
      <c r="J67" s="14" cm="1">
        <f t="array" ref="J67">INDEX($A$3:$H$12,INT((ROW(J67)-ROW(J$3))/COLUMNS($A$3:$H$12))+1,MOD(ROW(J67)-ROW(J$3),COLUMNS($A$3:$H$12))+1)</f>
        <v>160</v>
      </c>
      <c r="K67" s="14">
        <f t="shared" ref="K67:K82" si="4">COUNTIF($J$3:$J$82, J67)</f>
        <v>3</v>
      </c>
      <c r="L67" s="8"/>
      <c r="M67" s="16">
        <v>65</v>
      </c>
      <c r="N67" s="17">
        <v>190</v>
      </c>
      <c r="O67" s="18">
        <f t="shared" si="1"/>
        <v>27.337500000000006</v>
      </c>
      <c r="P67" s="18">
        <f t="shared" si="2"/>
        <v>747.33890625000026</v>
      </c>
      <c r="Q67" s="18">
        <f t="shared" si="3"/>
        <v>27.337500000000006</v>
      </c>
      <c r="R67" s="27"/>
    </row>
    <row r="68" spans="9:18" x14ac:dyDescent="0.25">
      <c r="I68" s="6"/>
      <c r="J68" s="14" cm="1">
        <f t="array" ref="J68">INDEX($A$3:$H$12,INT((ROW(J68)-ROW(J$3))/COLUMNS($A$3:$H$12))+1,MOD(ROW(J68)-ROW(J$3),COLUMNS($A$3:$H$12))+1)</f>
        <v>175</v>
      </c>
      <c r="K68" s="14">
        <f t="shared" si="4"/>
        <v>1</v>
      </c>
      <c r="L68" s="8"/>
      <c r="M68" s="16">
        <v>66</v>
      </c>
      <c r="N68" s="17">
        <v>193</v>
      </c>
      <c r="O68" s="18">
        <f t="shared" ref="O68:O82" si="5">N68-$E$14</f>
        <v>30.337500000000006</v>
      </c>
      <c r="P68" s="18">
        <f t="shared" ref="P68:P82" si="6">O68^2</f>
        <v>920.36390625000035</v>
      </c>
      <c r="Q68" s="18">
        <f t="shared" ref="Q68:Q82" si="7">ABS(O68)</f>
        <v>30.337500000000006</v>
      </c>
      <c r="R68" s="27"/>
    </row>
    <row r="69" spans="9:18" x14ac:dyDescent="0.25">
      <c r="I69" s="6"/>
      <c r="J69" s="14" cm="1">
        <f t="array" ref="J69">INDEX($A$3:$H$12,INT((ROW(J69)-ROW(J$3))/COLUMNS($A$3:$H$12))+1,MOD(ROW(J69)-ROW(J$3),COLUMNS($A$3:$H$12))+1)</f>
        <v>149</v>
      </c>
      <c r="K69" s="14">
        <f t="shared" si="4"/>
        <v>2</v>
      </c>
      <c r="L69" s="8"/>
      <c r="M69" s="16">
        <v>67</v>
      </c>
      <c r="N69" s="17">
        <v>194</v>
      </c>
      <c r="O69" s="18">
        <f t="shared" si="5"/>
        <v>31.337500000000006</v>
      </c>
      <c r="P69" s="18">
        <f t="shared" si="6"/>
        <v>982.03890625000031</v>
      </c>
      <c r="Q69" s="18">
        <f t="shared" si="7"/>
        <v>31.337500000000006</v>
      </c>
      <c r="R69" s="27"/>
    </row>
    <row r="70" spans="9:18" x14ac:dyDescent="0.25">
      <c r="I70" s="6"/>
      <c r="J70" s="14" cm="1">
        <f t="array" ref="J70">INDEX($A$3:$H$12,INT((ROW(J70)-ROW(J$3))/COLUMNS($A$3:$H$12))+1,MOD(ROW(J70)-ROW(J$3),COLUMNS($A$3:$H$12))+1)</f>
        <v>87</v>
      </c>
      <c r="K70" s="14">
        <f t="shared" si="4"/>
        <v>1</v>
      </c>
      <c r="L70" s="8"/>
      <c r="M70" s="16">
        <v>68</v>
      </c>
      <c r="N70" s="17">
        <v>196</v>
      </c>
      <c r="O70" s="18">
        <f t="shared" si="5"/>
        <v>33.337500000000006</v>
      </c>
      <c r="P70" s="18">
        <f t="shared" si="6"/>
        <v>1111.3889062500004</v>
      </c>
      <c r="Q70" s="18">
        <f t="shared" si="7"/>
        <v>33.337500000000006</v>
      </c>
      <c r="R70" s="27"/>
    </row>
    <row r="71" spans="9:18" x14ac:dyDescent="0.25">
      <c r="I71" s="6"/>
      <c r="J71" s="14" cm="1">
        <f t="array" ref="J71">INDEX($A$3:$H$12,INT((ROW(J71)-ROW(J$3))/COLUMNS($A$3:$H$12))+1,MOD(ROW(J71)-ROW(J$3),COLUMNS($A$3:$H$12))+1)</f>
        <v>160</v>
      </c>
      <c r="K71" s="14">
        <f t="shared" si="4"/>
        <v>3</v>
      </c>
      <c r="L71" s="8"/>
      <c r="M71" s="16">
        <v>69</v>
      </c>
      <c r="N71" s="17">
        <v>199</v>
      </c>
      <c r="O71" s="18">
        <f t="shared" si="5"/>
        <v>36.337500000000006</v>
      </c>
      <c r="P71" s="18">
        <f t="shared" si="6"/>
        <v>1320.4139062500003</v>
      </c>
      <c r="Q71" s="18">
        <f t="shared" si="7"/>
        <v>36.337500000000006</v>
      </c>
      <c r="R71" s="27"/>
    </row>
    <row r="72" spans="9:18" x14ac:dyDescent="0.25">
      <c r="I72" s="6"/>
      <c r="J72" s="14" cm="1">
        <f t="array" ref="J72">INDEX($A$3:$H$12,INT((ROW(J72)-ROW(J$3))/COLUMNS($A$3:$H$12))+1,MOD(ROW(J72)-ROW(J$3),COLUMNS($A$3:$H$12))+1)</f>
        <v>237</v>
      </c>
      <c r="K72" s="14">
        <f t="shared" si="4"/>
        <v>1</v>
      </c>
      <c r="L72" s="8"/>
      <c r="M72" s="16">
        <v>70</v>
      </c>
      <c r="N72" s="17">
        <v>199</v>
      </c>
      <c r="O72" s="18">
        <f t="shared" si="5"/>
        <v>36.337500000000006</v>
      </c>
      <c r="P72" s="18">
        <f t="shared" si="6"/>
        <v>1320.4139062500003</v>
      </c>
      <c r="Q72" s="18">
        <f t="shared" si="7"/>
        <v>36.337500000000006</v>
      </c>
      <c r="R72" s="27"/>
    </row>
    <row r="73" spans="9:18" x14ac:dyDescent="0.25">
      <c r="I73" s="6"/>
      <c r="J73" s="14" cm="1">
        <f t="array" ref="J73">INDEX($A$3:$H$12,INT((ROW(J73)-ROW(J$3))/COLUMNS($A$3:$H$12))+1,MOD(ROW(J73)-ROW(J$3),COLUMNS($A$3:$H$12))+1)</f>
        <v>150</v>
      </c>
      <c r="K73" s="14">
        <f t="shared" si="4"/>
        <v>2</v>
      </c>
      <c r="L73" s="8"/>
      <c r="M73" s="16">
        <v>71</v>
      </c>
      <c r="N73" s="17">
        <v>200</v>
      </c>
      <c r="O73" s="18">
        <f t="shared" si="5"/>
        <v>37.337500000000006</v>
      </c>
      <c r="P73" s="18">
        <f t="shared" si="6"/>
        <v>1394.0889062500005</v>
      </c>
      <c r="Q73" s="18">
        <f t="shared" si="7"/>
        <v>37.337500000000006</v>
      </c>
      <c r="R73" s="27"/>
    </row>
    <row r="74" spans="9:18" x14ac:dyDescent="0.25">
      <c r="I74" s="6"/>
      <c r="J74" s="14" cm="1">
        <f t="array" ref="J74">INDEX($A$3:$H$12,INT((ROW(J74)-ROW(J$3))/COLUMNS($A$3:$H$12))+1,MOD(ROW(J74)-ROW(J$3),COLUMNS($A$3:$H$12))+1)</f>
        <v>135</v>
      </c>
      <c r="K74" s="14">
        <f t="shared" si="4"/>
        <v>2</v>
      </c>
      <c r="L74" s="8"/>
      <c r="M74" s="16">
        <v>72</v>
      </c>
      <c r="N74" s="17">
        <v>201</v>
      </c>
      <c r="O74" s="18">
        <f t="shared" si="5"/>
        <v>38.337500000000006</v>
      </c>
      <c r="P74" s="18">
        <f t="shared" si="6"/>
        <v>1469.7639062500004</v>
      </c>
      <c r="Q74" s="18">
        <f t="shared" si="7"/>
        <v>38.337500000000006</v>
      </c>
      <c r="R74" s="27"/>
    </row>
    <row r="75" spans="9:18" x14ac:dyDescent="0.25">
      <c r="I75" s="6"/>
      <c r="J75" s="14" cm="1">
        <f t="array" ref="J75">INDEX($A$3:$H$12,INT((ROW(J75)-ROW(J$3))/COLUMNS($A$3:$H$12))+1,MOD(ROW(J75)-ROW(J$3),COLUMNS($A$3:$H$12))+1)</f>
        <v>196</v>
      </c>
      <c r="K75" s="14">
        <f t="shared" si="4"/>
        <v>1</v>
      </c>
      <c r="L75" s="8"/>
      <c r="M75" s="16">
        <v>73</v>
      </c>
      <c r="N75" s="17">
        <v>207</v>
      </c>
      <c r="O75" s="18">
        <f t="shared" si="5"/>
        <v>44.337500000000006</v>
      </c>
      <c r="P75" s="18">
        <f t="shared" si="6"/>
        <v>1965.8139062500004</v>
      </c>
      <c r="Q75" s="18">
        <f t="shared" si="7"/>
        <v>44.337500000000006</v>
      </c>
      <c r="R75" s="27"/>
    </row>
    <row r="76" spans="9:18" x14ac:dyDescent="0.25">
      <c r="I76" s="6"/>
      <c r="J76" s="14" cm="1">
        <f t="array" ref="J76">INDEX($A$3:$H$12,INT((ROW(J76)-ROW(J$3))/COLUMNS($A$3:$H$12))+1,MOD(ROW(J76)-ROW(J$3),COLUMNS($A$3:$H$12))+1)</f>
        <v>201</v>
      </c>
      <c r="K76" s="14">
        <f t="shared" si="4"/>
        <v>1</v>
      </c>
      <c r="L76" s="8"/>
      <c r="M76" s="16">
        <v>74</v>
      </c>
      <c r="N76" s="42">
        <v>208</v>
      </c>
      <c r="O76" s="18">
        <f t="shared" si="5"/>
        <v>45.337500000000006</v>
      </c>
      <c r="P76" s="18">
        <f t="shared" si="6"/>
        <v>2055.4889062500006</v>
      </c>
      <c r="Q76" s="18">
        <f t="shared" si="7"/>
        <v>45.337500000000006</v>
      </c>
      <c r="R76" s="27"/>
    </row>
    <row r="77" spans="9:18" x14ac:dyDescent="0.25">
      <c r="I77" s="6"/>
      <c r="J77" s="14" cm="1">
        <f t="array" ref="J77">INDEX($A$3:$H$12,INT((ROW(J77)-ROW(J$3))/COLUMNS($A$3:$H$12))+1,MOD(ROW(J77)-ROW(J$3),COLUMNS($A$3:$H$12))+1)</f>
        <v>200</v>
      </c>
      <c r="K77" s="14">
        <f t="shared" si="4"/>
        <v>1</v>
      </c>
      <c r="L77" s="8"/>
      <c r="M77" s="16">
        <v>75</v>
      </c>
      <c r="N77" s="17">
        <v>218</v>
      </c>
      <c r="O77" s="18">
        <f t="shared" si="5"/>
        <v>55.337500000000006</v>
      </c>
      <c r="P77" s="18">
        <f t="shared" si="6"/>
        <v>3062.2389062500006</v>
      </c>
      <c r="Q77" s="18">
        <f t="shared" si="7"/>
        <v>55.337500000000006</v>
      </c>
      <c r="R77" s="27"/>
    </row>
    <row r="78" spans="9:18" x14ac:dyDescent="0.25">
      <c r="I78" s="6"/>
      <c r="J78" s="14" cm="1">
        <f t="array" ref="J78">INDEX($A$3:$H$12,INT((ROW(J78)-ROW(J$3))/COLUMNS($A$3:$H$12))+1,MOD(ROW(J78)-ROW(J$3),COLUMNS($A$3:$H$12))+1)</f>
        <v>176</v>
      </c>
      <c r="K78" s="14">
        <f t="shared" si="4"/>
        <v>2</v>
      </c>
      <c r="L78" s="8"/>
      <c r="M78" s="16">
        <v>76</v>
      </c>
      <c r="N78" s="20">
        <v>221</v>
      </c>
      <c r="O78" s="18">
        <f t="shared" si="5"/>
        <v>58.337500000000006</v>
      </c>
      <c r="P78" s="18">
        <f t="shared" si="6"/>
        <v>3403.2639062500007</v>
      </c>
      <c r="Q78" s="18">
        <f t="shared" si="7"/>
        <v>58.337500000000006</v>
      </c>
      <c r="R78" s="27"/>
    </row>
    <row r="79" spans="9:18" x14ac:dyDescent="0.25">
      <c r="I79" s="6"/>
      <c r="J79" s="14" cm="1">
        <f t="array" ref="J79">INDEX($A$3:$H$12,INT((ROW(J79)-ROW(J$3))/COLUMNS($A$3:$H$12))+1,MOD(ROW(J79)-ROW(J$3),COLUMNS($A$3:$H$12))+1)</f>
        <v>150</v>
      </c>
      <c r="K79" s="14">
        <f t="shared" si="4"/>
        <v>2</v>
      </c>
      <c r="L79" s="8"/>
      <c r="M79" s="16">
        <v>77</v>
      </c>
      <c r="N79" s="17">
        <v>228</v>
      </c>
      <c r="O79" s="18">
        <f t="shared" si="5"/>
        <v>65.337500000000006</v>
      </c>
      <c r="P79" s="18">
        <f t="shared" si="6"/>
        <v>4268.9889062500006</v>
      </c>
      <c r="Q79" s="18">
        <f t="shared" si="7"/>
        <v>65.337500000000006</v>
      </c>
      <c r="R79" s="27"/>
    </row>
    <row r="80" spans="9:18" x14ac:dyDescent="0.25">
      <c r="I80" s="6"/>
      <c r="J80" s="14" cm="1">
        <f t="array" ref="J80">INDEX($A$3:$H$12,INT((ROW(J80)-ROW(J$3))/COLUMNS($A$3:$H$12))+1,MOD(ROW(J80)-ROW(J$3),COLUMNS($A$3:$H$12))+1)</f>
        <v>170</v>
      </c>
      <c r="K80" s="14">
        <f t="shared" si="4"/>
        <v>1</v>
      </c>
      <c r="L80" s="8"/>
      <c r="M80" s="16">
        <v>78</v>
      </c>
      <c r="N80" s="17">
        <v>229</v>
      </c>
      <c r="O80" s="18">
        <f t="shared" si="5"/>
        <v>66.337500000000006</v>
      </c>
      <c r="P80" s="18">
        <f t="shared" si="6"/>
        <v>4400.6639062500008</v>
      </c>
      <c r="Q80" s="18">
        <f t="shared" si="7"/>
        <v>66.337500000000006</v>
      </c>
      <c r="R80" s="27"/>
    </row>
    <row r="81" spans="9:18" x14ac:dyDescent="0.25">
      <c r="I81" s="6"/>
      <c r="J81" s="14" cm="1">
        <f t="array" ref="J81">INDEX($A$3:$H$12,INT((ROW(J81)-ROW(J$3))/COLUMNS($A$3:$H$12))+1,MOD(ROW(J81)-ROW(J$3),COLUMNS($A$3:$H$12))+1)</f>
        <v>118</v>
      </c>
      <c r="K81" s="14">
        <f t="shared" si="4"/>
        <v>1</v>
      </c>
      <c r="L81" s="8"/>
      <c r="M81" s="16">
        <v>79</v>
      </c>
      <c r="N81" s="17">
        <v>237</v>
      </c>
      <c r="O81" s="18">
        <f t="shared" si="5"/>
        <v>74.337500000000006</v>
      </c>
      <c r="P81" s="18">
        <f t="shared" si="6"/>
        <v>5526.0639062500004</v>
      </c>
      <c r="Q81" s="18">
        <f t="shared" si="7"/>
        <v>74.337500000000006</v>
      </c>
      <c r="R81" s="27"/>
    </row>
    <row r="82" spans="9:18" x14ac:dyDescent="0.25">
      <c r="I82" s="6"/>
      <c r="J82" s="14" cm="1">
        <f t="array" ref="J82">INDEX($A$3:$H$12,INT((ROW(J82)-ROW(J$3))/COLUMNS($A$3:$H$12))+1,MOD(ROW(J82)-ROW(J$3),COLUMNS($A$3:$H$12))+1)</f>
        <v>149</v>
      </c>
      <c r="K82" s="14">
        <f t="shared" si="4"/>
        <v>2</v>
      </c>
      <c r="L82" s="8"/>
      <c r="M82" s="16">
        <v>80</v>
      </c>
      <c r="N82" s="17">
        <v>245</v>
      </c>
      <c r="O82" s="18">
        <f t="shared" si="5"/>
        <v>82.337500000000006</v>
      </c>
      <c r="P82" s="18">
        <f t="shared" si="6"/>
        <v>6779.4639062500009</v>
      </c>
      <c r="Q82" s="18">
        <f t="shared" si="7"/>
        <v>82.337500000000006</v>
      </c>
      <c r="R82" s="27"/>
    </row>
    <row r="83" spans="9:18" x14ac:dyDescent="0.25">
      <c r="J83" s="50"/>
      <c r="K83" s="50"/>
      <c r="M83" s="31"/>
      <c r="N83" s="50"/>
      <c r="O83" s="51"/>
      <c r="P83" s="51"/>
      <c r="Q83" s="24"/>
    </row>
  </sheetData>
  <autoFilter ref="N2:N82" xr:uid="{9C712CA6-FC94-4F4E-90EE-FECB0D61A709}">
    <sortState xmlns:xlrd2="http://schemas.microsoft.com/office/spreadsheetml/2017/richdata2" ref="N3:N82">
      <sortCondition ref="N2:N82"/>
    </sortState>
  </autoFilter>
  <mergeCells count="33">
    <mergeCell ref="B22:D22"/>
    <mergeCell ref="A1:H1"/>
    <mergeCell ref="J1:K1"/>
    <mergeCell ref="M1:Q1"/>
    <mergeCell ref="A2:G2"/>
    <mergeCell ref="B14:D14"/>
    <mergeCell ref="B15:D15"/>
    <mergeCell ref="B16:D16"/>
    <mergeCell ref="B17:D17"/>
    <mergeCell ref="B19:D19"/>
    <mergeCell ref="B20:D20"/>
    <mergeCell ref="B21:D21"/>
    <mergeCell ref="B34:D34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41:D41"/>
    <mergeCell ref="B42:D42"/>
    <mergeCell ref="B43:D43"/>
    <mergeCell ref="B35:D35"/>
    <mergeCell ref="B36:D36"/>
    <mergeCell ref="B37:D37"/>
    <mergeCell ref="B38:D38"/>
    <mergeCell ref="B39:D39"/>
    <mergeCell ref="B40:D4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BC370-DA22-4A37-BBAD-B11E2712FC22}">
  <dimension ref="A1:V91"/>
  <sheetViews>
    <sheetView zoomScaleNormal="100" workbookViewId="0">
      <selection activeCell="G24" sqref="G24"/>
    </sheetView>
  </sheetViews>
  <sheetFormatPr defaultRowHeight="15" x14ac:dyDescent="0.25"/>
  <cols>
    <col min="1" max="1" width="4.140625" style="1" customWidth="1"/>
    <col min="2" max="2" width="6.5703125" style="36" bestFit="1" customWidth="1"/>
    <col min="3" max="3" width="12.42578125" style="48" customWidth="1"/>
    <col min="4" max="4" width="8.140625" style="1" customWidth="1"/>
    <col min="5" max="5" width="19.140625" style="1" customWidth="1"/>
    <col min="6" max="6" width="11.28515625" style="1" customWidth="1"/>
    <col min="7" max="7" width="5.140625" style="1" customWidth="1"/>
    <col min="8" max="8" width="6.85546875" style="1" customWidth="1"/>
    <col min="9" max="9" width="11.42578125" style="1" customWidth="1"/>
    <col min="10" max="10" width="14.85546875" style="1" customWidth="1"/>
    <col min="11" max="11" width="15.28515625" style="1" customWidth="1"/>
    <col min="12" max="12" width="21.7109375" style="1" bestFit="1" customWidth="1"/>
    <col min="13" max="13" width="12.5703125" style="1" customWidth="1"/>
    <col min="14" max="14" width="16.85546875" style="1" customWidth="1"/>
    <col min="15" max="15" width="13.85546875" style="1" customWidth="1"/>
    <col min="16" max="16" width="12" style="1" bestFit="1" customWidth="1"/>
    <col min="17" max="17" width="15.140625" style="1" bestFit="1" customWidth="1"/>
    <col min="18" max="19" width="16.85546875" style="1" customWidth="1"/>
    <col min="20" max="22" width="9.140625" style="1" customWidth="1"/>
    <col min="23" max="16384" width="9.140625" style="1"/>
  </cols>
  <sheetData>
    <row r="1" spans="1:22" ht="28.5" customHeight="1" x14ac:dyDescent="0.25">
      <c r="B1" s="194" t="s">
        <v>2</v>
      </c>
      <c r="C1" s="195"/>
      <c r="D1" s="2"/>
      <c r="E1" s="3"/>
      <c r="F1" s="3"/>
      <c r="G1" s="3"/>
      <c r="H1" s="5"/>
      <c r="I1" s="213" t="s">
        <v>42</v>
      </c>
      <c r="J1" s="214"/>
      <c r="K1" s="214"/>
      <c r="L1" s="214"/>
      <c r="M1" s="214"/>
      <c r="N1" s="214"/>
      <c r="O1" s="214"/>
      <c r="P1" s="214"/>
      <c r="Q1" s="214"/>
      <c r="R1" s="214"/>
      <c r="S1" s="215"/>
    </row>
    <row r="2" spans="1:22" ht="30" x14ac:dyDescent="0.25">
      <c r="A2" s="8"/>
      <c r="B2" s="9" t="s">
        <v>6</v>
      </c>
      <c r="C2" s="10" t="s">
        <v>4</v>
      </c>
      <c r="D2" s="13"/>
      <c r="E2" s="4"/>
      <c r="F2" s="4"/>
      <c r="G2" s="78"/>
      <c r="H2" s="81" t="s">
        <v>136</v>
      </c>
      <c r="I2" s="216" t="s">
        <v>54</v>
      </c>
      <c r="J2" s="216"/>
      <c r="K2" s="103" t="s">
        <v>135</v>
      </c>
      <c r="L2" s="12" t="s">
        <v>142</v>
      </c>
      <c r="M2" s="12" t="s">
        <v>141</v>
      </c>
      <c r="N2" s="103" t="s">
        <v>143</v>
      </c>
      <c r="O2" s="104" t="s">
        <v>59</v>
      </c>
      <c r="P2" s="104" t="s">
        <v>60</v>
      </c>
      <c r="Q2" s="104" t="s">
        <v>140</v>
      </c>
      <c r="R2" s="117" t="s">
        <v>145</v>
      </c>
      <c r="S2" s="117" t="s">
        <v>146</v>
      </c>
      <c r="U2" s="170" t="s">
        <v>54</v>
      </c>
      <c r="V2" s="170" t="s">
        <v>55</v>
      </c>
    </row>
    <row r="3" spans="1:22" x14ac:dyDescent="0.25">
      <c r="A3" s="8"/>
      <c r="B3" s="16">
        <v>1</v>
      </c>
      <c r="C3" s="17">
        <v>76</v>
      </c>
      <c r="D3" s="70"/>
      <c r="E3" s="76" t="s">
        <v>94</v>
      </c>
      <c r="F3" s="71">
        <f>MAX(C3:C82)</f>
        <v>245</v>
      </c>
      <c r="G3" s="8"/>
      <c r="H3" s="82">
        <v>1</v>
      </c>
      <c r="I3" s="74">
        <f>C3</f>
        <v>76</v>
      </c>
      <c r="J3" s="72">
        <f t="shared" ref="J3:J14" si="0">I3+14</f>
        <v>90</v>
      </c>
      <c r="K3" s="72">
        <f t="shared" ref="K3:K14" si="1">COUNTIF($C$3:$C$82, "&gt;=" &amp; I3) - COUNTIF($C$3:$C$82, "&gt;" &amp; J3)</f>
        <v>2</v>
      </c>
      <c r="L3" s="72">
        <v>2</v>
      </c>
      <c r="M3" s="75">
        <f t="shared" ref="M3:M14" si="2">AVERAGE(I3:J3)</f>
        <v>83</v>
      </c>
      <c r="N3" s="72">
        <f t="shared" ref="N3:N14" si="3">M3*K3</f>
        <v>166</v>
      </c>
      <c r="O3" s="75">
        <f t="shared" ref="O3:O15" si="4">M3-$M$17</f>
        <v>-79.125</v>
      </c>
      <c r="P3" s="113">
        <f>O3^2</f>
        <v>6260.765625</v>
      </c>
      <c r="Q3" s="116">
        <f>K3*P3</f>
        <v>12521.53125</v>
      </c>
      <c r="R3" s="118">
        <f>ABS(O3)</f>
        <v>79.125</v>
      </c>
      <c r="S3" s="119">
        <f>R3*K3</f>
        <v>158.25</v>
      </c>
      <c r="T3" s="27"/>
      <c r="U3" s="62" t="s">
        <v>96</v>
      </c>
      <c r="V3" s="62">
        <v>2</v>
      </c>
    </row>
    <row r="4" spans="1:22" x14ac:dyDescent="0.25">
      <c r="A4" s="8"/>
      <c r="B4" s="16">
        <v>2</v>
      </c>
      <c r="C4" s="17">
        <v>87</v>
      </c>
      <c r="D4" s="70"/>
      <c r="E4" s="76" t="s">
        <v>95</v>
      </c>
      <c r="F4" s="71">
        <f>MIN(C3:C82)</f>
        <v>76</v>
      </c>
      <c r="G4" s="8"/>
      <c r="H4" s="82">
        <v>2</v>
      </c>
      <c r="I4" s="74">
        <f t="shared" ref="I4:I14" si="5">J3+1</f>
        <v>91</v>
      </c>
      <c r="J4" s="72">
        <f t="shared" si="0"/>
        <v>105</v>
      </c>
      <c r="K4" s="72">
        <f t="shared" si="1"/>
        <v>3</v>
      </c>
      <c r="L4" s="72">
        <v>5</v>
      </c>
      <c r="M4" s="75">
        <f t="shared" si="2"/>
        <v>98</v>
      </c>
      <c r="N4" s="72">
        <f t="shared" si="3"/>
        <v>294</v>
      </c>
      <c r="O4" s="75">
        <f t="shared" si="4"/>
        <v>-64.125</v>
      </c>
      <c r="P4" s="113">
        <f t="shared" ref="P4:P15" si="6">O4^2</f>
        <v>4112.015625</v>
      </c>
      <c r="Q4" s="116">
        <f t="shared" ref="Q4:Q13" si="7">K4*P4</f>
        <v>12336.046875</v>
      </c>
      <c r="R4" s="118">
        <f t="shared" ref="R4:R14" si="8">ABS(O4)</f>
        <v>64.125</v>
      </c>
      <c r="S4" s="119">
        <f t="shared" ref="S4:S14" si="9">R4*K4</f>
        <v>192.375</v>
      </c>
      <c r="T4" s="27"/>
      <c r="U4" s="62" t="s">
        <v>97</v>
      </c>
      <c r="V4" s="62">
        <v>3</v>
      </c>
    </row>
    <row r="5" spans="1:22" x14ac:dyDescent="0.25">
      <c r="A5" s="8"/>
      <c r="B5" s="16">
        <v>3</v>
      </c>
      <c r="C5" s="20">
        <v>97</v>
      </c>
      <c r="D5" s="70"/>
      <c r="E5" s="76" t="s">
        <v>86</v>
      </c>
      <c r="F5" s="71">
        <f>F3-F4</f>
        <v>169</v>
      </c>
      <c r="G5" s="8"/>
      <c r="H5" s="82">
        <v>3</v>
      </c>
      <c r="I5" s="74">
        <f t="shared" si="5"/>
        <v>106</v>
      </c>
      <c r="J5" s="72">
        <f t="shared" si="0"/>
        <v>120</v>
      </c>
      <c r="K5" s="72">
        <f t="shared" si="1"/>
        <v>4</v>
      </c>
      <c r="L5" s="72">
        <v>9</v>
      </c>
      <c r="M5" s="75">
        <f t="shared" si="2"/>
        <v>113</v>
      </c>
      <c r="N5" s="72">
        <f t="shared" si="3"/>
        <v>452</v>
      </c>
      <c r="O5" s="75">
        <f t="shared" si="4"/>
        <v>-49.125</v>
      </c>
      <c r="P5" s="113">
        <f t="shared" si="6"/>
        <v>2413.265625</v>
      </c>
      <c r="Q5" s="116">
        <f t="shared" si="7"/>
        <v>9653.0625</v>
      </c>
      <c r="R5" s="118">
        <f t="shared" si="8"/>
        <v>49.125</v>
      </c>
      <c r="S5" s="119">
        <f t="shared" si="9"/>
        <v>196.5</v>
      </c>
      <c r="T5" s="27"/>
      <c r="U5" s="62" t="s">
        <v>98</v>
      </c>
      <c r="V5" s="62">
        <v>4</v>
      </c>
    </row>
    <row r="6" spans="1:22" x14ac:dyDescent="0.25">
      <c r="A6" s="8"/>
      <c r="B6" s="16">
        <v>4</v>
      </c>
      <c r="C6" s="17">
        <v>101</v>
      </c>
      <c r="D6" s="70"/>
      <c r="E6" s="76" t="s">
        <v>119</v>
      </c>
      <c r="F6" s="71">
        <v>14</v>
      </c>
      <c r="G6" s="8"/>
      <c r="H6" s="82">
        <v>4</v>
      </c>
      <c r="I6" s="74">
        <f t="shared" si="5"/>
        <v>121</v>
      </c>
      <c r="J6" s="72">
        <f t="shared" si="0"/>
        <v>135</v>
      </c>
      <c r="K6" s="72">
        <f t="shared" si="1"/>
        <v>8</v>
      </c>
      <c r="L6" s="72">
        <v>17</v>
      </c>
      <c r="M6" s="75">
        <f t="shared" si="2"/>
        <v>128</v>
      </c>
      <c r="N6" s="72">
        <f t="shared" si="3"/>
        <v>1024</v>
      </c>
      <c r="O6" s="75">
        <f t="shared" si="4"/>
        <v>-34.125</v>
      </c>
      <c r="P6" s="113">
        <f t="shared" si="6"/>
        <v>1164.515625</v>
      </c>
      <c r="Q6" s="116">
        <f t="shared" si="7"/>
        <v>9316.125</v>
      </c>
      <c r="R6" s="118">
        <f t="shared" si="8"/>
        <v>34.125</v>
      </c>
      <c r="S6" s="119">
        <f t="shared" si="9"/>
        <v>273</v>
      </c>
      <c r="T6" s="27"/>
      <c r="U6" s="62" t="s">
        <v>99</v>
      </c>
      <c r="V6" s="62">
        <v>8</v>
      </c>
    </row>
    <row r="7" spans="1:22" x14ac:dyDescent="0.25">
      <c r="A7" s="8"/>
      <c r="B7" s="16">
        <v>5</v>
      </c>
      <c r="C7" s="20">
        <v>105</v>
      </c>
      <c r="D7" s="70"/>
      <c r="E7" s="77" t="s">
        <v>51</v>
      </c>
      <c r="F7" s="72">
        <f>F5/F6</f>
        <v>12.071428571428571</v>
      </c>
      <c r="G7" s="8"/>
      <c r="H7" s="82">
        <v>5</v>
      </c>
      <c r="I7" s="74">
        <f t="shared" si="5"/>
        <v>136</v>
      </c>
      <c r="J7" s="72">
        <f t="shared" si="0"/>
        <v>150</v>
      </c>
      <c r="K7" s="72">
        <f t="shared" si="1"/>
        <v>10</v>
      </c>
      <c r="L7" s="72">
        <v>27</v>
      </c>
      <c r="M7" s="75">
        <f t="shared" si="2"/>
        <v>143</v>
      </c>
      <c r="N7" s="72">
        <f t="shared" si="3"/>
        <v>1430</v>
      </c>
      <c r="O7" s="75">
        <f t="shared" si="4"/>
        <v>-19.125</v>
      </c>
      <c r="P7" s="113">
        <f t="shared" si="6"/>
        <v>365.765625</v>
      </c>
      <c r="Q7" s="116">
        <f t="shared" si="7"/>
        <v>3657.65625</v>
      </c>
      <c r="R7" s="118">
        <f t="shared" si="8"/>
        <v>19.125</v>
      </c>
      <c r="S7" s="119">
        <f t="shared" si="9"/>
        <v>191.25</v>
      </c>
      <c r="T7" s="27"/>
      <c r="U7" s="62" t="s">
        <v>100</v>
      </c>
      <c r="V7" s="62">
        <v>10</v>
      </c>
    </row>
    <row r="8" spans="1:22" x14ac:dyDescent="0.25">
      <c r="A8" s="8"/>
      <c r="B8" s="16">
        <v>6</v>
      </c>
      <c r="C8" s="17">
        <v>110</v>
      </c>
      <c r="D8" s="13"/>
      <c r="E8" s="24"/>
      <c r="F8" s="24"/>
      <c r="G8" s="8"/>
      <c r="H8" s="82">
        <v>6</v>
      </c>
      <c r="I8" s="74">
        <f t="shared" si="5"/>
        <v>151</v>
      </c>
      <c r="J8" s="72">
        <f t="shared" si="0"/>
        <v>165</v>
      </c>
      <c r="K8" s="72">
        <f t="shared" si="1"/>
        <v>16</v>
      </c>
      <c r="L8" s="72">
        <v>43</v>
      </c>
      <c r="M8" s="75">
        <f t="shared" si="2"/>
        <v>158</v>
      </c>
      <c r="N8" s="72">
        <f t="shared" si="3"/>
        <v>2528</v>
      </c>
      <c r="O8" s="75">
        <f t="shared" si="4"/>
        <v>-4.125</v>
      </c>
      <c r="P8" s="113">
        <f t="shared" si="6"/>
        <v>17.015625</v>
      </c>
      <c r="Q8" s="116">
        <f t="shared" si="7"/>
        <v>272.25</v>
      </c>
      <c r="R8" s="118">
        <f t="shared" si="8"/>
        <v>4.125</v>
      </c>
      <c r="S8" s="119">
        <f t="shared" si="9"/>
        <v>66</v>
      </c>
      <c r="T8" s="27"/>
      <c r="U8" s="62" t="s">
        <v>67</v>
      </c>
      <c r="V8" s="62">
        <v>16</v>
      </c>
    </row>
    <row r="9" spans="1:22" x14ac:dyDescent="0.25">
      <c r="A9" s="8"/>
      <c r="B9" s="16">
        <v>7</v>
      </c>
      <c r="C9" s="17">
        <v>115</v>
      </c>
      <c r="D9" s="13"/>
      <c r="G9" s="6"/>
      <c r="H9" s="82">
        <v>7</v>
      </c>
      <c r="I9" s="74">
        <f t="shared" si="5"/>
        <v>166</v>
      </c>
      <c r="J9" s="72">
        <f t="shared" si="0"/>
        <v>180</v>
      </c>
      <c r="K9" s="72">
        <f t="shared" si="1"/>
        <v>16</v>
      </c>
      <c r="L9" s="72">
        <v>59</v>
      </c>
      <c r="M9" s="75">
        <f t="shared" si="2"/>
        <v>173</v>
      </c>
      <c r="N9" s="72">
        <f t="shared" si="3"/>
        <v>2768</v>
      </c>
      <c r="O9" s="75">
        <f t="shared" si="4"/>
        <v>10.875</v>
      </c>
      <c r="P9" s="113">
        <f t="shared" si="6"/>
        <v>118.265625</v>
      </c>
      <c r="Q9" s="116">
        <f t="shared" si="7"/>
        <v>1892.25</v>
      </c>
      <c r="R9" s="118">
        <f t="shared" si="8"/>
        <v>10.875</v>
      </c>
      <c r="S9" s="119">
        <f t="shared" si="9"/>
        <v>174</v>
      </c>
      <c r="T9" s="27"/>
      <c r="U9" s="62" t="s">
        <v>130</v>
      </c>
      <c r="V9" s="62">
        <v>16</v>
      </c>
    </row>
    <row r="10" spans="1:22" x14ac:dyDescent="0.25">
      <c r="A10" s="8"/>
      <c r="B10" s="16">
        <v>8</v>
      </c>
      <c r="C10" s="17">
        <v>118</v>
      </c>
      <c r="D10" s="13"/>
      <c r="G10" s="8"/>
      <c r="H10" s="82">
        <v>8</v>
      </c>
      <c r="I10" s="74">
        <f t="shared" si="5"/>
        <v>181</v>
      </c>
      <c r="J10" s="72">
        <f t="shared" si="0"/>
        <v>195</v>
      </c>
      <c r="K10" s="72">
        <f t="shared" si="1"/>
        <v>8</v>
      </c>
      <c r="L10" s="72">
        <v>67</v>
      </c>
      <c r="M10" s="75">
        <f t="shared" si="2"/>
        <v>188</v>
      </c>
      <c r="N10" s="72">
        <f t="shared" si="3"/>
        <v>1504</v>
      </c>
      <c r="O10" s="75">
        <f t="shared" si="4"/>
        <v>25.875</v>
      </c>
      <c r="P10" s="113">
        <f t="shared" si="6"/>
        <v>669.515625</v>
      </c>
      <c r="Q10" s="116">
        <f t="shared" si="7"/>
        <v>5356.125</v>
      </c>
      <c r="R10" s="118">
        <f t="shared" si="8"/>
        <v>25.875</v>
      </c>
      <c r="S10" s="119">
        <f t="shared" si="9"/>
        <v>207</v>
      </c>
      <c r="T10" s="27"/>
      <c r="U10" s="62" t="s">
        <v>101</v>
      </c>
      <c r="V10" s="62">
        <v>8</v>
      </c>
    </row>
    <row r="11" spans="1:22" x14ac:dyDescent="0.25">
      <c r="A11" s="8"/>
      <c r="B11" s="16">
        <v>9</v>
      </c>
      <c r="C11" s="20">
        <v>120</v>
      </c>
      <c r="D11" s="13"/>
      <c r="G11" s="8"/>
      <c r="H11" s="82">
        <v>9</v>
      </c>
      <c r="I11" s="74">
        <f t="shared" si="5"/>
        <v>196</v>
      </c>
      <c r="J11" s="72">
        <f t="shared" si="0"/>
        <v>210</v>
      </c>
      <c r="K11" s="72">
        <f t="shared" si="1"/>
        <v>7</v>
      </c>
      <c r="L11" s="72">
        <v>74</v>
      </c>
      <c r="M11" s="75">
        <f t="shared" si="2"/>
        <v>203</v>
      </c>
      <c r="N11" s="72">
        <f t="shared" si="3"/>
        <v>1421</v>
      </c>
      <c r="O11" s="75">
        <f t="shared" si="4"/>
        <v>40.875</v>
      </c>
      <c r="P11" s="113">
        <f t="shared" si="6"/>
        <v>1670.765625</v>
      </c>
      <c r="Q11" s="116">
        <f t="shared" si="7"/>
        <v>11695.359375</v>
      </c>
      <c r="R11" s="118">
        <f t="shared" si="8"/>
        <v>40.875</v>
      </c>
      <c r="S11" s="119">
        <f t="shared" si="9"/>
        <v>286.125</v>
      </c>
      <c r="T11" s="27"/>
      <c r="U11" s="62" t="s">
        <v>102</v>
      </c>
      <c r="V11" s="62">
        <v>7</v>
      </c>
    </row>
    <row r="12" spans="1:22" x14ac:dyDescent="0.25">
      <c r="A12" s="8"/>
      <c r="B12" s="16">
        <v>10</v>
      </c>
      <c r="C12" s="20">
        <v>121</v>
      </c>
      <c r="D12" s="13"/>
      <c r="G12" s="8"/>
      <c r="H12" s="82">
        <v>10</v>
      </c>
      <c r="I12" s="74">
        <f t="shared" si="5"/>
        <v>211</v>
      </c>
      <c r="J12" s="72">
        <f t="shared" si="0"/>
        <v>225</v>
      </c>
      <c r="K12" s="72">
        <f t="shared" si="1"/>
        <v>2</v>
      </c>
      <c r="L12" s="72">
        <v>76</v>
      </c>
      <c r="M12" s="75">
        <f t="shared" si="2"/>
        <v>218</v>
      </c>
      <c r="N12" s="72">
        <f t="shared" si="3"/>
        <v>436</v>
      </c>
      <c r="O12" s="75">
        <f t="shared" si="4"/>
        <v>55.875</v>
      </c>
      <c r="P12" s="113">
        <f t="shared" si="6"/>
        <v>3122.015625</v>
      </c>
      <c r="Q12" s="116">
        <f t="shared" si="7"/>
        <v>6244.03125</v>
      </c>
      <c r="R12" s="118">
        <f t="shared" si="8"/>
        <v>55.875</v>
      </c>
      <c r="S12" s="119">
        <f t="shared" si="9"/>
        <v>111.75</v>
      </c>
      <c r="T12" s="27"/>
      <c r="U12" s="62" t="s">
        <v>104</v>
      </c>
      <c r="V12" s="62">
        <v>2</v>
      </c>
    </row>
    <row r="13" spans="1:22" x14ac:dyDescent="0.25">
      <c r="A13" s="8"/>
      <c r="B13" s="16">
        <v>11</v>
      </c>
      <c r="C13" s="17">
        <v>123</v>
      </c>
      <c r="D13" s="13"/>
      <c r="G13" s="8"/>
      <c r="H13" s="82">
        <v>11</v>
      </c>
      <c r="I13" s="74">
        <f t="shared" si="5"/>
        <v>226</v>
      </c>
      <c r="J13" s="72">
        <f t="shared" si="0"/>
        <v>240</v>
      </c>
      <c r="K13" s="72">
        <f t="shared" si="1"/>
        <v>3</v>
      </c>
      <c r="L13" s="72">
        <v>79</v>
      </c>
      <c r="M13" s="75">
        <f t="shared" si="2"/>
        <v>233</v>
      </c>
      <c r="N13" s="72">
        <f t="shared" si="3"/>
        <v>699</v>
      </c>
      <c r="O13" s="75">
        <f t="shared" si="4"/>
        <v>70.875</v>
      </c>
      <c r="P13" s="113">
        <f>O13^2</f>
        <v>5023.265625</v>
      </c>
      <c r="Q13" s="116">
        <f t="shared" si="7"/>
        <v>15069.796875</v>
      </c>
      <c r="R13" s="118">
        <f t="shared" si="8"/>
        <v>70.875</v>
      </c>
      <c r="S13" s="119">
        <f t="shared" si="9"/>
        <v>212.625</v>
      </c>
      <c r="T13" s="27"/>
      <c r="U13" s="62" t="s">
        <v>103</v>
      </c>
      <c r="V13" s="62">
        <v>3</v>
      </c>
    </row>
    <row r="14" spans="1:22" x14ac:dyDescent="0.25">
      <c r="A14" s="8"/>
      <c r="B14" s="16">
        <v>12</v>
      </c>
      <c r="C14" s="17">
        <v>131</v>
      </c>
      <c r="D14" s="13"/>
      <c r="G14" s="8"/>
      <c r="H14" s="82">
        <v>12</v>
      </c>
      <c r="I14" s="74">
        <f t="shared" si="5"/>
        <v>241</v>
      </c>
      <c r="J14" s="72">
        <f t="shared" si="0"/>
        <v>255</v>
      </c>
      <c r="K14" s="72">
        <f t="shared" si="1"/>
        <v>1</v>
      </c>
      <c r="L14" s="73">
        <v>80</v>
      </c>
      <c r="M14" s="75">
        <f t="shared" si="2"/>
        <v>248</v>
      </c>
      <c r="N14" s="72">
        <f t="shared" si="3"/>
        <v>248</v>
      </c>
      <c r="O14" s="75">
        <f t="shared" si="4"/>
        <v>85.875</v>
      </c>
      <c r="P14" s="113">
        <f t="shared" si="6"/>
        <v>7374.515625</v>
      </c>
      <c r="Q14" s="116">
        <f>K14*P14</f>
        <v>7374.515625</v>
      </c>
      <c r="R14" s="118">
        <f t="shared" si="8"/>
        <v>85.875</v>
      </c>
      <c r="S14" s="119">
        <f t="shared" si="9"/>
        <v>85.875</v>
      </c>
      <c r="T14" s="27"/>
      <c r="U14" s="62" t="s">
        <v>105</v>
      </c>
      <c r="V14" s="62">
        <v>1</v>
      </c>
    </row>
    <row r="15" spans="1:22" x14ac:dyDescent="0.25">
      <c r="A15" s="8"/>
      <c r="B15" s="16">
        <v>13</v>
      </c>
      <c r="C15" s="17">
        <v>133</v>
      </c>
      <c r="D15" s="13"/>
      <c r="H15" s="24"/>
      <c r="I15" s="24"/>
      <c r="J15" s="24"/>
      <c r="K15" s="109">
        <f>SUM(K3:K14)</f>
        <v>80</v>
      </c>
      <c r="L15" s="24"/>
      <c r="M15" s="115"/>
      <c r="N15" s="109">
        <f>SUM(N3:N14)</f>
        <v>12970</v>
      </c>
      <c r="O15" s="24">
        <f t="shared" si="4"/>
        <v>-162.125</v>
      </c>
      <c r="P15" s="24">
        <f t="shared" si="6"/>
        <v>26284.515625</v>
      </c>
      <c r="Q15" s="114">
        <f>SUM(Q3:Q14)</f>
        <v>95388.75</v>
      </c>
      <c r="R15" s="115"/>
      <c r="S15" s="109">
        <f>SUM(S3:S14)</f>
        <v>2154.75</v>
      </c>
    </row>
    <row r="16" spans="1:22" x14ac:dyDescent="0.25">
      <c r="A16" s="8"/>
      <c r="B16" s="16">
        <v>14</v>
      </c>
      <c r="C16" s="17">
        <v>133</v>
      </c>
      <c r="D16" s="13"/>
    </row>
    <row r="17" spans="1:18" x14ac:dyDescent="0.25">
      <c r="A17" s="8"/>
      <c r="B17" s="16">
        <v>15</v>
      </c>
      <c r="C17" s="17">
        <v>134</v>
      </c>
      <c r="D17" s="13"/>
      <c r="I17" s="135">
        <v>1</v>
      </c>
      <c r="J17" s="204" t="s">
        <v>10</v>
      </c>
      <c r="K17" s="204"/>
      <c r="L17" s="204"/>
      <c r="M17" s="136">
        <f>N15/M18</f>
        <v>162.125</v>
      </c>
      <c r="N17" s="25"/>
    </row>
    <row r="18" spans="1:18" x14ac:dyDescent="0.25">
      <c r="A18" s="8"/>
      <c r="B18" s="16">
        <v>16</v>
      </c>
      <c r="C18" s="17">
        <v>135</v>
      </c>
      <c r="D18" s="13"/>
      <c r="I18" s="135"/>
      <c r="J18" s="125" t="s">
        <v>11</v>
      </c>
      <c r="K18" s="125"/>
      <c r="L18" s="125"/>
      <c r="M18" s="126">
        <f>COUNT(C3:C102)</f>
        <v>80</v>
      </c>
      <c r="N18" s="25"/>
    </row>
    <row r="19" spans="1:18" x14ac:dyDescent="0.25">
      <c r="A19" s="8"/>
      <c r="B19" s="16">
        <v>17</v>
      </c>
      <c r="C19" s="17">
        <v>135</v>
      </c>
      <c r="D19" s="13"/>
      <c r="I19" s="135">
        <v>2</v>
      </c>
      <c r="J19" s="201" t="s">
        <v>12</v>
      </c>
      <c r="K19" s="202"/>
      <c r="L19" s="203"/>
      <c r="M19" s="137">
        <f>M26+((M24-M28)/M27)*M23</f>
        <v>162.375</v>
      </c>
    </row>
    <row r="20" spans="1:18" x14ac:dyDescent="0.25">
      <c r="A20" s="8"/>
      <c r="B20" s="16">
        <v>18</v>
      </c>
      <c r="C20" s="17">
        <v>141</v>
      </c>
      <c r="D20" s="13"/>
      <c r="I20" s="110"/>
      <c r="J20" s="205"/>
      <c r="K20" s="206"/>
      <c r="L20" s="206"/>
      <c r="M20" s="207"/>
    </row>
    <row r="21" spans="1:18" x14ac:dyDescent="0.25">
      <c r="A21" s="8"/>
      <c r="B21" s="16">
        <v>19</v>
      </c>
      <c r="C21" s="17">
        <v>142</v>
      </c>
      <c r="D21" s="13"/>
      <c r="I21" s="110"/>
      <c r="J21" s="205"/>
      <c r="K21" s="206"/>
      <c r="L21" s="206"/>
      <c r="M21" s="207"/>
    </row>
    <row r="22" spans="1:18" x14ac:dyDescent="0.25">
      <c r="A22" s="8"/>
      <c r="B22" s="16">
        <v>20</v>
      </c>
      <c r="C22" s="20">
        <v>143</v>
      </c>
      <c r="D22" s="13"/>
      <c r="E22" s="2"/>
      <c r="F22" s="2"/>
      <c r="G22" s="2"/>
      <c r="H22" s="2"/>
      <c r="I22" s="110"/>
      <c r="J22" s="208"/>
      <c r="K22" s="209"/>
      <c r="L22" s="209"/>
      <c r="M22" s="210"/>
      <c r="N22" s="2"/>
      <c r="O22" s="2"/>
      <c r="P22" s="2"/>
      <c r="Q22" s="2"/>
      <c r="R22" s="2"/>
    </row>
    <row r="23" spans="1:18" x14ac:dyDescent="0.25">
      <c r="A23" s="8"/>
      <c r="B23" s="16">
        <v>21</v>
      </c>
      <c r="C23" s="17">
        <v>145</v>
      </c>
      <c r="D23" s="13"/>
      <c r="E23" s="2"/>
      <c r="F23" s="2"/>
      <c r="G23" s="2"/>
      <c r="H23" s="2"/>
      <c r="I23" s="135"/>
      <c r="J23" s="138" t="s">
        <v>106</v>
      </c>
      <c r="K23" s="139"/>
      <c r="L23" s="139"/>
      <c r="M23" s="140">
        <f>J3-I3</f>
        <v>14</v>
      </c>
      <c r="N23" s="2"/>
      <c r="O23" s="2"/>
      <c r="P23" s="2"/>
      <c r="Q23" s="2"/>
      <c r="R23" s="2"/>
    </row>
    <row r="24" spans="1:18" x14ac:dyDescent="0.25">
      <c r="A24" s="8"/>
      <c r="B24" s="16">
        <v>22</v>
      </c>
      <c r="C24" s="17">
        <v>146</v>
      </c>
      <c r="D24" s="13"/>
      <c r="E24" s="2"/>
      <c r="F24" s="2"/>
      <c r="G24" s="2"/>
      <c r="H24" s="2"/>
      <c r="I24" s="110"/>
      <c r="J24" s="141" t="s">
        <v>149</v>
      </c>
      <c r="K24" s="141"/>
      <c r="L24" s="141"/>
      <c r="M24" s="141">
        <f>M18/2</f>
        <v>40</v>
      </c>
      <c r="N24" s="2"/>
      <c r="O24" s="2"/>
      <c r="P24" s="2"/>
      <c r="Q24" s="2"/>
      <c r="R24" s="2"/>
    </row>
    <row r="25" spans="1:18" x14ac:dyDescent="0.25">
      <c r="A25" s="8"/>
      <c r="B25" s="16">
        <v>23</v>
      </c>
      <c r="C25" s="17">
        <v>148</v>
      </c>
      <c r="D25" s="13"/>
      <c r="E25" s="2"/>
      <c r="F25" s="2"/>
      <c r="G25" s="2"/>
      <c r="H25" s="2"/>
      <c r="I25" s="110"/>
      <c r="J25" s="141" t="s">
        <v>150</v>
      </c>
      <c r="K25" s="141"/>
      <c r="L25" s="141"/>
      <c r="M25" s="142" t="s">
        <v>67</v>
      </c>
      <c r="N25" s="2"/>
      <c r="O25" s="2"/>
      <c r="P25" s="2"/>
      <c r="Q25" s="2"/>
      <c r="R25" s="2"/>
    </row>
    <row r="26" spans="1:18" x14ac:dyDescent="0.25">
      <c r="A26" s="8"/>
      <c r="B26" s="16">
        <v>24</v>
      </c>
      <c r="C26" s="17">
        <v>149</v>
      </c>
      <c r="D26" s="13"/>
      <c r="E26" s="2"/>
      <c r="F26" s="2"/>
      <c r="G26" s="2"/>
      <c r="H26" s="2"/>
      <c r="I26" s="110"/>
      <c r="J26" s="141" t="s">
        <v>151</v>
      </c>
      <c r="K26" s="141"/>
      <c r="L26" s="141"/>
      <c r="M26" s="141">
        <v>151</v>
      </c>
      <c r="N26" s="2"/>
      <c r="O26" s="2"/>
      <c r="P26" s="2"/>
      <c r="Q26" s="2"/>
      <c r="R26" s="2"/>
    </row>
    <row r="27" spans="1:18" x14ac:dyDescent="0.25">
      <c r="A27" s="8"/>
      <c r="B27" s="16">
        <v>25</v>
      </c>
      <c r="C27" s="17">
        <v>149</v>
      </c>
      <c r="D27" s="13"/>
      <c r="E27" s="2"/>
      <c r="F27" s="2"/>
      <c r="G27" s="2"/>
      <c r="H27" s="2"/>
      <c r="I27" s="143"/>
      <c r="J27" s="138" t="s">
        <v>107</v>
      </c>
      <c r="K27" s="139"/>
      <c r="L27" s="139"/>
      <c r="M27" s="140">
        <f>MAX(K3:K14)</f>
        <v>16</v>
      </c>
      <c r="N27" s="2"/>
      <c r="O27" s="2"/>
      <c r="P27" s="2"/>
      <c r="Q27" s="2"/>
      <c r="R27" s="2"/>
    </row>
    <row r="28" spans="1:18" x14ac:dyDescent="0.25">
      <c r="A28" s="8"/>
      <c r="B28" s="16">
        <v>26</v>
      </c>
      <c r="C28" s="17">
        <v>150</v>
      </c>
      <c r="D28" s="13"/>
      <c r="E28" s="2"/>
      <c r="F28" s="2"/>
      <c r="G28" s="2"/>
      <c r="H28" s="2"/>
      <c r="I28" s="83"/>
      <c r="J28" s="144" t="s">
        <v>152</v>
      </c>
      <c r="K28" s="145"/>
      <c r="L28" s="145"/>
      <c r="M28" s="146">
        <f>L7</f>
        <v>27</v>
      </c>
      <c r="N28" s="2"/>
      <c r="O28" s="2"/>
      <c r="P28" s="2"/>
      <c r="Q28" s="2"/>
      <c r="R28" s="2"/>
    </row>
    <row r="29" spans="1:18" x14ac:dyDescent="0.25">
      <c r="A29" s="8"/>
      <c r="B29" s="16">
        <v>27</v>
      </c>
      <c r="C29" s="17">
        <v>150</v>
      </c>
      <c r="D29" s="13"/>
      <c r="E29" s="2"/>
      <c r="F29" s="2"/>
      <c r="G29" s="2"/>
      <c r="H29" s="2"/>
      <c r="I29" s="147">
        <v>3</v>
      </c>
      <c r="J29" s="201" t="s">
        <v>16</v>
      </c>
      <c r="K29" s="202"/>
      <c r="L29" s="203"/>
      <c r="M29" s="136">
        <f>M33+(M34/(M35+M34))*M23</f>
        <v>165</v>
      </c>
      <c r="N29" s="2"/>
      <c r="O29" s="2"/>
      <c r="P29" s="2"/>
      <c r="Q29" s="2"/>
      <c r="R29" s="2"/>
    </row>
    <row r="30" spans="1:18" x14ac:dyDescent="0.25">
      <c r="A30" s="8"/>
      <c r="B30" s="16">
        <v>28</v>
      </c>
      <c r="C30" s="17">
        <v>151</v>
      </c>
      <c r="D30" s="13"/>
      <c r="E30" s="3"/>
      <c r="F30" s="3"/>
      <c r="G30" s="3"/>
      <c r="H30" s="3"/>
      <c r="I30" s="148"/>
      <c r="J30" s="205"/>
      <c r="K30" s="206"/>
      <c r="L30" s="206"/>
      <c r="M30" s="211"/>
      <c r="N30" s="3"/>
      <c r="O30" s="3"/>
      <c r="P30" s="3"/>
      <c r="Q30" s="3"/>
      <c r="R30" s="3"/>
    </row>
    <row r="31" spans="1:18" x14ac:dyDescent="0.25">
      <c r="A31" s="8"/>
      <c r="B31" s="16">
        <v>29</v>
      </c>
      <c r="C31" s="20">
        <v>153</v>
      </c>
      <c r="D31" s="27"/>
      <c r="I31" s="110"/>
      <c r="J31" s="205"/>
      <c r="K31" s="206"/>
      <c r="L31" s="206"/>
      <c r="M31" s="211"/>
    </row>
    <row r="32" spans="1:18" x14ac:dyDescent="0.25">
      <c r="A32" s="8"/>
      <c r="B32" s="16">
        <v>30</v>
      </c>
      <c r="C32" s="20">
        <v>154</v>
      </c>
      <c r="D32" s="27"/>
      <c r="I32" s="110"/>
      <c r="J32" s="208"/>
      <c r="K32" s="209"/>
      <c r="L32" s="209"/>
      <c r="M32" s="212"/>
    </row>
    <row r="33" spans="1:13" x14ac:dyDescent="0.25">
      <c r="A33" s="8"/>
      <c r="B33" s="16">
        <v>31</v>
      </c>
      <c r="C33" s="17">
        <v>154</v>
      </c>
      <c r="D33" s="27"/>
      <c r="I33" s="110"/>
      <c r="J33" s="141" t="s">
        <v>153</v>
      </c>
      <c r="K33" s="141"/>
      <c r="L33" s="141"/>
      <c r="M33" s="142">
        <f>INDEX(I3:I14,MATCH(M27,K3:K14,0))</f>
        <v>151</v>
      </c>
    </row>
    <row r="34" spans="1:13" x14ac:dyDescent="0.25">
      <c r="A34" s="8"/>
      <c r="B34" s="16">
        <v>32</v>
      </c>
      <c r="C34" s="17">
        <v>156</v>
      </c>
      <c r="D34" s="27"/>
      <c r="I34" s="110"/>
      <c r="J34" s="141" t="s">
        <v>154</v>
      </c>
      <c r="K34" s="141"/>
      <c r="L34" s="141"/>
      <c r="M34" s="142">
        <f>M27-K7</f>
        <v>6</v>
      </c>
    </row>
    <row r="35" spans="1:13" x14ac:dyDescent="0.25">
      <c r="A35" s="8"/>
      <c r="B35" s="16">
        <v>33</v>
      </c>
      <c r="C35" s="17">
        <v>157</v>
      </c>
      <c r="D35" s="27"/>
      <c r="I35" s="110"/>
      <c r="J35" s="149" t="s">
        <v>155</v>
      </c>
      <c r="K35" s="149"/>
      <c r="L35" s="149"/>
      <c r="M35" s="149">
        <f>K8-K9</f>
        <v>0</v>
      </c>
    </row>
    <row r="36" spans="1:13" x14ac:dyDescent="0.25">
      <c r="A36" s="8"/>
      <c r="B36" s="16">
        <v>34</v>
      </c>
      <c r="C36" s="17">
        <v>158</v>
      </c>
      <c r="D36" s="27"/>
      <c r="I36" s="147">
        <v>4</v>
      </c>
      <c r="J36" s="201" t="s">
        <v>18</v>
      </c>
      <c r="K36" s="202"/>
      <c r="L36" s="203"/>
      <c r="M36" s="136">
        <f>M43+((M41-M45)/M44)*M23</f>
        <v>140.19999999999999</v>
      </c>
    </row>
    <row r="37" spans="1:13" x14ac:dyDescent="0.25">
      <c r="A37" s="8"/>
      <c r="B37" s="16">
        <v>35</v>
      </c>
      <c r="C37" s="42">
        <v>158</v>
      </c>
      <c r="D37" s="27"/>
      <c r="I37" s="110"/>
      <c r="J37" s="96"/>
      <c r="K37" s="106"/>
      <c r="L37" s="106"/>
      <c r="M37" s="97"/>
    </row>
    <row r="38" spans="1:13" x14ac:dyDescent="0.25">
      <c r="A38" s="8"/>
      <c r="B38" s="16">
        <v>36</v>
      </c>
      <c r="C38" s="17">
        <v>158</v>
      </c>
      <c r="D38" s="27"/>
      <c r="I38" s="110"/>
      <c r="J38" s="96"/>
      <c r="K38" s="106"/>
      <c r="L38" s="106"/>
      <c r="M38" s="97"/>
    </row>
    <row r="39" spans="1:13" x14ac:dyDescent="0.25">
      <c r="A39" s="8"/>
      <c r="B39" s="16">
        <v>37</v>
      </c>
      <c r="C39" s="17">
        <v>158</v>
      </c>
      <c r="D39" s="27"/>
      <c r="I39" s="110"/>
      <c r="J39" s="96"/>
      <c r="K39" s="106"/>
      <c r="L39" s="106"/>
      <c r="M39" s="97"/>
    </row>
    <row r="40" spans="1:13" x14ac:dyDescent="0.25">
      <c r="A40" s="8"/>
      <c r="B40" s="16">
        <v>38</v>
      </c>
      <c r="C40" s="17">
        <v>160</v>
      </c>
      <c r="D40" s="27"/>
      <c r="I40" s="110"/>
      <c r="J40" s="98"/>
      <c r="K40" s="102"/>
      <c r="L40" s="102"/>
      <c r="M40" s="99"/>
    </row>
    <row r="41" spans="1:13" x14ac:dyDescent="0.25">
      <c r="A41" s="8"/>
      <c r="B41" s="16">
        <v>39</v>
      </c>
      <c r="C41" s="17">
        <v>160</v>
      </c>
      <c r="D41" s="27"/>
      <c r="I41" s="148"/>
      <c r="J41" s="139" t="s">
        <v>156</v>
      </c>
      <c r="K41" s="139"/>
      <c r="L41" s="139"/>
      <c r="M41" s="150">
        <f>(M18)/4</f>
        <v>20</v>
      </c>
    </row>
    <row r="42" spans="1:13" x14ac:dyDescent="0.25">
      <c r="A42" s="8"/>
      <c r="B42" s="16">
        <v>40</v>
      </c>
      <c r="C42" s="17">
        <v>160</v>
      </c>
      <c r="D42" s="27"/>
      <c r="I42" s="110"/>
      <c r="J42" s="139" t="s">
        <v>111</v>
      </c>
      <c r="K42" s="139"/>
      <c r="L42" s="139"/>
      <c r="M42" s="151" t="s">
        <v>100</v>
      </c>
    </row>
    <row r="43" spans="1:13" x14ac:dyDescent="0.25">
      <c r="A43" s="8"/>
      <c r="B43" s="16">
        <v>41</v>
      </c>
      <c r="C43" s="17">
        <v>163</v>
      </c>
      <c r="D43" s="27"/>
      <c r="I43" s="110"/>
      <c r="J43" s="139" t="s">
        <v>147</v>
      </c>
      <c r="K43" s="139"/>
      <c r="L43" s="139"/>
      <c r="M43" s="151">
        <v>136</v>
      </c>
    </row>
    <row r="44" spans="1:13" x14ac:dyDescent="0.25">
      <c r="A44" s="8"/>
      <c r="B44" s="16">
        <v>42</v>
      </c>
      <c r="C44" s="17">
        <v>163</v>
      </c>
      <c r="D44" s="27"/>
      <c r="I44" s="110"/>
      <c r="J44" s="139" t="s">
        <v>112</v>
      </c>
      <c r="K44" s="139"/>
      <c r="L44" s="139"/>
      <c r="M44" s="151">
        <f>K7</f>
        <v>10</v>
      </c>
    </row>
    <row r="45" spans="1:13" x14ac:dyDescent="0.25">
      <c r="A45" s="8"/>
      <c r="B45" s="16">
        <v>43</v>
      </c>
      <c r="C45" s="17">
        <v>165</v>
      </c>
      <c r="D45" s="27"/>
      <c r="I45" s="148"/>
      <c r="J45" s="145" t="s">
        <v>157</v>
      </c>
      <c r="K45" s="145"/>
      <c r="L45" s="145"/>
      <c r="M45" s="152">
        <f>L6</f>
        <v>17</v>
      </c>
    </row>
    <row r="46" spans="1:13" x14ac:dyDescent="0.25">
      <c r="A46" s="8"/>
      <c r="B46" s="16">
        <v>44</v>
      </c>
      <c r="C46" s="20">
        <v>167</v>
      </c>
      <c r="D46" s="27"/>
      <c r="I46" s="147">
        <v>5</v>
      </c>
      <c r="J46" s="201" t="s">
        <v>21</v>
      </c>
      <c r="K46" s="202"/>
      <c r="L46" s="203"/>
      <c r="M46" s="153">
        <f>M53+((M51-M55)/M54)*M23</f>
        <v>180.875</v>
      </c>
    </row>
    <row r="47" spans="1:13" x14ac:dyDescent="0.25">
      <c r="A47" s="8"/>
      <c r="B47" s="16">
        <v>45</v>
      </c>
      <c r="C47" s="17">
        <v>167</v>
      </c>
      <c r="D47" s="27"/>
      <c r="I47" s="110"/>
      <c r="J47" s="96"/>
      <c r="K47" s="106"/>
      <c r="L47" s="106"/>
      <c r="M47" s="97"/>
    </row>
    <row r="48" spans="1:13" x14ac:dyDescent="0.25">
      <c r="A48" s="8"/>
      <c r="B48" s="16">
        <v>46</v>
      </c>
      <c r="C48" s="20">
        <v>168</v>
      </c>
      <c r="D48" s="27"/>
      <c r="I48" s="110"/>
      <c r="J48" s="96"/>
      <c r="K48" s="106"/>
      <c r="L48" s="106"/>
      <c r="M48" s="97"/>
    </row>
    <row r="49" spans="1:13" x14ac:dyDescent="0.25">
      <c r="A49" s="8"/>
      <c r="B49" s="16">
        <v>47</v>
      </c>
      <c r="C49" s="17">
        <v>169</v>
      </c>
      <c r="D49" s="27"/>
      <c r="I49" s="110"/>
      <c r="J49" s="96"/>
      <c r="K49" s="106"/>
      <c r="L49" s="106"/>
      <c r="M49" s="97"/>
    </row>
    <row r="50" spans="1:13" x14ac:dyDescent="0.25">
      <c r="A50" s="8"/>
      <c r="B50" s="16">
        <v>48</v>
      </c>
      <c r="C50" s="17">
        <v>170</v>
      </c>
      <c r="D50" s="27"/>
      <c r="I50" s="110"/>
      <c r="J50" s="98"/>
      <c r="K50" s="102"/>
      <c r="L50" s="102"/>
      <c r="M50" s="99"/>
    </row>
    <row r="51" spans="1:13" x14ac:dyDescent="0.25">
      <c r="A51" s="8"/>
      <c r="B51" s="16">
        <v>49</v>
      </c>
      <c r="C51" s="17">
        <v>171</v>
      </c>
      <c r="D51" s="27"/>
      <c r="I51" s="148"/>
      <c r="J51" s="139" t="s">
        <v>158</v>
      </c>
      <c r="K51" s="139"/>
      <c r="L51" s="139"/>
      <c r="M51" s="151">
        <f>(3*$M$18)/4</f>
        <v>60</v>
      </c>
    </row>
    <row r="52" spans="1:13" x14ac:dyDescent="0.25">
      <c r="A52" s="8"/>
      <c r="B52" s="16">
        <v>50</v>
      </c>
      <c r="C52" s="17">
        <v>171</v>
      </c>
      <c r="D52" s="27"/>
      <c r="I52" s="148"/>
      <c r="J52" s="139" t="s">
        <v>129</v>
      </c>
      <c r="K52" s="139"/>
      <c r="L52" s="139"/>
      <c r="M52" s="151" t="s">
        <v>130</v>
      </c>
    </row>
    <row r="53" spans="1:13" x14ac:dyDescent="0.25">
      <c r="A53" s="8"/>
      <c r="B53" s="16">
        <v>51</v>
      </c>
      <c r="C53" s="17">
        <v>172</v>
      </c>
      <c r="D53" s="27"/>
      <c r="I53" s="110"/>
      <c r="J53" s="139" t="s">
        <v>148</v>
      </c>
      <c r="K53" s="139"/>
      <c r="L53" s="139"/>
      <c r="M53" s="151">
        <v>166</v>
      </c>
    </row>
    <row r="54" spans="1:13" x14ac:dyDescent="0.25">
      <c r="A54" s="8"/>
      <c r="B54" s="16">
        <v>52</v>
      </c>
      <c r="C54" s="20">
        <v>174</v>
      </c>
      <c r="D54" s="27"/>
      <c r="I54" s="110"/>
      <c r="J54" s="139" t="s">
        <v>114</v>
      </c>
      <c r="K54" s="139"/>
      <c r="L54" s="139"/>
      <c r="M54" s="151">
        <f>K9</f>
        <v>16</v>
      </c>
    </row>
    <row r="55" spans="1:13" x14ac:dyDescent="0.25">
      <c r="A55" s="8"/>
      <c r="B55" s="16">
        <v>53</v>
      </c>
      <c r="C55" s="17">
        <v>174</v>
      </c>
      <c r="D55" s="27"/>
      <c r="I55" s="110"/>
      <c r="J55" s="145" t="s">
        <v>159</v>
      </c>
      <c r="K55" s="145"/>
      <c r="L55" s="145"/>
      <c r="M55" s="152">
        <f>L8</f>
        <v>43</v>
      </c>
    </row>
    <row r="56" spans="1:13" x14ac:dyDescent="0.25">
      <c r="A56" s="8"/>
      <c r="B56" s="16">
        <v>54</v>
      </c>
      <c r="C56" s="17">
        <v>175</v>
      </c>
      <c r="D56" s="27"/>
      <c r="I56" s="135">
        <v>6</v>
      </c>
      <c r="J56" s="201" t="s">
        <v>24</v>
      </c>
      <c r="K56" s="202"/>
      <c r="L56" s="203"/>
      <c r="M56" s="153">
        <f>M63+((M61-M65)/M64)*M23</f>
        <v>116.5</v>
      </c>
    </row>
    <row r="57" spans="1:13" x14ac:dyDescent="0.25">
      <c r="A57" s="8"/>
      <c r="B57" s="16">
        <v>55</v>
      </c>
      <c r="C57" s="17">
        <v>176</v>
      </c>
      <c r="D57" s="27"/>
      <c r="I57" s="135"/>
      <c r="J57" s="96"/>
      <c r="K57" s="106"/>
      <c r="L57" s="106"/>
      <c r="M57" s="97"/>
    </row>
    <row r="58" spans="1:13" x14ac:dyDescent="0.25">
      <c r="A58" s="8"/>
      <c r="B58" s="16">
        <v>56</v>
      </c>
      <c r="C58" s="17">
        <v>176</v>
      </c>
      <c r="D58" s="27"/>
      <c r="I58" s="135"/>
      <c r="J58" s="96"/>
      <c r="K58" s="106"/>
      <c r="L58" s="106"/>
      <c r="M58" s="97"/>
    </row>
    <row r="59" spans="1:13" x14ac:dyDescent="0.25">
      <c r="A59" s="8"/>
      <c r="B59" s="16">
        <v>57</v>
      </c>
      <c r="C59" s="17">
        <v>178</v>
      </c>
      <c r="D59" s="27"/>
      <c r="I59" s="110"/>
      <c r="J59" s="96"/>
      <c r="K59" s="106"/>
      <c r="L59" s="106"/>
      <c r="M59" s="97"/>
    </row>
    <row r="60" spans="1:13" x14ac:dyDescent="0.25">
      <c r="A60" s="8"/>
      <c r="B60" s="16">
        <v>58</v>
      </c>
      <c r="C60" s="20">
        <v>180</v>
      </c>
      <c r="D60" s="27"/>
      <c r="I60" s="110"/>
      <c r="J60" s="96"/>
      <c r="K60" s="106"/>
      <c r="L60" s="106"/>
      <c r="M60" s="97"/>
    </row>
    <row r="61" spans="1:13" x14ac:dyDescent="0.25">
      <c r="A61" s="8"/>
      <c r="B61" s="16">
        <v>59</v>
      </c>
      <c r="C61" s="17">
        <v>180</v>
      </c>
      <c r="D61" s="27"/>
      <c r="I61" s="110"/>
      <c r="J61" s="154" t="s">
        <v>160</v>
      </c>
      <c r="K61" s="154"/>
      <c r="L61" s="154"/>
      <c r="M61" s="155">
        <f>(10*M18)/100</f>
        <v>8</v>
      </c>
    </row>
    <row r="62" spans="1:13" x14ac:dyDescent="0.25">
      <c r="A62" s="8"/>
      <c r="B62" s="16">
        <v>60</v>
      </c>
      <c r="C62" s="20">
        <v>181</v>
      </c>
      <c r="D62" s="27"/>
      <c r="I62" s="110"/>
      <c r="J62" s="156" t="s">
        <v>123</v>
      </c>
      <c r="K62" s="156"/>
      <c r="L62" s="156"/>
      <c r="M62" s="157" t="s">
        <v>98</v>
      </c>
    </row>
    <row r="63" spans="1:13" x14ac:dyDescent="0.25">
      <c r="A63" s="8"/>
      <c r="B63" s="16">
        <v>61</v>
      </c>
      <c r="C63" s="17">
        <v>181</v>
      </c>
      <c r="D63" s="27"/>
      <c r="I63" s="110"/>
      <c r="J63" s="156" t="s">
        <v>161</v>
      </c>
      <c r="K63" s="156"/>
      <c r="L63" s="156"/>
      <c r="M63" s="158">
        <v>106</v>
      </c>
    </row>
    <row r="64" spans="1:13" x14ac:dyDescent="0.25">
      <c r="A64" s="8"/>
      <c r="B64" s="16">
        <v>62</v>
      </c>
      <c r="C64" s="20">
        <v>183</v>
      </c>
      <c r="D64" s="27"/>
      <c r="I64" s="110"/>
      <c r="J64" s="141" t="s">
        <v>162</v>
      </c>
      <c r="K64" s="141"/>
      <c r="L64" s="141"/>
      <c r="M64" s="141">
        <f>K5</f>
        <v>4</v>
      </c>
    </row>
    <row r="65" spans="1:13" x14ac:dyDescent="0.25">
      <c r="A65" s="8"/>
      <c r="B65" s="16">
        <v>63</v>
      </c>
      <c r="C65" s="17">
        <v>184</v>
      </c>
      <c r="D65" s="27"/>
      <c r="I65" s="110"/>
      <c r="J65" s="149" t="s">
        <v>163</v>
      </c>
      <c r="K65" s="149"/>
      <c r="L65" s="149"/>
      <c r="M65" s="149">
        <f>L4</f>
        <v>5</v>
      </c>
    </row>
    <row r="66" spans="1:13" x14ac:dyDescent="0.25">
      <c r="A66" s="8"/>
      <c r="B66" s="16">
        <v>64</v>
      </c>
      <c r="C66" s="20">
        <v>186</v>
      </c>
      <c r="D66" s="27"/>
      <c r="I66" s="135">
        <v>7</v>
      </c>
      <c r="J66" s="201" t="s">
        <v>27</v>
      </c>
      <c r="K66" s="202"/>
      <c r="L66" s="203"/>
      <c r="M66" s="153">
        <f>M73+((M71-M75)/M74)*M23</f>
        <v>206</v>
      </c>
    </row>
    <row r="67" spans="1:13" x14ac:dyDescent="0.25">
      <c r="A67" s="8"/>
      <c r="B67" s="16">
        <v>65</v>
      </c>
      <c r="C67" s="17">
        <v>190</v>
      </c>
      <c r="D67" s="27"/>
      <c r="I67" s="135"/>
      <c r="J67" s="96"/>
      <c r="K67" s="106"/>
      <c r="L67" s="106"/>
      <c r="M67" s="97"/>
    </row>
    <row r="68" spans="1:13" x14ac:dyDescent="0.25">
      <c r="A68" s="8"/>
      <c r="B68" s="16">
        <v>66</v>
      </c>
      <c r="C68" s="17">
        <v>193</v>
      </c>
      <c r="D68" s="27"/>
      <c r="I68" s="110"/>
      <c r="J68" s="96"/>
      <c r="K68" s="106"/>
      <c r="L68" s="106"/>
      <c r="M68" s="97"/>
    </row>
    <row r="69" spans="1:13" x14ac:dyDescent="0.25">
      <c r="A69" s="8"/>
      <c r="B69" s="16">
        <v>67</v>
      </c>
      <c r="C69" s="17">
        <v>194</v>
      </c>
      <c r="D69" s="27"/>
      <c r="I69" s="110"/>
      <c r="J69" s="96"/>
      <c r="K69" s="106"/>
      <c r="L69" s="106"/>
      <c r="M69" s="97"/>
    </row>
    <row r="70" spans="1:13" x14ac:dyDescent="0.25">
      <c r="A70" s="8"/>
      <c r="B70" s="16">
        <v>68</v>
      </c>
      <c r="C70" s="17">
        <v>196</v>
      </c>
      <c r="D70" s="27"/>
      <c r="I70" s="110"/>
      <c r="J70" s="96"/>
      <c r="K70" s="106"/>
      <c r="L70" s="106"/>
      <c r="M70" s="97"/>
    </row>
    <row r="71" spans="1:13" x14ac:dyDescent="0.25">
      <c r="A71" s="8"/>
      <c r="B71" s="16">
        <v>69</v>
      </c>
      <c r="C71" s="17">
        <v>199</v>
      </c>
      <c r="D71" s="27"/>
      <c r="I71" s="110"/>
      <c r="J71" s="154" t="s">
        <v>164</v>
      </c>
      <c r="K71" s="154"/>
      <c r="L71" s="154"/>
      <c r="M71" s="159">
        <f>(90*$M$18)/100</f>
        <v>72</v>
      </c>
    </row>
    <row r="72" spans="1:13" x14ac:dyDescent="0.25">
      <c r="A72" s="8"/>
      <c r="B72" s="16">
        <v>70</v>
      </c>
      <c r="C72" s="17">
        <v>199</v>
      </c>
      <c r="D72" s="27"/>
      <c r="I72" s="110"/>
      <c r="J72" s="156" t="s">
        <v>126</v>
      </c>
      <c r="K72" s="156"/>
      <c r="L72" s="156"/>
      <c r="M72" s="142" t="s">
        <v>102</v>
      </c>
    </row>
    <row r="73" spans="1:13" x14ac:dyDescent="0.25">
      <c r="A73" s="8"/>
      <c r="B73" s="16">
        <v>71</v>
      </c>
      <c r="C73" s="17">
        <v>200</v>
      </c>
      <c r="D73" s="27"/>
      <c r="I73" s="110"/>
      <c r="J73" s="156" t="s">
        <v>165</v>
      </c>
      <c r="K73" s="156"/>
      <c r="L73" s="156"/>
      <c r="M73" s="141">
        <v>196</v>
      </c>
    </row>
    <row r="74" spans="1:13" x14ac:dyDescent="0.25">
      <c r="A74" s="8"/>
      <c r="B74" s="16">
        <v>72</v>
      </c>
      <c r="C74" s="17">
        <v>201</v>
      </c>
      <c r="D74" s="27"/>
      <c r="I74" s="110"/>
      <c r="J74" s="141" t="s">
        <v>166</v>
      </c>
      <c r="K74" s="141"/>
      <c r="L74" s="141"/>
      <c r="M74" s="141">
        <f>K11</f>
        <v>7</v>
      </c>
    </row>
    <row r="75" spans="1:13" x14ac:dyDescent="0.25">
      <c r="A75" s="8"/>
      <c r="B75" s="16">
        <v>73</v>
      </c>
      <c r="C75" s="17">
        <v>207</v>
      </c>
      <c r="D75" s="27"/>
      <c r="I75" s="110"/>
      <c r="J75" s="149" t="s">
        <v>167</v>
      </c>
      <c r="K75" s="149"/>
      <c r="L75" s="149"/>
      <c r="M75" s="149">
        <f>L10</f>
        <v>67</v>
      </c>
    </row>
    <row r="76" spans="1:13" x14ac:dyDescent="0.25">
      <c r="A76" s="8"/>
      <c r="B76" s="16">
        <v>74</v>
      </c>
      <c r="C76" s="42">
        <v>208</v>
      </c>
      <c r="D76" s="27"/>
      <c r="I76" s="135">
        <v>8</v>
      </c>
      <c r="J76" s="204" t="s">
        <v>132</v>
      </c>
      <c r="K76" s="204"/>
      <c r="L76" s="204"/>
      <c r="M76" s="136">
        <f>M78-M77</f>
        <v>40.675000000000011</v>
      </c>
    </row>
    <row r="77" spans="1:13" x14ac:dyDescent="0.25">
      <c r="A77" s="8"/>
      <c r="B77" s="16">
        <v>75</v>
      </c>
      <c r="C77" s="17">
        <v>218</v>
      </c>
      <c r="D77" s="27"/>
      <c r="I77" s="160"/>
      <c r="J77" s="161" t="s">
        <v>31</v>
      </c>
      <c r="K77" s="161"/>
      <c r="L77" s="161"/>
      <c r="M77" s="162">
        <f>M36</f>
        <v>140.19999999999999</v>
      </c>
    </row>
    <row r="78" spans="1:13" x14ac:dyDescent="0.25">
      <c r="A78" s="8"/>
      <c r="B78" s="16">
        <v>76</v>
      </c>
      <c r="C78" s="20">
        <v>221</v>
      </c>
      <c r="D78" s="27"/>
      <c r="I78" s="160"/>
      <c r="J78" s="163" t="s">
        <v>32</v>
      </c>
      <c r="K78" s="163"/>
      <c r="L78" s="163"/>
      <c r="M78" s="164">
        <f>M46</f>
        <v>180.875</v>
      </c>
    </row>
    <row r="79" spans="1:13" x14ac:dyDescent="0.25">
      <c r="A79" s="8"/>
      <c r="B79" s="16">
        <v>77</v>
      </c>
      <c r="C79" s="17">
        <v>228</v>
      </c>
      <c r="D79" s="27"/>
      <c r="I79" s="135">
        <v>9</v>
      </c>
      <c r="J79" s="201" t="s">
        <v>131</v>
      </c>
      <c r="K79" s="202"/>
      <c r="L79" s="203"/>
      <c r="M79" s="136">
        <f>M76/2</f>
        <v>20.337500000000006</v>
      </c>
    </row>
    <row r="80" spans="1:13" x14ac:dyDescent="0.25">
      <c r="A80" s="8"/>
      <c r="B80" s="16">
        <v>78</v>
      </c>
      <c r="C80" s="17">
        <v>229</v>
      </c>
      <c r="D80" s="27"/>
      <c r="I80" s="135">
        <v>10</v>
      </c>
      <c r="J80" s="201" t="s">
        <v>138</v>
      </c>
      <c r="K80" s="202"/>
      <c r="L80" s="203"/>
      <c r="M80" s="137">
        <f>M87/(M18-1)</f>
        <v>1207.4525316455697</v>
      </c>
    </row>
    <row r="81" spans="1:13" x14ac:dyDescent="0.25">
      <c r="A81" s="8"/>
      <c r="B81" s="16">
        <v>79</v>
      </c>
      <c r="C81" s="17">
        <v>237</v>
      </c>
      <c r="D81" s="27"/>
      <c r="I81" s="110"/>
      <c r="J81" s="96"/>
      <c r="K81" s="106"/>
      <c r="L81" s="106"/>
      <c r="M81" s="97"/>
    </row>
    <row r="82" spans="1:13" x14ac:dyDescent="0.25">
      <c r="A82" s="8"/>
      <c r="B82" s="16">
        <v>80</v>
      </c>
      <c r="C82" s="17">
        <v>245</v>
      </c>
      <c r="D82" s="27"/>
      <c r="I82" s="110"/>
      <c r="J82" s="96"/>
      <c r="K82" s="106"/>
      <c r="L82" s="106"/>
      <c r="M82" s="97"/>
    </row>
    <row r="83" spans="1:13" x14ac:dyDescent="0.25">
      <c r="B83" s="31"/>
      <c r="C83" s="50"/>
      <c r="I83" s="110"/>
      <c r="J83" s="96"/>
      <c r="K83" s="106"/>
      <c r="L83" s="106"/>
      <c r="M83" s="97"/>
    </row>
    <row r="84" spans="1:13" x14ac:dyDescent="0.25">
      <c r="I84" s="110"/>
      <c r="J84" s="96"/>
      <c r="K84" s="106"/>
      <c r="L84" s="106"/>
      <c r="M84" s="97"/>
    </row>
    <row r="85" spans="1:13" x14ac:dyDescent="0.25">
      <c r="I85" s="165"/>
      <c r="J85" s="154" t="s">
        <v>139</v>
      </c>
      <c r="K85" s="154"/>
      <c r="L85" s="154"/>
      <c r="M85" s="159">
        <f>N15</f>
        <v>12970</v>
      </c>
    </row>
    <row r="86" spans="1:13" x14ac:dyDescent="0.25">
      <c r="I86" s="110"/>
      <c r="J86" s="156" t="s">
        <v>137</v>
      </c>
      <c r="K86" s="156"/>
      <c r="L86" s="156"/>
      <c r="M86" s="166">
        <f>M85/M18</f>
        <v>162.125</v>
      </c>
    </row>
    <row r="87" spans="1:13" x14ac:dyDescent="0.25">
      <c r="I87" s="110"/>
      <c r="J87" s="163" t="s">
        <v>144</v>
      </c>
      <c r="K87" s="163"/>
      <c r="L87" s="163"/>
      <c r="M87" s="167">
        <f>Q15</f>
        <v>95388.75</v>
      </c>
    </row>
    <row r="88" spans="1:13" x14ac:dyDescent="0.25">
      <c r="I88" s="135">
        <v>11</v>
      </c>
      <c r="J88" s="204" t="s">
        <v>36</v>
      </c>
      <c r="K88" s="204"/>
      <c r="L88" s="204"/>
      <c r="M88" s="137">
        <f>SQRT(M80)</f>
        <v>34.748417685494253</v>
      </c>
    </row>
    <row r="89" spans="1:13" x14ac:dyDescent="0.25">
      <c r="I89" s="135">
        <v>12</v>
      </c>
      <c r="J89" s="204" t="s">
        <v>37</v>
      </c>
      <c r="K89" s="204"/>
      <c r="L89" s="204"/>
      <c r="M89" s="168">
        <f>(M88/M17)*(100%)</f>
        <v>0.21433102658747419</v>
      </c>
    </row>
    <row r="90" spans="1:13" x14ac:dyDescent="0.25">
      <c r="I90" s="135">
        <v>13</v>
      </c>
      <c r="J90" s="204" t="s">
        <v>38</v>
      </c>
      <c r="K90" s="204"/>
      <c r="L90" s="204"/>
      <c r="M90" s="137">
        <f>M91/M18</f>
        <v>26.934374999999999</v>
      </c>
    </row>
    <row r="91" spans="1:13" x14ac:dyDescent="0.25">
      <c r="I91" s="165"/>
      <c r="J91" s="161" t="s">
        <v>39</v>
      </c>
      <c r="K91" s="161"/>
      <c r="L91" s="161"/>
      <c r="M91" s="169">
        <f>S15</f>
        <v>2154.75</v>
      </c>
    </row>
  </sheetData>
  <autoFilter ref="C2:C82" xr:uid="{9C712CA6-FC94-4F4E-90EE-FECB0D61A709}">
    <sortState xmlns:xlrd2="http://schemas.microsoft.com/office/spreadsheetml/2017/richdata2" ref="C3:C82">
      <sortCondition ref="C2:C82"/>
    </sortState>
  </autoFilter>
  <mergeCells count="18">
    <mergeCell ref="B1:C1"/>
    <mergeCell ref="I1:S1"/>
    <mergeCell ref="I2:J2"/>
    <mergeCell ref="J17:L17"/>
    <mergeCell ref="J19:L19"/>
    <mergeCell ref="J20:M22"/>
    <mergeCell ref="J29:L29"/>
    <mergeCell ref="J30:M32"/>
    <mergeCell ref="J56:L56"/>
    <mergeCell ref="J79:L79"/>
    <mergeCell ref="J66:L66"/>
    <mergeCell ref="J46:L46"/>
    <mergeCell ref="J36:L36"/>
    <mergeCell ref="J80:L80"/>
    <mergeCell ref="J88:L88"/>
    <mergeCell ref="J89:L89"/>
    <mergeCell ref="J90:L90"/>
    <mergeCell ref="J76:L7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4030C-D6FF-4887-98BC-1A80C555E3E0}">
  <dimension ref="A1:T83"/>
  <sheetViews>
    <sheetView topLeftCell="A14" zoomScaleNormal="100" workbookViewId="0">
      <selection activeCell="F46" sqref="F46"/>
    </sheetView>
  </sheetViews>
  <sheetFormatPr defaultRowHeight="15" x14ac:dyDescent="0.25"/>
  <cols>
    <col min="1" max="1" width="4.140625" style="1" customWidth="1"/>
    <col min="2" max="2" width="6.5703125" style="36" bestFit="1" customWidth="1"/>
    <col min="3" max="3" width="12.42578125" style="48" customWidth="1"/>
    <col min="4" max="4" width="8.140625" style="1" customWidth="1"/>
    <col min="5" max="5" width="19.140625" style="1" customWidth="1"/>
    <col min="6" max="6" width="11.28515625" style="1" customWidth="1"/>
    <col min="7" max="7" width="5.140625" style="1" customWidth="1"/>
    <col min="8" max="8" width="6.85546875" style="1" customWidth="1"/>
    <col min="9" max="9" width="11.42578125" style="1" customWidth="1"/>
    <col min="10" max="10" width="14.85546875" style="1" customWidth="1"/>
    <col min="11" max="11" width="15.28515625" style="1" customWidth="1"/>
    <col min="12" max="12" width="21.7109375" style="1" bestFit="1" customWidth="1"/>
    <col min="13" max="13" width="12.5703125" style="1" customWidth="1"/>
    <col min="14" max="14" width="16.85546875" style="1" customWidth="1"/>
    <col min="15" max="15" width="13.85546875" style="1" customWidth="1"/>
    <col min="16" max="16" width="12" style="1" bestFit="1" customWidth="1"/>
    <col min="17" max="17" width="15.140625" style="1" bestFit="1" customWidth="1"/>
    <col min="18" max="19" width="16.85546875" style="1" customWidth="1"/>
    <col min="20" max="16384" width="9.140625" style="1"/>
  </cols>
  <sheetData>
    <row r="1" spans="1:20" ht="28.5" customHeight="1" x14ac:dyDescent="0.25">
      <c r="B1" s="194" t="s">
        <v>2</v>
      </c>
      <c r="C1" s="195"/>
      <c r="D1" s="2"/>
      <c r="E1" s="3"/>
      <c r="F1" s="3"/>
      <c r="G1" s="3"/>
      <c r="H1" s="5"/>
      <c r="I1" s="213" t="s">
        <v>42</v>
      </c>
      <c r="J1" s="214"/>
      <c r="K1" s="214"/>
      <c r="L1" s="214"/>
      <c r="M1" s="214"/>
      <c r="N1" s="214"/>
      <c r="O1" s="214"/>
      <c r="P1" s="214"/>
      <c r="Q1" s="214"/>
      <c r="R1" s="214"/>
      <c r="S1" s="215"/>
    </row>
    <row r="2" spans="1:20" ht="30" x14ac:dyDescent="0.25">
      <c r="A2" s="8"/>
      <c r="B2" s="9" t="s">
        <v>6</v>
      </c>
      <c r="C2" s="10" t="s">
        <v>4</v>
      </c>
      <c r="D2" s="13"/>
      <c r="E2" s="4"/>
      <c r="F2" s="4"/>
      <c r="G2" s="78"/>
      <c r="H2" s="81" t="s">
        <v>136</v>
      </c>
      <c r="I2" s="216" t="s">
        <v>54</v>
      </c>
      <c r="J2" s="216"/>
      <c r="K2" s="103" t="s">
        <v>135</v>
      </c>
      <c r="L2" s="12" t="s">
        <v>142</v>
      </c>
      <c r="M2" s="12" t="s">
        <v>141</v>
      </c>
      <c r="N2" s="103" t="s">
        <v>143</v>
      </c>
      <c r="O2" s="104" t="s">
        <v>59</v>
      </c>
      <c r="P2" s="104" t="s">
        <v>60</v>
      </c>
      <c r="Q2" s="104" t="s">
        <v>140</v>
      </c>
      <c r="R2" s="117" t="s">
        <v>145</v>
      </c>
      <c r="S2" s="117" t="s">
        <v>146</v>
      </c>
    </row>
    <row r="3" spans="1:20" x14ac:dyDescent="0.25">
      <c r="A3" s="8"/>
      <c r="B3" s="16">
        <v>1</v>
      </c>
      <c r="C3" s="17">
        <v>76</v>
      </c>
      <c r="D3" s="70"/>
      <c r="E3" s="76" t="s">
        <v>94</v>
      </c>
      <c r="F3" s="71">
        <f>MAX(C3:C82)</f>
        <v>245</v>
      </c>
      <c r="G3" s="8"/>
      <c r="H3" s="82">
        <v>1</v>
      </c>
      <c r="I3" s="74">
        <f>C3</f>
        <v>76</v>
      </c>
      <c r="J3" s="72">
        <f t="shared" ref="J3:J14" si="0">I3+14</f>
        <v>90</v>
      </c>
      <c r="K3" s="72">
        <f t="shared" ref="K3:K14" si="1">COUNTIF($C$3:$C$82, "&gt;=" &amp; I3) - COUNTIF($C$3:$C$82, "&gt;" &amp; J3)</f>
        <v>2</v>
      </c>
      <c r="L3" s="72">
        <v>2</v>
      </c>
      <c r="M3" s="75">
        <f t="shared" ref="M3:M14" si="2">AVERAGE(I3:J3)</f>
        <v>83</v>
      </c>
      <c r="N3" s="72">
        <f t="shared" ref="N3:N14" si="3">M3*K3</f>
        <v>166</v>
      </c>
      <c r="O3" s="75">
        <f t="shared" ref="O3:O15" si="4">M3-$M$17</f>
        <v>-79.125</v>
      </c>
      <c r="P3" s="113">
        <f>O3^2</f>
        <v>6260.765625</v>
      </c>
      <c r="Q3" s="116">
        <f>K3*P3</f>
        <v>12521.53125</v>
      </c>
      <c r="R3" s="118">
        <f>ABS(O3)</f>
        <v>79.125</v>
      </c>
      <c r="S3" s="119">
        <f>R3*K3</f>
        <v>158.25</v>
      </c>
      <c r="T3" s="27"/>
    </row>
    <row r="4" spans="1:20" x14ac:dyDescent="0.25">
      <c r="A4" s="8"/>
      <c r="B4" s="16">
        <v>2</v>
      </c>
      <c r="C4" s="17">
        <v>87</v>
      </c>
      <c r="D4" s="70"/>
      <c r="E4" s="76" t="s">
        <v>95</v>
      </c>
      <c r="F4" s="71">
        <f>MIN(C3:C82)</f>
        <v>76</v>
      </c>
      <c r="G4" s="8"/>
      <c r="H4" s="82">
        <v>2</v>
      </c>
      <c r="I4" s="74">
        <f t="shared" ref="I4:I14" si="5">J3+1</f>
        <v>91</v>
      </c>
      <c r="J4" s="72">
        <f t="shared" si="0"/>
        <v>105</v>
      </c>
      <c r="K4" s="72">
        <f t="shared" si="1"/>
        <v>3</v>
      </c>
      <c r="L4" s="72">
        <v>5</v>
      </c>
      <c r="M4" s="75">
        <f t="shared" si="2"/>
        <v>98</v>
      </c>
      <c r="N4" s="72">
        <f t="shared" si="3"/>
        <v>294</v>
      </c>
      <c r="O4" s="75">
        <f t="shared" si="4"/>
        <v>-64.125</v>
      </c>
      <c r="P4" s="113">
        <f t="shared" ref="P4:P15" si="6">O4^2</f>
        <v>4112.015625</v>
      </c>
      <c r="Q4" s="116">
        <f t="shared" ref="Q4:Q13" si="7">K4*P4</f>
        <v>12336.046875</v>
      </c>
      <c r="R4" s="118">
        <f t="shared" ref="R4:R14" si="8">ABS(O4)</f>
        <v>64.125</v>
      </c>
      <c r="S4" s="119">
        <f t="shared" ref="S4:S14" si="9">R4*K4</f>
        <v>192.375</v>
      </c>
      <c r="T4" s="27"/>
    </row>
    <row r="5" spans="1:20" x14ac:dyDescent="0.25">
      <c r="A5" s="8"/>
      <c r="B5" s="16">
        <v>3</v>
      </c>
      <c r="C5" s="20">
        <v>97</v>
      </c>
      <c r="D5" s="70"/>
      <c r="E5" s="76" t="s">
        <v>86</v>
      </c>
      <c r="F5" s="71">
        <f>F3-F4</f>
        <v>169</v>
      </c>
      <c r="G5" s="8"/>
      <c r="H5" s="82">
        <v>3</v>
      </c>
      <c r="I5" s="74">
        <f t="shared" si="5"/>
        <v>106</v>
      </c>
      <c r="J5" s="72">
        <f t="shared" si="0"/>
        <v>120</v>
      </c>
      <c r="K5" s="72">
        <f t="shared" si="1"/>
        <v>4</v>
      </c>
      <c r="L5" s="72">
        <v>9</v>
      </c>
      <c r="M5" s="75">
        <f t="shared" si="2"/>
        <v>113</v>
      </c>
      <c r="N5" s="72">
        <f t="shared" si="3"/>
        <v>452</v>
      </c>
      <c r="O5" s="75">
        <f t="shared" si="4"/>
        <v>-49.125</v>
      </c>
      <c r="P5" s="113">
        <f t="shared" si="6"/>
        <v>2413.265625</v>
      </c>
      <c r="Q5" s="116">
        <f t="shared" si="7"/>
        <v>9653.0625</v>
      </c>
      <c r="R5" s="118">
        <f t="shared" si="8"/>
        <v>49.125</v>
      </c>
      <c r="S5" s="119">
        <f t="shared" si="9"/>
        <v>196.5</v>
      </c>
      <c r="T5" s="27"/>
    </row>
    <row r="6" spans="1:20" x14ac:dyDescent="0.25">
      <c r="A6" s="8"/>
      <c r="B6" s="16">
        <v>4</v>
      </c>
      <c r="C6" s="17">
        <v>101</v>
      </c>
      <c r="D6" s="70"/>
      <c r="E6" s="76" t="s">
        <v>119</v>
      </c>
      <c r="F6" s="71">
        <v>14</v>
      </c>
      <c r="G6" s="8"/>
      <c r="H6" s="82">
        <v>4</v>
      </c>
      <c r="I6" s="74">
        <f t="shared" si="5"/>
        <v>121</v>
      </c>
      <c r="J6" s="72">
        <f t="shared" si="0"/>
        <v>135</v>
      </c>
      <c r="K6" s="72">
        <f t="shared" si="1"/>
        <v>8</v>
      </c>
      <c r="L6" s="72">
        <v>17</v>
      </c>
      <c r="M6" s="75">
        <f t="shared" si="2"/>
        <v>128</v>
      </c>
      <c r="N6" s="72">
        <f t="shared" si="3"/>
        <v>1024</v>
      </c>
      <c r="O6" s="75">
        <f t="shared" si="4"/>
        <v>-34.125</v>
      </c>
      <c r="P6" s="113">
        <f t="shared" si="6"/>
        <v>1164.515625</v>
      </c>
      <c r="Q6" s="116">
        <f t="shared" si="7"/>
        <v>9316.125</v>
      </c>
      <c r="R6" s="118">
        <f t="shared" si="8"/>
        <v>34.125</v>
      </c>
      <c r="S6" s="119">
        <f t="shared" si="9"/>
        <v>273</v>
      </c>
      <c r="T6" s="27"/>
    </row>
    <row r="7" spans="1:20" x14ac:dyDescent="0.25">
      <c r="A7" s="8"/>
      <c r="B7" s="16">
        <v>5</v>
      </c>
      <c r="C7" s="20">
        <v>105</v>
      </c>
      <c r="D7" s="70"/>
      <c r="E7" s="77" t="s">
        <v>51</v>
      </c>
      <c r="F7" s="72">
        <f>F5/F6</f>
        <v>12.071428571428571</v>
      </c>
      <c r="G7" s="8"/>
      <c r="H7" s="82">
        <v>5</v>
      </c>
      <c r="I7" s="74">
        <f t="shared" si="5"/>
        <v>136</v>
      </c>
      <c r="J7" s="72">
        <f t="shared" si="0"/>
        <v>150</v>
      </c>
      <c r="K7" s="72">
        <f t="shared" si="1"/>
        <v>10</v>
      </c>
      <c r="L7" s="72">
        <v>27</v>
      </c>
      <c r="M7" s="75">
        <f t="shared" si="2"/>
        <v>143</v>
      </c>
      <c r="N7" s="72">
        <f t="shared" si="3"/>
        <v>1430</v>
      </c>
      <c r="O7" s="75">
        <f t="shared" si="4"/>
        <v>-19.125</v>
      </c>
      <c r="P7" s="113">
        <f t="shared" si="6"/>
        <v>365.765625</v>
      </c>
      <c r="Q7" s="116">
        <f t="shared" si="7"/>
        <v>3657.65625</v>
      </c>
      <c r="R7" s="118">
        <f t="shared" si="8"/>
        <v>19.125</v>
      </c>
      <c r="S7" s="119">
        <f t="shared" si="9"/>
        <v>191.25</v>
      </c>
      <c r="T7" s="27"/>
    </row>
    <row r="8" spans="1:20" x14ac:dyDescent="0.25">
      <c r="A8" s="8"/>
      <c r="B8" s="16">
        <v>6</v>
      </c>
      <c r="C8" s="17">
        <v>110</v>
      </c>
      <c r="D8" s="13"/>
      <c r="E8" s="24"/>
      <c r="F8" s="24"/>
      <c r="G8" s="8"/>
      <c r="H8" s="82">
        <v>6</v>
      </c>
      <c r="I8" s="74">
        <f t="shared" si="5"/>
        <v>151</v>
      </c>
      <c r="J8" s="72">
        <f t="shared" si="0"/>
        <v>165</v>
      </c>
      <c r="K8" s="72">
        <f t="shared" si="1"/>
        <v>16</v>
      </c>
      <c r="L8" s="72">
        <v>43</v>
      </c>
      <c r="M8" s="75">
        <f t="shared" si="2"/>
        <v>158</v>
      </c>
      <c r="N8" s="72">
        <f t="shared" si="3"/>
        <v>2528</v>
      </c>
      <c r="O8" s="75">
        <f t="shared" si="4"/>
        <v>-4.125</v>
      </c>
      <c r="P8" s="113">
        <f t="shared" si="6"/>
        <v>17.015625</v>
      </c>
      <c r="Q8" s="116">
        <f t="shared" si="7"/>
        <v>272.25</v>
      </c>
      <c r="R8" s="118">
        <f t="shared" si="8"/>
        <v>4.125</v>
      </c>
      <c r="S8" s="119">
        <f t="shared" si="9"/>
        <v>66</v>
      </c>
      <c r="T8" s="27"/>
    </row>
    <row r="9" spans="1:20" x14ac:dyDescent="0.25">
      <c r="A9" s="8"/>
      <c r="B9" s="16">
        <v>7</v>
      </c>
      <c r="C9" s="17">
        <v>115</v>
      </c>
      <c r="D9" s="13"/>
      <c r="G9" s="6"/>
      <c r="H9" s="82">
        <v>7</v>
      </c>
      <c r="I9" s="74">
        <f t="shared" si="5"/>
        <v>166</v>
      </c>
      <c r="J9" s="72">
        <f t="shared" si="0"/>
        <v>180</v>
      </c>
      <c r="K9" s="72">
        <f t="shared" si="1"/>
        <v>16</v>
      </c>
      <c r="L9" s="72">
        <v>59</v>
      </c>
      <c r="M9" s="75">
        <f t="shared" si="2"/>
        <v>173</v>
      </c>
      <c r="N9" s="72">
        <f t="shared" si="3"/>
        <v>2768</v>
      </c>
      <c r="O9" s="75">
        <f t="shared" si="4"/>
        <v>10.875</v>
      </c>
      <c r="P9" s="113">
        <f t="shared" si="6"/>
        <v>118.265625</v>
      </c>
      <c r="Q9" s="116">
        <f t="shared" si="7"/>
        <v>1892.25</v>
      </c>
      <c r="R9" s="118">
        <f t="shared" si="8"/>
        <v>10.875</v>
      </c>
      <c r="S9" s="119">
        <f t="shared" si="9"/>
        <v>174</v>
      </c>
      <c r="T9" s="27"/>
    </row>
    <row r="10" spans="1:20" x14ac:dyDescent="0.25">
      <c r="A10" s="8"/>
      <c r="B10" s="16">
        <v>8</v>
      </c>
      <c r="C10" s="17">
        <v>118</v>
      </c>
      <c r="D10" s="13"/>
      <c r="G10" s="8"/>
      <c r="H10" s="82">
        <v>8</v>
      </c>
      <c r="I10" s="74">
        <f t="shared" si="5"/>
        <v>181</v>
      </c>
      <c r="J10" s="72">
        <f t="shared" si="0"/>
        <v>195</v>
      </c>
      <c r="K10" s="72">
        <f t="shared" si="1"/>
        <v>8</v>
      </c>
      <c r="L10" s="72">
        <v>67</v>
      </c>
      <c r="M10" s="75">
        <f t="shared" si="2"/>
        <v>188</v>
      </c>
      <c r="N10" s="72">
        <f t="shared" si="3"/>
        <v>1504</v>
      </c>
      <c r="O10" s="75">
        <f t="shared" si="4"/>
        <v>25.875</v>
      </c>
      <c r="P10" s="113">
        <f t="shared" si="6"/>
        <v>669.515625</v>
      </c>
      <c r="Q10" s="116">
        <f t="shared" si="7"/>
        <v>5356.125</v>
      </c>
      <c r="R10" s="118">
        <f t="shared" si="8"/>
        <v>25.875</v>
      </c>
      <c r="S10" s="119">
        <f t="shared" si="9"/>
        <v>207</v>
      </c>
      <c r="T10" s="27"/>
    </row>
    <row r="11" spans="1:20" x14ac:dyDescent="0.25">
      <c r="A11" s="8"/>
      <c r="B11" s="16">
        <v>9</v>
      </c>
      <c r="C11" s="20">
        <v>120</v>
      </c>
      <c r="D11" s="13"/>
      <c r="G11" s="8"/>
      <c r="H11" s="82">
        <v>9</v>
      </c>
      <c r="I11" s="74">
        <f t="shared" si="5"/>
        <v>196</v>
      </c>
      <c r="J11" s="72">
        <f t="shared" si="0"/>
        <v>210</v>
      </c>
      <c r="K11" s="72">
        <f t="shared" si="1"/>
        <v>7</v>
      </c>
      <c r="L11" s="72">
        <v>74</v>
      </c>
      <c r="M11" s="75">
        <f t="shared" si="2"/>
        <v>203</v>
      </c>
      <c r="N11" s="72">
        <f t="shared" si="3"/>
        <v>1421</v>
      </c>
      <c r="O11" s="75">
        <f t="shared" si="4"/>
        <v>40.875</v>
      </c>
      <c r="P11" s="113">
        <f t="shared" si="6"/>
        <v>1670.765625</v>
      </c>
      <c r="Q11" s="116">
        <f t="shared" si="7"/>
        <v>11695.359375</v>
      </c>
      <c r="R11" s="118">
        <f t="shared" si="8"/>
        <v>40.875</v>
      </c>
      <c r="S11" s="119">
        <f t="shared" si="9"/>
        <v>286.125</v>
      </c>
      <c r="T11" s="27"/>
    </row>
    <row r="12" spans="1:20" x14ac:dyDescent="0.25">
      <c r="A12" s="8"/>
      <c r="B12" s="16">
        <v>10</v>
      </c>
      <c r="C12" s="20">
        <v>121</v>
      </c>
      <c r="D12" s="13"/>
      <c r="G12" s="8"/>
      <c r="H12" s="82">
        <v>10</v>
      </c>
      <c r="I12" s="74">
        <f t="shared" si="5"/>
        <v>211</v>
      </c>
      <c r="J12" s="72">
        <f t="shared" si="0"/>
        <v>225</v>
      </c>
      <c r="K12" s="72">
        <f t="shared" si="1"/>
        <v>2</v>
      </c>
      <c r="L12" s="72">
        <v>76</v>
      </c>
      <c r="M12" s="75">
        <f t="shared" si="2"/>
        <v>218</v>
      </c>
      <c r="N12" s="72">
        <f t="shared" si="3"/>
        <v>436</v>
      </c>
      <c r="O12" s="75">
        <f t="shared" si="4"/>
        <v>55.875</v>
      </c>
      <c r="P12" s="113">
        <f t="shared" si="6"/>
        <v>3122.015625</v>
      </c>
      <c r="Q12" s="116">
        <f t="shared" si="7"/>
        <v>6244.03125</v>
      </c>
      <c r="R12" s="118">
        <f t="shared" si="8"/>
        <v>55.875</v>
      </c>
      <c r="S12" s="119">
        <f t="shared" si="9"/>
        <v>111.75</v>
      </c>
      <c r="T12" s="27"/>
    </row>
    <row r="13" spans="1:20" x14ac:dyDescent="0.25">
      <c r="A13" s="8"/>
      <c r="B13" s="16">
        <v>11</v>
      </c>
      <c r="C13" s="17">
        <v>123</v>
      </c>
      <c r="D13" s="13"/>
      <c r="G13" s="8"/>
      <c r="H13" s="82">
        <v>11</v>
      </c>
      <c r="I13" s="74">
        <f t="shared" si="5"/>
        <v>226</v>
      </c>
      <c r="J13" s="72">
        <f t="shared" si="0"/>
        <v>240</v>
      </c>
      <c r="K13" s="72">
        <f t="shared" si="1"/>
        <v>3</v>
      </c>
      <c r="L13" s="72">
        <v>79</v>
      </c>
      <c r="M13" s="75">
        <f t="shared" si="2"/>
        <v>233</v>
      </c>
      <c r="N13" s="72">
        <f t="shared" si="3"/>
        <v>699</v>
      </c>
      <c r="O13" s="75">
        <f t="shared" si="4"/>
        <v>70.875</v>
      </c>
      <c r="P13" s="113">
        <f>O13^2</f>
        <v>5023.265625</v>
      </c>
      <c r="Q13" s="116">
        <f t="shared" si="7"/>
        <v>15069.796875</v>
      </c>
      <c r="R13" s="118">
        <f t="shared" si="8"/>
        <v>70.875</v>
      </c>
      <c r="S13" s="119">
        <f t="shared" si="9"/>
        <v>212.625</v>
      </c>
      <c r="T13" s="27"/>
    </row>
    <row r="14" spans="1:20" x14ac:dyDescent="0.25">
      <c r="A14" s="8"/>
      <c r="B14" s="16">
        <v>12</v>
      </c>
      <c r="C14" s="17">
        <v>131</v>
      </c>
      <c r="D14" s="13"/>
      <c r="G14" s="8"/>
      <c r="H14" s="82">
        <v>12</v>
      </c>
      <c r="I14" s="74">
        <f t="shared" si="5"/>
        <v>241</v>
      </c>
      <c r="J14" s="72">
        <f t="shared" si="0"/>
        <v>255</v>
      </c>
      <c r="K14" s="72">
        <f t="shared" si="1"/>
        <v>1</v>
      </c>
      <c r="L14" s="73">
        <v>80</v>
      </c>
      <c r="M14" s="75">
        <f t="shared" si="2"/>
        <v>248</v>
      </c>
      <c r="N14" s="72">
        <f t="shared" si="3"/>
        <v>248</v>
      </c>
      <c r="O14" s="75">
        <f t="shared" si="4"/>
        <v>85.875</v>
      </c>
      <c r="P14" s="113">
        <f t="shared" si="6"/>
        <v>7374.515625</v>
      </c>
      <c r="Q14" s="116">
        <f>K14*P14</f>
        <v>7374.515625</v>
      </c>
      <c r="R14" s="118">
        <f t="shared" si="8"/>
        <v>85.875</v>
      </c>
      <c r="S14" s="119">
        <f t="shared" si="9"/>
        <v>85.875</v>
      </c>
      <c r="T14" s="27"/>
    </row>
    <row r="15" spans="1:20" x14ac:dyDescent="0.25">
      <c r="A15" s="8"/>
      <c r="B15" s="16">
        <v>13</v>
      </c>
      <c r="C15" s="17">
        <v>133</v>
      </c>
      <c r="D15" s="13"/>
      <c r="H15" s="24"/>
      <c r="I15" s="24"/>
      <c r="J15" s="24"/>
      <c r="K15" s="109">
        <f>SUM(K3:K14)</f>
        <v>80</v>
      </c>
      <c r="L15" s="24"/>
      <c r="M15" s="115"/>
      <c r="N15" s="109">
        <f>SUM(N3:N14)</f>
        <v>12970</v>
      </c>
      <c r="O15" s="24">
        <f t="shared" si="4"/>
        <v>-162.125</v>
      </c>
      <c r="P15" s="24">
        <f t="shared" si="6"/>
        <v>26284.515625</v>
      </c>
      <c r="Q15" s="114">
        <f>SUM(Q3:Q14)</f>
        <v>95388.75</v>
      </c>
      <c r="R15" s="115"/>
      <c r="S15" s="109">
        <f>SUM(S3:S14)</f>
        <v>2154.75</v>
      </c>
    </row>
    <row r="16" spans="1:20" x14ac:dyDescent="0.25">
      <c r="A16" s="8"/>
      <c r="B16" s="16">
        <v>14</v>
      </c>
      <c r="C16" s="17">
        <v>133</v>
      </c>
      <c r="D16" s="13"/>
    </row>
    <row r="17" spans="1:18" x14ac:dyDescent="0.25">
      <c r="A17" s="8"/>
      <c r="B17" s="16">
        <v>15</v>
      </c>
      <c r="C17" s="17">
        <v>134</v>
      </c>
      <c r="D17" s="13"/>
      <c r="I17" s="25">
        <v>1</v>
      </c>
      <c r="J17" s="264" t="s">
        <v>10</v>
      </c>
      <c r="K17" s="264"/>
      <c r="L17" s="264"/>
      <c r="M17" s="124">
        <f>N15/M18</f>
        <v>162.125</v>
      </c>
    </row>
    <row r="18" spans="1:18" x14ac:dyDescent="0.25">
      <c r="A18" s="8"/>
      <c r="B18" s="16">
        <v>16</v>
      </c>
      <c r="C18" s="17">
        <v>135</v>
      </c>
      <c r="D18" s="13"/>
      <c r="I18" s="25"/>
      <c r="J18" s="265" t="s">
        <v>11</v>
      </c>
      <c r="K18" s="265"/>
      <c r="L18" s="265"/>
      <c r="M18" s="126">
        <f>COUNT(C3:C82)</f>
        <v>80</v>
      </c>
      <c r="N18" s="27"/>
    </row>
    <row r="19" spans="1:18" x14ac:dyDescent="0.25">
      <c r="A19" s="8"/>
      <c r="B19" s="16">
        <v>17</v>
      </c>
      <c r="C19" s="17">
        <v>135</v>
      </c>
      <c r="D19" s="13"/>
      <c r="I19" s="25">
        <v>2</v>
      </c>
      <c r="J19" s="249" t="s">
        <v>12</v>
      </c>
      <c r="K19" s="250"/>
      <c r="L19" s="251"/>
      <c r="M19" s="111">
        <f>M22+(((M18/2)-L7)/M21)*M20</f>
        <v>162.375</v>
      </c>
      <c r="N19" s="27"/>
    </row>
    <row r="20" spans="1:18" x14ac:dyDescent="0.25">
      <c r="A20" s="8"/>
      <c r="B20" s="16">
        <v>18</v>
      </c>
      <c r="C20" s="17">
        <v>141</v>
      </c>
      <c r="D20" s="13"/>
      <c r="I20" s="25"/>
      <c r="J20" s="258" t="s">
        <v>106</v>
      </c>
      <c r="K20" s="259"/>
      <c r="L20" s="260"/>
      <c r="M20" s="108">
        <f>J3-I3</f>
        <v>14</v>
      </c>
      <c r="N20" s="220"/>
      <c r="O20" s="221"/>
    </row>
    <row r="21" spans="1:18" x14ac:dyDescent="0.25">
      <c r="A21" s="8"/>
      <c r="B21" s="16">
        <v>19</v>
      </c>
      <c r="C21" s="17">
        <v>142</v>
      </c>
      <c r="D21" s="13"/>
      <c r="I21" s="6"/>
      <c r="J21" s="237" t="s">
        <v>107</v>
      </c>
      <c r="K21" s="238"/>
      <c r="L21" s="239"/>
      <c r="M21" s="122">
        <f>MAX(K3:K14)</f>
        <v>16</v>
      </c>
      <c r="N21" s="222"/>
      <c r="O21" s="223"/>
    </row>
    <row r="22" spans="1:18" x14ac:dyDescent="0.25">
      <c r="A22" s="8"/>
      <c r="B22" s="16">
        <v>20</v>
      </c>
      <c r="C22" s="20">
        <v>143</v>
      </c>
      <c r="D22" s="13"/>
      <c r="E22" s="2"/>
      <c r="F22" s="2"/>
      <c r="G22" s="2"/>
      <c r="H22" s="2"/>
      <c r="I22" s="83"/>
      <c r="J22" s="237" t="s">
        <v>108</v>
      </c>
      <c r="K22" s="238"/>
      <c r="L22" s="239"/>
      <c r="M22" s="91">
        <f>INDEX(I3:I14,MATCH(M21,K3:K14,0))</f>
        <v>151</v>
      </c>
      <c r="N22" s="224"/>
      <c r="O22" s="225"/>
    </row>
    <row r="23" spans="1:18" x14ac:dyDescent="0.25">
      <c r="A23" s="8"/>
      <c r="B23" s="16">
        <v>21</v>
      </c>
      <c r="C23" s="17">
        <v>145</v>
      </c>
      <c r="D23" s="13"/>
      <c r="E23" s="2"/>
      <c r="F23" s="2"/>
      <c r="G23" s="2"/>
      <c r="H23" s="2"/>
      <c r="I23" s="83"/>
      <c r="J23" s="261" t="s">
        <v>109</v>
      </c>
      <c r="K23" s="262"/>
      <c r="L23" s="263"/>
      <c r="M23" s="127">
        <f>L7</f>
        <v>27</v>
      </c>
      <c r="N23" s="27"/>
      <c r="R23" s="1" t="s">
        <v>40</v>
      </c>
    </row>
    <row r="24" spans="1:18" x14ac:dyDescent="0.25">
      <c r="A24" s="8"/>
      <c r="B24" s="16">
        <v>22</v>
      </c>
      <c r="C24" s="17">
        <v>146</v>
      </c>
      <c r="D24" s="13"/>
      <c r="E24" s="2"/>
      <c r="F24" s="2"/>
      <c r="G24" s="2"/>
      <c r="H24" s="2"/>
      <c r="I24" s="38">
        <v>3</v>
      </c>
      <c r="J24" s="249" t="s">
        <v>16</v>
      </c>
      <c r="K24" s="250"/>
      <c r="L24" s="251"/>
      <c r="M24" s="111">
        <f>M22+(((M21-K7)/(2*M21-K7-M21))*M20)</f>
        <v>165</v>
      </c>
      <c r="N24" s="226"/>
      <c r="O24" s="221"/>
    </row>
    <row r="25" spans="1:18" x14ac:dyDescent="0.25">
      <c r="A25" s="8"/>
      <c r="B25" s="16">
        <v>23</v>
      </c>
      <c r="C25" s="17">
        <v>148</v>
      </c>
      <c r="D25" s="13"/>
      <c r="E25" s="2"/>
      <c r="F25" s="2"/>
      <c r="G25" s="2"/>
      <c r="H25" s="2"/>
      <c r="I25" s="39"/>
      <c r="J25" s="228"/>
      <c r="K25" s="229"/>
      <c r="L25" s="229"/>
      <c r="M25" s="230"/>
      <c r="N25" s="227"/>
      <c r="O25" s="225"/>
    </row>
    <row r="26" spans="1:18" x14ac:dyDescent="0.25">
      <c r="A26" s="8"/>
      <c r="B26" s="16">
        <v>24</v>
      </c>
      <c r="C26" s="17">
        <v>149</v>
      </c>
      <c r="D26" s="13"/>
      <c r="E26" s="2"/>
      <c r="F26" s="2"/>
      <c r="G26" s="2"/>
      <c r="H26" s="2"/>
      <c r="I26" s="38">
        <v>4</v>
      </c>
      <c r="J26" s="249" t="s">
        <v>18</v>
      </c>
      <c r="K26" s="250"/>
      <c r="L26" s="251"/>
      <c r="M26" s="111">
        <f>M33+((M31-M35)/M34)*M20</f>
        <v>140.19999999999999</v>
      </c>
      <c r="N26" s="27"/>
    </row>
    <row r="27" spans="1:18" x14ac:dyDescent="0.25">
      <c r="A27" s="8"/>
      <c r="B27" s="16">
        <v>25</v>
      </c>
      <c r="C27" s="17">
        <v>149</v>
      </c>
      <c r="D27" s="13"/>
      <c r="E27" s="2"/>
      <c r="F27" s="2"/>
      <c r="G27" s="2"/>
      <c r="H27" s="2"/>
      <c r="J27" s="100"/>
      <c r="K27" s="105"/>
      <c r="L27" s="105"/>
      <c r="M27" s="101"/>
      <c r="N27" s="27"/>
    </row>
    <row r="28" spans="1:18" x14ac:dyDescent="0.25">
      <c r="A28" s="8"/>
      <c r="B28" s="16">
        <v>26</v>
      </c>
      <c r="C28" s="17">
        <v>150</v>
      </c>
      <c r="D28" s="13"/>
      <c r="E28" s="2"/>
      <c r="F28" s="2"/>
      <c r="G28" s="2"/>
      <c r="H28" s="2"/>
      <c r="J28" s="96"/>
      <c r="K28" s="106"/>
      <c r="L28" s="106"/>
      <c r="M28" s="97"/>
      <c r="N28" s="27"/>
    </row>
    <row r="29" spans="1:18" x14ac:dyDescent="0.25">
      <c r="A29" s="8"/>
      <c r="B29" s="16">
        <v>27</v>
      </c>
      <c r="C29" s="17">
        <v>150</v>
      </c>
      <c r="D29" s="13"/>
      <c r="E29" s="2"/>
      <c r="F29" s="2"/>
      <c r="G29" s="2"/>
      <c r="H29" s="2"/>
      <c r="J29" s="96"/>
      <c r="K29" s="106"/>
      <c r="L29" s="106"/>
      <c r="M29" s="97"/>
      <c r="N29" s="27"/>
    </row>
    <row r="30" spans="1:18" x14ac:dyDescent="0.25">
      <c r="A30" s="8"/>
      <c r="B30" s="16">
        <v>28</v>
      </c>
      <c r="C30" s="17">
        <v>151</v>
      </c>
      <c r="D30" s="13"/>
      <c r="E30" s="3"/>
      <c r="F30" s="3"/>
      <c r="G30" s="3"/>
      <c r="H30" s="3"/>
      <c r="J30" s="98"/>
      <c r="K30" s="102"/>
      <c r="L30" s="102"/>
      <c r="M30" s="99"/>
      <c r="N30" s="27"/>
    </row>
    <row r="31" spans="1:18" x14ac:dyDescent="0.25">
      <c r="A31" s="8"/>
      <c r="B31" s="16">
        <v>29</v>
      </c>
      <c r="C31" s="20">
        <v>153</v>
      </c>
      <c r="D31" s="27"/>
      <c r="I31" s="38"/>
      <c r="J31" s="234" t="s">
        <v>116</v>
      </c>
      <c r="K31" s="235"/>
      <c r="L31" s="236"/>
      <c r="M31" s="108">
        <f>(M18)/4</f>
        <v>20</v>
      </c>
      <c r="N31" s="27"/>
    </row>
    <row r="32" spans="1:18" x14ac:dyDescent="0.25">
      <c r="A32" s="8"/>
      <c r="B32" s="16">
        <v>30</v>
      </c>
      <c r="C32" s="20">
        <v>154</v>
      </c>
      <c r="D32" s="27"/>
      <c r="I32" s="6"/>
      <c r="J32" s="237" t="s">
        <v>111</v>
      </c>
      <c r="K32" s="238"/>
      <c r="L32" s="239"/>
      <c r="M32" s="92" t="s">
        <v>117</v>
      </c>
      <c r="N32" s="27"/>
    </row>
    <row r="33" spans="1:18" x14ac:dyDescent="0.25">
      <c r="A33" s="8"/>
      <c r="B33" s="16">
        <v>31</v>
      </c>
      <c r="C33" s="17">
        <v>154</v>
      </c>
      <c r="D33" s="27"/>
      <c r="I33" s="6"/>
      <c r="J33" s="237" t="s">
        <v>147</v>
      </c>
      <c r="K33" s="238"/>
      <c r="L33" s="239"/>
      <c r="M33" s="93">
        <f>I7</f>
        <v>136</v>
      </c>
      <c r="N33" s="27"/>
    </row>
    <row r="34" spans="1:18" x14ac:dyDescent="0.25">
      <c r="A34" s="8"/>
      <c r="B34" s="16">
        <v>32</v>
      </c>
      <c r="C34" s="17">
        <v>156</v>
      </c>
      <c r="D34" s="27"/>
      <c r="I34" s="6"/>
      <c r="J34" s="237" t="s">
        <v>112</v>
      </c>
      <c r="K34" s="238"/>
      <c r="L34" s="239"/>
      <c r="M34" s="93">
        <f>K7</f>
        <v>10</v>
      </c>
      <c r="N34" s="27"/>
      <c r="R34" s="1" t="s">
        <v>113</v>
      </c>
    </row>
    <row r="35" spans="1:18" x14ac:dyDescent="0.25">
      <c r="A35" s="8"/>
      <c r="B35" s="16">
        <v>33</v>
      </c>
      <c r="C35" s="17">
        <v>157</v>
      </c>
      <c r="D35" s="27"/>
      <c r="I35" s="38"/>
      <c r="J35" s="255" t="s">
        <v>110</v>
      </c>
      <c r="K35" s="256"/>
      <c r="L35" s="257"/>
      <c r="M35" s="94">
        <v>17</v>
      </c>
      <c r="N35" s="27"/>
    </row>
    <row r="36" spans="1:18" x14ac:dyDescent="0.25">
      <c r="A36" s="8"/>
      <c r="B36" s="16">
        <v>34</v>
      </c>
      <c r="C36" s="17">
        <v>158</v>
      </c>
      <c r="D36" s="27"/>
      <c r="I36" s="38">
        <v>5</v>
      </c>
      <c r="J36" s="249" t="s">
        <v>21</v>
      </c>
      <c r="K36" s="250"/>
      <c r="L36" s="251"/>
      <c r="M36" s="112">
        <f>M43+((M41-M45)/M44)*M20</f>
        <v>180.875</v>
      </c>
      <c r="N36" s="27"/>
    </row>
    <row r="37" spans="1:18" x14ac:dyDescent="0.25">
      <c r="A37" s="8"/>
      <c r="B37" s="16">
        <v>35</v>
      </c>
      <c r="C37" s="42">
        <v>158</v>
      </c>
      <c r="D37" s="27"/>
      <c r="J37" s="100"/>
      <c r="K37" s="105"/>
      <c r="L37" s="105"/>
      <c r="M37" s="101"/>
      <c r="N37" s="27"/>
    </row>
    <row r="38" spans="1:18" x14ac:dyDescent="0.25">
      <c r="A38" s="8"/>
      <c r="B38" s="16">
        <v>36</v>
      </c>
      <c r="C38" s="17">
        <v>158</v>
      </c>
      <c r="D38" s="27"/>
      <c r="J38" s="96"/>
      <c r="K38" s="106"/>
      <c r="L38" s="106"/>
      <c r="M38" s="97"/>
      <c r="N38" s="27"/>
    </row>
    <row r="39" spans="1:18" x14ac:dyDescent="0.25">
      <c r="A39" s="8"/>
      <c r="B39" s="16">
        <v>37</v>
      </c>
      <c r="C39" s="17">
        <v>158</v>
      </c>
      <c r="D39" s="27"/>
      <c r="J39" s="96"/>
      <c r="K39" s="106"/>
      <c r="L39" s="106"/>
      <c r="M39" s="97"/>
      <c r="N39" s="27"/>
    </row>
    <row r="40" spans="1:18" x14ac:dyDescent="0.25">
      <c r="A40" s="8"/>
      <c r="B40" s="16">
        <v>38</v>
      </c>
      <c r="C40" s="17">
        <v>160</v>
      </c>
      <c r="D40" s="27"/>
      <c r="J40" s="98"/>
      <c r="K40" s="102"/>
      <c r="L40" s="102"/>
      <c r="M40" s="99"/>
    </row>
    <row r="41" spans="1:18" x14ac:dyDescent="0.25">
      <c r="A41" s="8"/>
      <c r="B41" s="16">
        <v>39</v>
      </c>
      <c r="C41" s="17">
        <v>160</v>
      </c>
      <c r="D41" s="27"/>
      <c r="I41" s="38"/>
      <c r="J41" s="234" t="s">
        <v>128</v>
      </c>
      <c r="K41" s="235"/>
      <c r="L41" s="236"/>
      <c r="M41" s="107">
        <f>(3*$M$18)/4</f>
        <v>60</v>
      </c>
      <c r="N41" s="27"/>
    </row>
    <row r="42" spans="1:18" x14ac:dyDescent="0.25">
      <c r="A42" s="8"/>
      <c r="B42" s="16">
        <v>40</v>
      </c>
      <c r="C42" s="17">
        <v>160</v>
      </c>
      <c r="D42" s="27"/>
      <c r="I42" s="38"/>
      <c r="J42" s="237" t="s">
        <v>129</v>
      </c>
      <c r="K42" s="238"/>
      <c r="L42" s="239"/>
      <c r="M42" s="92" t="s">
        <v>130</v>
      </c>
      <c r="N42" s="27"/>
    </row>
    <row r="43" spans="1:18" x14ac:dyDescent="0.25">
      <c r="A43" s="8"/>
      <c r="B43" s="16">
        <v>41</v>
      </c>
      <c r="C43" s="17">
        <v>163</v>
      </c>
      <c r="D43" s="27"/>
      <c r="I43" s="6"/>
      <c r="J43" s="237" t="s">
        <v>148</v>
      </c>
      <c r="K43" s="238"/>
      <c r="L43" s="239"/>
      <c r="M43" s="93">
        <f>I9</f>
        <v>166</v>
      </c>
    </row>
    <row r="44" spans="1:18" x14ac:dyDescent="0.25">
      <c r="A44" s="8"/>
      <c r="B44" s="16">
        <v>42</v>
      </c>
      <c r="C44" s="17">
        <v>163</v>
      </c>
      <c r="D44" s="27"/>
      <c r="I44" s="6"/>
      <c r="J44" s="237" t="s">
        <v>114</v>
      </c>
      <c r="K44" s="238"/>
      <c r="L44" s="239"/>
      <c r="M44" s="93">
        <f>K9</f>
        <v>16</v>
      </c>
    </row>
    <row r="45" spans="1:18" x14ac:dyDescent="0.25">
      <c r="A45" s="8"/>
      <c r="B45" s="16">
        <v>43</v>
      </c>
      <c r="C45" s="17">
        <v>165</v>
      </c>
      <c r="D45" s="27"/>
      <c r="I45" s="6"/>
      <c r="J45" s="255" t="s">
        <v>115</v>
      </c>
      <c r="K45" s="256"/>
      <c r="L45" s="257"/>
      <c r="M45" s="94">
        <f>L8</f>
        <v>43</v>
      </c>
      <c r="N45" s="27"/>
    </row>
    <row r="46" spans="1:18" x14ac:dyDescent="0.25">
      <c r="A46" s="8"/>
      <c r="B46" s="16">
        <v>44</v>
      </c>
      <c r="C46" s="20">
        <v>167</v>
      </c>
      <c r="D46" s="27"/>
      <c r="I46" s="25">
        <v>6</v>
      </c>
      <c r="J46" s="249" t="s">
        <v>24</v>
      </c>
      <c r="K46" s="250"/>
      <c r="L46" s="251"/>
      <c r="M46" s="112">
        <f>M53+((M51-L4)/K5)*M20</f>
        <v>116.5</v>
      </c>
    </row>
    <row r="47" spans="1:18" x14ac:dyDescent="0.25">
      <c r="A47" s="8"/>
      <c r="B47" s="16">
        <v>45</v>
      </c>
      <c r="C47" s="17">
        <v>167</v>
      </c>
      <c r="D47" s="27"/>
      <c r="I47" s="25"/>
      <c r="J47" s="100"/>
      <c r="K47" s="105"/>
      <c r="L47" s="105"/>
      <c r="M47" s="101"/>
    </row>
    <row r="48" spans="1:18" x14ac:dyDescent="0.25">
      <c r="A48" s="8"/>
      <c r="B48" s="16">
        <v>46</v>
      </c>
      <c r="C48" s="20">
        <v>168</v>
      </c>
      <c r="D48" s="27"/>
      <c r="I48" s="25"/>
      <c r="J48" s="96"/>
      <c r="K48" s="106"/>
      <c r="L48" s="106"/>
      <c r="M48" s="97"/>
    </row>
    <row r="49" spans="1:14" x14ac:dyDescent="0.25">
      <c r="A49" s="8"/>
      <c r="B49" s="16">
        <v>47</v>
      </c>
      <c r="C49" s="17">
        <v>169</v>
      </c>
      <c r="D49" s="27"/>
      <c r="J49" s="96"/>
      <c r="K49" s="106"/>
      <c r="L49" s="106"/>
      <c r="M49" s="97"/>
    </row>
    <row r="50" spans="1:14" x14ac:dyDescent="0.25">
      <c r="A50" s="8"/>
      <c r="B50" s="16">
        <v>48</v>
      </c>
      <c r="C50" s="17">
        <v>170</v>
      </c>
      <c r="D50" s="27"/>
      <c r="J50" s="96"/>
      <c r="K50" s="106"/>
      <c r="L50" s="106"/>
      <c r="M50" s="97"/>
    </row>
    <row r="51" spans="1:14" x14ac:dyDescent="0.25">
      <c r="A51" s="8"/>
      <c r="B51" s="16">
        <v>49</v>
      </c>
      <c r="C51" s="17">
        <v>171</v>
      </c>
      <c r="D51" s="27"/>
      <c r="I51" s="6"/>
      <c r="J51" s="231" t="s">
        <v>120</v>
      </c>
      <c r="K51" s="232"/>
      <c r="L51" s="233"/>
      <c r="M51" s="84">
        <f>(10*M18)/100</f>
        <v>8</v>
      </c>
      <c r="N51" s="27"/>
    </row>
    <row r="52" spans="1:14" x14ac:dyDescent="0.25">
      <c r="A52" s="8"/>
      <c r="B52" s="16">
        <v>50</v>
      </c>
      <c r="C52" s="17">
        <v>171</v>
      </c>
      <c r="D52" s="27"/>
      <c r="I52" s="6"/>
      <c r="J52" s="231" t="s">
        <v>123</v>
      </c>
      <c r="K52" s="232"/>
      <c r="L52" s="233"/>
      <c r="M52" s="86" t="s">
        <v>98</v>
      </c>
      <c r="N52" s="27"/>
    </row>
    <row r="53" spans="1:14" x14ac:dyDescent="0.25">
      <c r="A53" s="8"/>
      <c r="B53" s="16">
        <v>51</v>
      </c>
      <c r="C53" s="17">
        <v>172</v>
      </c>
      <c r="D53" s="27"/>
      <c r="I53" s="6"/>
      <c r="J53" s="231" t="s">
        <v>124</v>
      </c>
      <c r="K53" s="232"/>
      <c r="L53" s="233"/>
      <c r="M53" s="85">
        <v>106</v>
      </c>
      <c r="N53" s="27"/>
    </row>
    <row r="54" spans="1:14" x14ac:dyDescent="0.25">
      <c r="A54" s="8"/>
      <c r="B54" s="16">
        <v>52</v>
      </c>
      <c r="C54" s="20">
        <v>174</v>
      </c>
      <c r="D54" s="27"/>
      <c r="I54" s="25">
        <v>7</v>
      </c>
      <c r="J54" s="252" t="s">
        <v>27</v>
      </c>
      <c r="K54" s="253"/>
      <c r="L54" s="254"/>
      <c r="M54" s="123">
        <f>M61+((M59-L10)/K11)*M20</f>
        <v>206</v>
      </c>
    </row>
    <row r="55" spans="1:14" x14ac:dyDescent="0.25">
      <c r="A55" s="8"/>
      <c r="B55" s="16">
        <v>53</v>
      </c>
      <c r="C55" s="17">
        <v>174</v>
      </c>
      <c r="D55" s="27"/>
      <c r="I55" s="25"/>
      <c r="J55" s="100"/>
      <c r="K55" s="105"/>
      <c r="L55" s="105"/>
      <c r="M55" s="101"/>
    </row>
    <row r="56" spans="1:14" x14ac:dyDescent="0.25">
      <c r="A56" s="8"/>
      <c r="B56" s="16">
        <v>54</v>
      </c>
      <c r="C56" s="17">
        <v>175</v>
      </c>
      <c r="D56" s="27"/>
      <c r="J56" s="96"/>
      <c r="K56" s="106"/>
      <c r="L56" s="106"/>
      <c r="M56" s="97"/>
    </row>
    <row r="57" spans="1:14" x14ac:dyDescent="0.25">
      <c r="A57" s="8"/>
      <c r="B57" s="16">
        <v>55</v>
      </c>
      <c r="C57" s="17">
        <v>176</v>
      </c>
      <c r="D57" s="27"/>
      <c r="J57" s="96"/>
      <c r="K57" s="106"/>
      <c r="L57" s="106"/>
      <c r="M57" s="97"/>
    </row>
    <row r="58" spans="1:14" x14ac:dyDescent="0.25">
      <c r="A58" s="8"/>
      <c r="B58" s="16">
        <v>56</v>
      </c>
      <c r="C58" s="17">
        <v>176</v>
      </c>
      <c r="D58" s="27"/>
      <c r="J58" s="96"/>
      <c r="K58" s="106"/>
      <c r="L58" s="106"/>
      <c r="M58" s="97"/>
    </row>
    <row r="59" spans="1:14" x14ac:dyDescent="0.25">
      <c r="A59" s="8"/>
      <c r="B59" s="16">
        <v>57</v>
      </c>
      <c r="C59" s="17">
        <v>178</v>
      </c>
      <c r="D59" s="27"/>
      <c r="I59" s="6"/>
      <c r="J59" s="231" t="s">
        <v>125</v>
      </c>
      <c r="K59" s="232"/>
      <c r="L59" s="233"/>
      <c r="M59" s="84">
        <f>(90*$M$18)/100</f>
        <v>72</v>
      </c>
      <c r="N59" s="27"/>
    </row>
    <row r="60" spans="1:14" x14ac:dyDescent="0.25">
      <c r="A60" s="8"/>
      <c r="B60" s="16">
        <v>58</v>
      </c>
      <c r="C60" s="20">
        <v>180</v>
      </c>
      <c r="D60" s="27"/>
      <c r="I60" s="6"/>
      <c r="J60" s="231" t="s">
        <v>126</v>
      </c>
      <c r="K60" s="232"/>
      <c r="L60" s="233"/>
      <c r="M60" s="86" t="s">
        <v>102</v>
      </c>
      <c r="N60" s="27"/>
    </row>
    <row r="61" spans="1:14" x14ac:dyDescent="0.25">
      <c r="A61" s="8"/>
      <c r="B61" s="16">
        <v>59</v>
      </c>
      <c r="C61" s="17">
        <v>180</v>
      </c>
      <c r="D61" s="27"/>
      <c r="I61" s="6"/>
      <c r="J61" s="240" t="s">
        <v>127</v>
      </c>
      <c r="K61" s="241"/>
      <c r="L61" s="242"/>
      <c r="M61" s="128">
        <v>196</v>
      </c>
      <c r="N61" s="27"/>
    </row>
    <row r="62" spans="1:14" x14ac:dyDescent="0.25">
      <c r="A62" s="8"/>
      <c r="B62" s="16">
        <v>60</v>
      </c>
      <c r="C62" s="20">
        <v>181</v>
      </c>
      <c r="D62" s="27"/>
      <c r="I62" s="25">
        <v>8</v>
      </c>
      <c r="J62" s="243" t="s">
        <v>133</v>
      </c>
      <c r="K62" s="243"/>
      <c r="L62" s="243"/>
      <c r="M62" s="111">
        <f>M64-M63</f>
        <v>40.675000000000011</v>
      </c>
    </row>
    <row r="63" spans="1:14" x14ac:dyDescent="0.25">
      <c r="A63" s="8"/>
      <c r="B63" s="16">
        <v>61</v>
      </c>
      <c r="C63" s="17">
        <v>181</v>
      </c>
      <c r="D63" s="27"/>
      <c r="I63" s="25"/>
      <c r="J63" s="247" t="s">
        <v>31</v>
      </c>
      <c r="K63" s="247"/>
      <c r="L63" s="247"/>
      <c r="M63" s="95">
        <f>M26</f>
        <v>140.19999999999999</v>
      </c>
      <c r="N63" s="27"/>
    </row>
    <row r="64" spans="1:14" x14ac:dyDescent="0.25">
      <c r="A64" s="8"/>
      <c r="B64" s="16">
        <v>62</v>
      </c>
      <c r="C64" s="20">
        <v>183</v>
      </c>
      <c r="D64" s="27"/>
      <c r="I64" s="25"/>
      <c r="J64" s="248" t="s">
        <v>32</v>
      </c>
      <c r="K64" s="248"/>
      <c r="L64" s="248"/>
      <c r="M64" s="129">
        <f>M36</f>
        <v>180.875</v>
      </c>
      <c r="N64" s="27"/>
    </row>
    <row r="65" spans="1:14" x14ac:dyDescent="0.25">
      <c r="A65" s="8"/>
      <c r="B65" s="16">
        <v>63</v>
      </c>
      <c r="C65" s="17">
        <v>184</v>
      </c>
      <c r="D65" s="27"/>
      <c r="I65" s="25">
        <v>9</v>
      </c>
      <c r="J65" s="243" t="s">
        <v>134</v>
      </c>
      <c r="K65" s="243"/>
      <c r="L65" s="243"/>
      <c r="M65" s="111">
        <f>M62/2</f>
        <v>20.337500000000006</v>
      </c>
      <c r="N65" s="27"/>
    </row>
    <row r="66" spans="1:14" x14ac:dyDescent="0.25">
      <c r="A66" s="8"/>
      <c r="B66" s="16">
        <v>64</v>
      </c>
      <c r="C66" s="20">
        <v>186</v>
      </c>
      <c r="D66" s="27"/>
      <c r="I66" s="25">
        <v>10</v>
      </c>
      <c r="J66" s="243" t="s">
        <v>138</v>
      </c>
      <c r="K66" s="243"/>
      <c r="L66" s="243"/>
      <c r="M66" s="130">
        <f>M73/(M18-1)</f>
        <v>1207.4525316455697</v>
      </c>
      <c r="N66" s="27"/>
    </row>
    <row r="67" spans="1:14" x14ac:dyDescent="0.25">
      <c r="A67" s="8"/>
      <c r="B67" s="16">
        <v>65</v>
      </c>
      <c r="C67" s="17">
        <v>190</v>
      </c>
      <c r="D67" s="27"/>
      <c r="J67" s="96"/>
      <c r="K67" s="106"/>
      <c r="L67" s="106"/>
      <c r="M67" s="97"/>
    </row>
    <row r="68" spans="1:14" x14ac:dyDescent="0.25">
      <c r="A68" s="8"/>
      <c r="B68" s="16">
        <v>66</v>
      </c>
      <c r="C68" s="17">
        <v>193</v>
      </c>
      <c r="D68" s="27"/>
      <c r="J68" s="96"/>
      <c r="K68" s="106"/>
      <c r="L68" s="106"/>
      <c r="M68" s="97"/>
    </row>
    <row r="69" spans="1:14" x14ac:dyDescent="0.25">
      <c r="A69" s="8"/>
      <c r="B69" s="16">
        <v>67</v>
      </c>
      <c r="C69" s="17">
        <v>194</v>
      </c>
      <c r="D69" s="27"/>
      <c r="J69" s="96"/>
      <c r="K69" s="106"/>
      <c r="L69" s="106"/>
      <c r="M69" s="97"/>
    </row>
    <row r="70" spans="1:14" x14ac:dyDescent="0.25">
      <c r="A70" s="8"/>
      <c r="B70" s="16">
        <v>68</v>
      </c>
      <c r="C70" s="17">
        <v>196</v>
      </c>
      <c r="D70" s="27"/>
      <c r="J70" s="96"/>
      <c r="K70" s="106"/>
      <c r="L70" s="106"/>
      <c r="M70" s="97"/>
    </row>
    <row r="71" spans="1:14" x14ac:dyDescent="0.25">
      <c r="A71" s="8"/>
      <c r="B71" s="16">
        <v>69</v>
      </c>
      <c r="C71" s="17">
        <v>199</v>
      </c>
      <c r="D71" s="27"/>
      <c r="I71" s="25"/>
      <c r="J71" s="231" t="s">
        <v>139</v>
      </c>
      <c r="K71" s="232"/>
      <c r="L71" s="233"/>
      <c r="M71" s="84">
        <f>N15</f>
        <v>12970</v>
      </c>
      <c r="N71" s="27"/>
    </row>
    <row r="72" spans="1:14" x14ac:dyDescent="0.25">
      <c r="A72" s="8"/>
      <c r="B72" s="16">
        <v>70</v>
      </c>
      <c r="C72" s="17">
        <v>199</v>
      </c>
      <c r="D72" s="27"/>
      <c r="I72" s="6"/>
      <c r="J72" s="231" t="s">
        <v>137</v>
      </c>
      <c r="K72" s="232"/>
      <c r="L72" s="233"/>
      <c r="M72" s="121">
        <f>M71/M18</f>
        <v>162.125</v>
      </c>
      <c r="N72" s="27"/>
    </row>
    <row r="73" spans="1:14" x14ac:dyDescent="0.25">
      <c r="A73" s="8"/>
      <c r="B73" s="16">
        <v>71</v>
      </c>
      <c r="C73" s="17">
        <v>200</v>
      </c>
      <c r="D73" s="27"/>
      <c r="I73" s="6"/>
      <c r="J73" s="240" t="s">
        <v>144</v>
      </c>
      <c r="K73" s="241"/>
      <c r="L73" s="242"/>
      <c r="M73" s="131">
        <f>Q15</f>
        <v>95388.75</v>
      </c>
      <c r="N73" s="27"/>
    </row>
    <row r="74" spans="1:14" x14ac:dyDescent="0.25">
      <c r="A74" s="8"/>
      <c r="B74" s="16">
        <v>72</v>
      </c>
      <c r="C74" s="17">
        <v>201</v>
      </c>
      <c r="D74" s="27"/>
      <c r="I74" s="25">
        <v>11</v>
      </c>
      <c r="J74" s="243" t="s">
        <v>36</v>
      </c>
      <c r="K74" s="243"/>
      <c r="L74" s="243"/>
      <c r="M74" s="130">
        <f>SQRT(M66)</f>
        <v>34.748417685494253</v>
      </c>
      <c r="N74" s="27"/>
    </row>
    <row r="75" spans="1:14" x14ac:dyDescent="0.25">
      <c r="A75" s="8"/>
      <c r="B75" s="16">
        <v>73</v>
      </c>
      <c r="C75" s="17">
        <v>207</v>
      </c>
      <c r="D75" s="27"/>
      <c r="I75" s="25">
        <v>12</v>
      </c>
      <c r="J75" s="243" t="s">
        <v>37</v>
      </c>
      <c r="K75" s="243"/>
      <c r="L75" s="243"/>
      <c r="M75" s="132">
        <f>(M74/M17)*(100%)</f>
        <v>0.21433102658747419</v>
      </c>
      <c r="N75" s="27"/>
    </row>
    <row r="76" spans="1:14" x14ac:dyDescent="0.25">
      <c r="A76" s="8"/>
      <c r="B76" s="16">
        <v>74</v>
      </c>
      <c r="C76" s="42">
        <v>208</v>
      </c>
      <c r="D76" s="27"/>
      <c r="I76" s="29">
        <v>13</v>
      </c>
      <c r="J76" s="244" t="s">
        <v>38</v>
      </c>
      <c r="K76" s="245"/>
      <c r="L76" s="246"/>
      <c r="M76" s="120">
        <f>M77/M18</f>
        <v>26.934374999999999</v>
      </c>
    </row>
    <row r="77" spans="1:14" x14ac:dyDescent="0.25">
      <c r="A77" s="8"/>
      <c r="B77" s="16">
        <v>75</v>
      </c>
      <c r="C77" s="17">
        <v>218</v>
      </c>
      <c r="D77" s="27"/>
      <c r="I77" s="134"/>
      <c r="J77" s="217" t="s">
        <v>39</v>
      </c>
      <c r="K77" s="218"/>
      <c r="L77" s="219"/>
      <c r="M77" s="133">
        <f>S15</f>
        <v>2154.75</v>
      </c>
      <c r="N77" s="27"/>
    </row>
    <row r="78" spans="1:14" x14ac:dyDescent="0.25">
      <c r="A78" s="8"/>
      <c r="B78" s="16">
        <v>76</v>
      </c>
      <c r="C78" s="20">
        <v>221</v>
      </c>
      <c r="D78" s="27"/>
      <c r="J78" s="24"/>
      <c r="K78" s="24"/>
      <c r="L78" s="24"/>
      <c r="M78" s="24"/>
    </row>
    <row r="79" spans="1:14" x14ac:dyDescent="0.25">
      <c r="A79" s="8"/>
      <c r="B79" s="16">
        <v>77</v>
      </c>
      <c r="C79" s="17">
        <v>228</v>
      </c>
      <c r="D79" s="27"/>
    </row>
    <row r="80" spans="1:14" x14ac:dyDescent="0.25">
      <c r="A80" s="8"/>
      <c r="B80" s="16">
        <v>78</v>
      </c>
      <c r="C80" s="17">
        <v>229</v>
      </c>
      <c r="D80" s="27"/>
    </row>
    <row r="81" spans="1:4" x14ac:dyDescent="0.25">
      <c r="A81" s="8"/>
      <c r="B81" s="16">
        <v>79</v>
      </c>
      <c r="C81" s="17">
        <v>237</v>
      </c>
      <c r="D81" s="27"/>
    </row>
    <row r="82" spans="1:4" x14ac:dyDescent="0.25">
      <c r="A82" s="8"/>
      <c r="B82" s="16">
        <v>80</v>
      </c>
      <c r="C82" s="17">
        <v>245</v>
      </c>
      <c r="D82" s="27"/>
    </row>
    <row r="83" spans="1:4" x14ac:dyDescent="0.25">
      <c r="B83" s="31"/>
      <c r="C83" s="50"/>
    </row>
  </sheetData>
  <autoFilter ref="C2:C82" xr:uid="{9C712CA6-FC94-4F4E-90EE-FECB0D61A709}">
    <sortState xmlns:xlrd2="http://schemas.microsoft.com/office/spreadsheetml/2017/richdata2" ref="C3:C82">
      <sortCondition ref="C2:C82"/>
    </sortState>
  </autoFilter>
  <mergeCells count="46">
    <mergeCell ref="B1:C1"/>
    <mergeCell ref="J21:L21"/>
    <mergeCell ref="J22:L22"/>
    <mergeCell ref="J23:L23"/>
    <mergeCell ref="I2:J2"/>
    <mergeCell ref="J17:L17"/>
    <mergeCell ref="J18:L18"/>
    <mergeCell ref="J19:L19"/>
    <mergeCell ref="J41:L41"/>
    <mergeCell ref="J42:L42"/>
    <mergeCell ref="J43:L43"/>
    <mergeCell ref="J44:L44"/>
    <mergeCell ref="J35:L35"/>
    <mergeCell ref="J36:L36"/>
    <mergeCell ref="J61:L61"/>
    <mergeCell ref="J65:L65"/>
    <mergeCell ref="J66:L66"/>
    <mergeCell ref="I1:S1"/>
    <mergeCell ref="J76:L76"/>
    <mergeCell ref="J75:L75"/>
    <mergeCell ref="J74:L74"/>
    <mergeCell ref="J63:L63"/>
    <mergeCell ref="J64:L64"/>
    <mergeCell ref="J26:L26"/>
    <mergeCell ref="J46:L46"/>
    <mergeCell ref="J54:L54"/>
    <mergeCell ref="J62:L62"/>
    <mergeCell ref="J45:L45"/>
    <mergeCell ref="J20:L20"/>
    <mergeCell ref="J24:L24"/>
    <mergeCell ref="J77:L77"/>
    <mergeCell ref="N20:O22"/>
    <mergeCell ref="N24:O25"/>
    <mergeCell ref="J25:M25"/>
    <mergeCell ref="J51:L51"/>
    <mergeCell ref="J52:L52"/>
    <mergeCell ref="J53:L53"/>
    <mergeCell ref="J31:L31"/>
    <mergeCell ref="J32:L32"/>
    <mergeCell ref="J33:L33"/>
    <mergeCell ref="J34:L34"/>
    <mergeCell ref="J71:L71"/>
    <mergeCell ref="J72:L72"/>
    <mergeCell ref="J73:L73"/>
    <mergeCell ref="J60:L60"/>
    <mergeCell ref="J59:L5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B4C09-623B-434B-B903-046AAB7484AF}">
  <dimension ref="A1:S103"/>
  <sheetViews>
    <sheetView topLeftCell="A5" zoomScaleNormal="100" workbookViewId="0">
      <selection activeCell="H21" sqref="H21"/>
    </sheetView>
  </sheetViews>
  <sheetFormatPr defaultRowHeight="15" x14ac:dyDescent="0.25"/>
  <cols>
    <col min="1" max="1" width="4.140625" style="1" customWidth="1"/>
    <col min="2" max="2" width="6.5703125" style="36" bestFit="1" customWidth="1"/>
    <col min="3" max="3" width="12.42578125" style="48" customWidth="1"/>
    <col min="4" max="4" width="9.28515625" style="1" customWidth="1"/>
    <col min="5" max="5" width="21.140625" style="1" customWidth="1"/>
    <col min="6" max="6" width="11.28515625" style="1" customWidth="1"/>
    <col min="7" max="7" width="6.7109375" style="1" customWidth="1"/>
    <col min="8" max="8" width="6.85546875" style="1" customWidth="1"/>
    <col min="9" max="9" width="11.42578125" style="1" customWidth="1"/>
    <col min="10" max="10" width="14.85546875" style="1" customWidth="1"/>
    <col min="11" max="11" width="15.28515625" style="1" customWidth="1"/>
    <col min="12" max="12" width="21.7109375" style="1" bestFit="1" customWidth="1"/>
    <col min="13" max="13" width="10.28515625" style="1" bestFit="1" customWidth="1"/>
    <col min="14" max="14" width="20.5703125" style="1" bestFit="1" customWidth="1"/>
    <col min="15" max="15" width="11.28515625" style="1" bestFit="1" customWidth="1"/>
    <col min="16" max="16" width="12" style="1" bestFit="1" customWidth="1"/>
    <col min="17" max="17" width="15.140625" style="1" bestFit="1" customWidth="1"/>
    <col min="18" max="18" width="15.28515625" style="1" customWidth="1"/>
    <col min="19" max="19" width="16.85546875" style="1" customWidth="1"/>
    <col min="20" max="16384" width="9.140625" style="1"/>
  </cols>
  <sheetData>
    <row r="1" spans="1:19" ht="28.5" customHeight="1" x14ac:dyDescent="0.25">
      <c r="B1" s="194" t="s">
        <v>2</v>
      </c>
      <c r="C1" s="195"/>
      <c r="D1" s="2"/>
      <c r="E1" s="3"/>
      <c r="F1" s="3"/>
      <c r="G1" s="3"/>
      <c r="H1" s="5"/>
      <c r="I1" s="213" t="s">
        <v>42</v>
      </c>
      <c r="J1" s="214"/>
      <c r="K1" s="214"/>
      <c r="L1" s="214"/>
      <c r="M1" s="214"/>
      <c r="N1" s="214"/>
      <c r="O1" s="214"/>
      <c r="P1" s="214"/>
      <c r="Q1" s="214"/>
      <c r="R1" s="214"/>
      <c r="S1" s="215"/>
    </row>
    <row r="2" spans="1:19" ht="30" customHeight="1" x14ac:dyDescent="0.25">
      <c r="A2" s="8"/>
      <c r="B2" s="9" t="s">
        <v>6</v>
      </c>
      <c r="C2" s="10" t="s">
        <v>4</v>
      </c>
      <c r="D2" s="13"/>
      <c r="E2" s="4"/>
      <c r="F2" s="4"/>
      <c r="G2" s="78"/>
      <c r="H2" s="81" t="s">
        <v>136</v>
      </c>
      <c r="I2" s="216" t="s">
        <v>54</v>
      </c>
      <c r="J2" s="216"/>
      <c r="K2" s="103" t="s">
        <v>135</v>
      </c>
      <c r="L2" s="12" t="s">
        <v>142</v>
      </c>
      <c r="M2" s="12" t="s">
        <v>141</v>
      </c>
      <c r="N2" s="103" t="s">
        <v>143</v>
      </c>
      <c r="O2" s="104" t="s">
        <v>59</v>
      </c>
      <c r="P2" s="104" t="s">
        <v>60</v>
      </c>
      <c r="Q2" s="104" t="s">
        <v>140</v>
      </c>
      <c r="R2" s="117" t="s">
        <v>145</v>
      </c>
      <c r="S2" s="117" t="s">
        <v>146</v>
      </c>
    </row>
    <row r="3" spans="1:19" x14ac:dyDescent="0.25">
      <c r="A3" s="8"/>
      <c r="B3" s="16">
        <v>1</v>
      </c>
      <c r="C3" s="17">
        <v>5329</v>
      </c>
      <c r="D3" s="13"/>
      <c r="E3" s="76" t="s">
        <v>94</v>
      </c>
      <c r="F3" s="71">
        <f>MAX(C3:C102)</f>
        <v>5487</v>
      </c>
      <c r="G3" s="8"/>
      <c r="H3" s="82">
        <v>1</v>
      </c>
      <c r="I3" s="74">
        <f>C3</f>
        <v>5329</v>
      </c>
      <c r="J3" s="72">
        <f>I3+F6</f>
        <v>5342</v>
      </c>
      <c r="K3" s="72">
        <f>COUNTIF($C$3:$C$102, "&gt;=" &amp; I3) - COUNTIF($C$3:$C$102, "&gt;" &amp; J3)</f>
        <v>2</v>
      </c>
      <c r="L3" s="72">
        <f>K3</f>
        <v>2</v>
      </c>
      <c r="M3" s="75">
        <f t="shared" ref="M3:M14" si="0">AVERAGE(I3:J3)</f>
        <v>5335.5</v>
      </c>
      <c r="N3" s="72">
        <f>M3*K3</f>
        <v>10671</v>
      </c>
      <c r="O3" s="75">
        <f t="shared" ref="O3:O14" si="1">M3-$M$18</f>
        <v>5255.5</v>
      </c>
      <c r="P3" s="72">
        <f>O3^2</f>
        <v>27620280.25</v>
      </c>
      <c r="Q3" s="116">
        <f>K3*P3</f>
        <v>55240560.5</v>
      </c>
      <c r="R3" s="118">
        <f>ABS(O3)</f>
        <v>5255.5</v>
      </c>
      <c r="S3" s="119">
        <f>R3*K3</f>
        <v>10511</v>
      </c>
    </row>
    <row r="4" spans="1:19" x14ac:dyDescent="0.25">
      <c r="A4" s="8"/>
      <c r="B4" s="16">
        <v>2</v>
      </c>
      <c r="C4" s="17">
        <v>5342</v>
      </c>
      <c r="D4" s="13"/>
      <c r="E4" s="76" t="s">
        <v>95</v>
      </c>
      <c r="F4" s="71">
        <f>MIN(C3:C102)</f>
        <v>5329</v>
      </c>
      <c r="G4" s="8"/>
      <c r="H4" s="82">
        <v>2</v>
      </c>
      <c r="I4" s="74">
        <f t="shared" ref="I4:I14" si="2">J3+1</f>
        <v>5343</v>
      </c>
      <c r="J4" s="72">
        <f t="shared" ref="J4:J14" si="3">I4+13</f>
        <v>5356</v>
      </c>
      <c r="K4" s="72">
        <f t="shared" ref="K4:K12" si="4">COUNTIF($C$3:$C$102, "&gt;=" &amp; I4) - COUNTIF($C$3:$C$102, "&gt;" &amp; J4)</f>
        <v>1</v>
      </c>
      <c r="L4" s="72">
        <f>L3+K4</f>
        <v>3</v>
      </c>
      <c r="M4" s="75">
        <f t="shared" si="0"/>
        <v>5349.5</v>
      </c>
      <c r="N4" s="72">
        <f t="shared" ref="N4:N14" si="5">M4*K4</f>
        <v>5349.5</v>
      </c>
      <c r="O4" s="75">
        <f t="shared" si="1"/>
        <v>5269.5</v>
      </c>
      <c r="P4" s="72">
        <f t="shared" ref="P4:P14" si="6">O4^2</f>
        <v>27767630.25</v>
      </c>
      <c r="Q4" s="116">
        <f t="shared" ref="Q4:Q13" si="7">K4*P4</f>
        <v>27767630.25</v>
      </c>
      <c r="R4" s="118">
        <f t="shared" ref="R4:R14" si="8">ABS(O4)</f>
        <v>5269.5</v>
      </c>
      <c r="S4" s="119">
        <f t="shared" ref="S4:S14" si="9">R4*K4</f>
        <v>5269.5</v>
      </c>
    </row>
    <row r="5" spans="1:19" x14ac:dyDescent="0.25">
      <c r="A5" s="8"/>
      <c r="B5" s="16">
        <v>3</v>
      </c>
      <c r="C5" s="17">
        <v>5354</v>
      </c>
      <c r="D5" s="13"/>
      <c r="E5" s="76" t="s">
        <v>86</v>
      </c>
      <c r="F5" s="71">
        <f>F3-F4</f>
        <v>158</v>
      </c>
      <c r="G5" s="8"/>
      <c r="H5" s="82">
        <v>3</v>
      </c>
      <c r="I5" s="74">
        <f t="shared" si="2"/>
        <v>5357</v>
      </c>
      <c r="J5" s="72">
        <f t="shared" si="3"/>
        <v>5370</v>
      </c>
      <c r="K5" s="72">
        <f t="shared" si="4"/>
        <v>2</v>
      </c>
      <c r="L5" s="72">
        <f>L4+K5</f>
        <v>5</v>
      </c>
      <c r="M5" s="75">
        <f t="shared" si="0"/>
        <v>5363.5</v>
      </c>
      <c r="N5" s="72">
        <f t="shared" si="5"/>
        <v>10727</v>
      </c>
      <c r="O5" s="75">
        <f t="shared" si="1"/>
        <v>5283.5</v>
      </c>
      <c r="P5" s="72">
        <f t="shared" si="6"/>
        <v>27915372.25</v>
      </c>
      <c r="Q5" s="116">
        <f t="shared" si="7"/>
        <v>55830744.5</v>
      </c>
      <c r="R5" s="118">
        <f t="shared" si="8"/>
        <v>5283.5</v>
      </c>
      <c r="S5" s="119">
        <f t="shared" si="9"/>
        <v>10567</v>
      </c>
    </row>
    <row r="6" spans="1:19" x14ac:dyDescent="0.25">
      <c r="A6" s="8"/>
      <c r="B6" s="16">
        <v>4</v>
      </c>
      <c r="C6" s="17">
        <v>5357</v>
      </c>
      <c r="D6" s="13"/>
      <c r="E6" s="76" t="s">
        <v>119</v>
      </c>
      <c r="F6" s="71">
        <v>13</v>
      </c>
      <c r="G6" s="8"/>
      <c r="H6" s="82">
        <v>4</v>
      </c>
      <c r="I6" s="74">
        <f t="shared" si="2"/>
        <v>5371</v>
      </c>
      <c r="J6" s="72">
        <f t="shared" si="3"/>
        <v>5384</v>
      </c>
      <c r="K6" s="72">
        <f t="shared" si="4"/>
        <v>8</v>
      </c>
      <c r="L6" s="72">
        <f t="shared" ref="L6:L14" si="10">L5+K6</f>
        <v>13</v>
      </c>
      <c r="M6" s="75">
        <f t="shared" si="0"/>
        <v>5377.5</v>
      </c>
      <c r="N6" s="72">
        <f t="shared" si="5"/>
        <v>43020</v>
      </c>
      <c r="O6" s="75">
        <f t="shared" si="1"/>
        <v>5297.5</v>
      </c>
      <c r="P6" s="72">
        <f t="shared" si="6"/>
        <v>28063506.25</v>
      </c>
      <c r="Q6" s="116">
        <f t="shared" si="7"/>
        <v>224508050</v>
      </c>
      <c r="R6" s="118">
        <f t="shared" si="8"/>
        <v>5297.5</v>
      </c>
      <c r="S6" s="119">
        <f t="shared" si="9"/>
        <v>42380</v>
      </c>
    </row>
    <row r="7" spans="1:19" x14ac:dyDescent="0.25">
      <c r="A7" s="8"/>
      <c r="B7" s="16">
        <v>5</v>
      </c>
      <c r="C7" s="17">
        <v>5366</v>
      </c>
      <c r="D7" s="13"/>
      <c r="E7" s="77" t="s">
        <v>51</v>
      </c>
      <c r="F7" s="72">
        <f>F5/F6</f>
        <v>12.153846153846153</v>
      </c>
      <c r="G7" s="8"/>
      <c r="H7" s="82">
        <v>5</v>
      </c>
      <c r="I7" s="74">
        <f t="shared" si="2"/>
        <v>5385</v>
      </c>
      <c r="J7" s="72">
        <f t="shared" si="3"/>
        <v>5398</v>
      </c>
      <c r="K7" s="72">
        <f t="shared" si="4"/>
        <v>10</v>
      </c>
      <c r="L7" s="72">
        <f t="shared" si="10"/>
        <v>23</v>
      </c>
      <c r="M7" s="75">
        <f t="shared" si="0"/>
        <v>5391.5</v>
      </c>
      <c r="N7" s="72">
        <f t="shared" si="5"/>
        <v>53915</v>
      </c>
      <c r="O7" s="75">
        <f t="shared" si="1"/>
        <v>5311.5</v>
      </c>
      <c r="P7" s="72">
        <f t="shared" si="6"/>
        <v>28212032.25</v>
      </c>
      <c r="Q7" s="116">
        <f t="shared" si="7"/>
        <v>282120322.5</v>
      </c>
      <c r="R7" s="118">
        <f t="shared" si="8"/>
        <v>5311.5</v>
      </c>
      <c r="S7" s="119">
        <f t="shared" si="9"/>
        <v>53115</v>
      </c>
    </row>
    <row r="8" spans="1:19" x14ac:dyDescent="0.25">
      <c r="A8" s="8"/>
      <c r="B8" s="16">
        <v>6</v>
      </c>
      <c r="C8" s="17">
        <v>5375</v>
      </c>
      <c r="D8" s="13"/>
      <c r="E8" s="24"/>
      <c r="F8" s="24"/>
      <c r="G8" s="8"/>
      <c r="H8" s="82">
        <v>6</v>
      </c>
      <c r="I8" s="74">
        <f t="shared" si="2"/>
        <v>5399</v>
      </c>
      <c r="J8" s="72">
        <f t="shared" si="3"/>
        <v>5412</v>
      </c>
      <c r="K8" s="72">
        <f t="shared" si="4"/>
        <v>16</v>
      </c>
      <c r="L8" s="72">
        <f t="shared" si="10"/>
        <v>39</v>
      </c>
      <c r="M8" s="75">
        <f t="shared" si="0"/>
        <v>5405.5</v>
      </c>
      <c r="N8" s="72">
        <f t="shared" si="5"/>
        <v>86488</v>
      </c>
      <c r="O8" s="75">
        <f t="shared" si="1"/>
        <v>5325.5</v>
      </c>
      <c r="P8" s="72">
        <f t="shared" si="6"/>
        <v>28360950.25</v>
      </c>
      <c r="Q8" s="116">
        <f t="shared" si="7"/>
        <v>453775204</v>
      </c>
      <c r="R8" s="118">
        <f t="shared" si="8"/>
        <v>5325.5</v>
      </c>
      <c r="S8" s="119">
        <f t="shared" si="9"/>
        <v>85208</v>
      </c>
    </row>
    <row r="9" spans="1:19" x14ac:dyDescent="0.25">
      <c r="A9" s="8"/>
      <c r="B9" s="16">
        <v>7</v>
      </c>
      <c r="C9" s="20">
        <v>5376</v>
      </c>
      <c r="D9" s="13"/>
      <c r="G9" s="6"/>
      <c r="H9" s="82">
        <v>7</v>
      </c>
      <c r="I9" s="74">
        <f t="shared" si="2"/>
        <v>5413</v>
      </c>
      <c r="J9" s="72">
        <f t="shared" si="3"/>
        <v>5426</v>
      </c>
      <c r="K9" s="72">
        <f t="shared" si="4"/>
        <v>16</v>
      </c>
      <c r="L9" s="72">
        <f t="shared" si="10"/>
        <v>55</v>
      </c>
      <c r="M9" s="75">
        <f t="shared" si="0"/>
        <v>5419.5</v>
      </c>
      <c r="N9" s="72">
        <f t="shared" si="5"/>
        <v>86712</v>
      </c>
      <c r="O9" s="75">
        <f t="shared" si="1"/>
        <v>5339.5</v>
      </c>
      <c r="P9" s="72">
        <f t="shared" si="6"/>
        <v>28510260.25</v>
      </c>
      <c r="Q9" s="116">
        <f t="shared" si="7"/>
        <v>456164164</v>
      </c>
      <c r="R9" s="118">
        <f t="shared" si="8"/>
        <v>5339.5</v>
      </c>
      <c r="S9" s="119">
        <f t="shared" si="9"/>
        <v>85432</v>
      </c>
    </row>
    <row r="10" spans="1:19" x14ac:dyDescent="0.25">
      <c r="A10" s="8"/>
      <c r="B10" s="16">
        <v>8</v>
      </c>
      <c r="C10" s="17">
        <v>5377</v>
      </c>
      <c r="D10" s="13"/>
      <c r="G10" s="8"/>
      <c r="H10" s="82">
        <v>8</v>
      </c>
      <c r="I10" s="74">
        <f t="shared" si="2"/>
        <v>5427</v>
      </c>
      <c r="J10" s="72">
        <f t="shared" si="3"/>
        <v>5440</v>
      </c>
      <c r="K10" s="72">
        <f t="shared" si="4"/>
        <v>15</v>
      </c>
      <c r="L10" s="72">
        <f t="shared" si="10"/>
        <v>70</v>
      </c>
      <c r="M10" s="75">
        <f t="shared" si="0"/>
        <v>5433.5</v>
      </c>
      <c r="N10" s="72">
        <f t="shared" si="5"/>
        <v>81502.5</v>
      </c>
      <c r="O10" s="75">
        <f t="shared" si="1"/>
        <v>5353.5</v>
      </c>
      <c r="P10" s="72">
        <f t="shared" si="6"/>
        <v>28659962.25</v>
      </c>
      <c r="Q10" s="116">
        <f t="shared" si="7"/>
        <v>429899433.75</v>
      </c>
      <c r="R10" s="118">
        <f t="shared" si="8"/>
        <v>5353.5</v>
      </c>
      <c r="S10" s="119">
        <f t="shared" si="9"/>
        <v>80302.5</v>
      </c>
    </row>
    <row r="11" spans="1:19" x14ac:dyDescent="0.25">
      <c r="A11" s="8"/>
      <c r="B11" s="16">
        <v>9</v>
      </c>
      <c r="C11" s="17">
        <v>5378</v>
      </c>
      <c r="D11" s="13"/>
      <c r="G11" s="8"/>
      <c r="H11" s="82">
        <v>9</v>
      </c>
      <c r="I11" s="74">
        <f t="shared" si="2"/>
        <v>5441</v>
      </c>
      <c r="J11" s="72">
        <f t="shared" si="3"/>
        <v>5454</v>
      </c>
      <c r="K11" s="72">
        <f t="shared" si="4"/>
        <v>13</v>
      </c>
      <c r="L11" s="72">
        <f t="shared" si="10"/>
        <v>83</v>
      </c>
      <c r="M11" s="75">
        <f t="shared" si="0"/>
        <v>5447.5</v>
      </c>
      <c r="N11" s="72">
        <f t="shared" si="5"/>
        <v>70817.5</v>
      </c>
      <c r="O11" s="75">
        <f t="shared" si="1"/>
        <v>5367.5</v>
      </c>
      <c r="P11" s="72">
        <f t="shared" si="6"/>
        <v>28810056.25</v>
      </c>
      <c r="Q11" s="116">
        <f t="shared" si="7"/>
        <v>374530731.25</v>
      </c>
      <c r="R11" s="118">
        <f t="shared" si="8"/>
        <v>5367.5</v>
      </c>
      <c r="S11" s="119">
        <f t="shared" si="9"/>
        <v>69777.5</v>
      </c>
    </row>
    <row r="12" spans="1:19" x14ac:dyDescent="0.25">
      <c r="A12" s="8"/>
      <c r="B12" s="16">
        <v>10</v>
      </c>
      <c r="C12" s="17">
        <v>5381</v>
      </c>
      <c r="D12" s="13"/>
      <c r="G12" s="8"/>
      <c r="H12" s="82">
        <v>10</v>
      </c>
      <c r="I12" s="74">
        <f t="shared" si="2"/>
        <v>5455</v>
      </c>
      <c r="J12" s="72">
        <f t="shared" si="3"/>
        <v>5468</v>
      </c>
      <c r="K12" s="72">
        <f t="shared" si="4"/>
        <v>8</v>
      </c>
      <c r="L12" s="72">
        <f t="shared" si="10"/>
        <v>91</v>
      </c>
      <c r="M12" s="75">
        <f t="shared" si="0"/>
        <v>5461.5</v>
      </c>
      <c r="N12" s="72">
        <f t="shared" si="5"/>
        <v>43692</v>
      </c>
      <c r="O12" s="75">
        <f t="shared" si="1"/>
        <v>5381.5</v>
      </c>
      <c r="P12" s="72">
        <f t="shared" si="6"/>
        <v>28960542.25</v>
      </c>
      <c r="Q12" s="116">
        <f t="shared" si="7"/>
        <v>231684338</v>
      </c>
      <c r="R12" s="118">
        <f t="shared" si="8"/>
        <v>5381.5</v>
      </c>
      <c r="S12" s="119">
        <f t="shared" si="9"/>
        <v>43052</v>
      </c>
    </row>
    <row r="13" spans="1:19" x14ac:dyDescent="0.25">
      <c r="A13" s="8"/>
      <c r="B13" s="16">
        <v>11</v>
      </c>
      <c r="C13" s="17">
        <v>5382</v>
      </c>
      <c r="D13" s="13"/>
      <c r="G13" s="8"/>
      <c r="H13" s="82">
        <v>11</v>
      </c>
      <c r="I13" s="74">
        <f t="shared" si="2"/>
        <v>5469</v>
      </c>
      <c r="J13" s="72">
        <f t="shared" si="3"/>
        <v>5482</v>
      </c>
      <c r="K13" s="72">
        <f t="shared" ref="K13:K14" si="11">COUNTIF($C$3:$C$102, "&gt;=" &amp; I13) - COUNTIF($C$3:$C$102, "&gt;" &amp; J13)</f>
        <v>7</v>
      </c>
      <c r="L13" s="72">
        <f t="shared" si="10"/>
        <v>98</v>
      </c>
      <c r="M13" s="75">
        <f t="shared" si="0"/>
        <v>5475.5</v>
      </c>
      <c r="N13" s="72">
        <f t="shared" si="5"/>
        <v>38328.5</v>
      </c>
      <c r="O13" s="75">
        <f t="shared" si="1"/>
        <v>5395.5</v>
      </c>
      <c r="P13" s="72">
        <f>O13^2</f>
        <v>29111420.25</v>
      </c>
      <c r="Q13" s="116">
        <f t="shared" si="7"/>
        <v>203779941.75</v>
      </c>
      <c r="R13" s="118">
        <f t="shared" si="8"/>
        <v>5395.5</v>
      </c>
      <c r="S13" s="119">
        <f t="shared" si="9"/>
        <v>37768.5</v>
      </c>
    </row>
    <row r="14" spans="1:19" x14ac:dyDescent="0.25">
      <c r="A14" s="8"/>
      <c r="B14" s="16">
        <v>12</v>
      </c>
      <c r="C14" s="17">
        <v>5383</v>
      </c>
      <c r="D14" s="13"/>
      <c r="G14" s="8"/>
      <c r="H14" s="82">
        <v>12</v>
      </c>
      <c r="I14" s="74">
        <f t="shared" si="2"/>
        <v>5483</v>
      </c>
      <c r="J14" s="72">
        <f t="shared" si="3"/>
        <v>5496</v>
      </c>
      <c r="K14" s="72">
        <f t="shared" si="11"/>
        <v>2</v>
      </c>
      <c r="L14" s="73">
        <f t="shared" si="10"/>
        <v>100</v>
      </c>
      <c r="M14" s="75">
        <f t="shared" si="0"/>
        <v>5489.5</v>
      </c>
      <c r="N14" s="72">
        <f t="shared" si="5"/>
        <v>10979</v>
      </c>
      <c r="O14" s="75">
        <f t="shared" si="1"/>
        <v>5409.5</v>
      </c>
      <c r="P14" s="72">
        <f t="shared" si="6"/>
        <v>29262690.25</v>
      </c>
      <c r="Q14" s="116">
        <f>K14*P14</f>
        <v>58525380.5</v>
      </c>
      <c r="R14" s="118">
        <f t="shared" si="8"/>
        <v>5409.5</v>
      </c>
      <c r="S14" s="119">
        <f t="shared" si="9"/>
        <v>10819</v>
      </c>
    </row>
    <row r="15" spans="1:19" x14ac:dyDescent="0.25">
      <c r="A15" s="8"/>
      <c r="B15" s="16">
        <v>13</v>
      </c>
      <c r="C15" s="17">
        <v>5384</v>
      </c>
      <c r="D15" s="13"/>
      <c r="K15" s="110">
        <f>SUM(K3:K14)</f>
        <v>100</v>
      </c>
      <c r="N15" s="1">
        <f>SUM(N3:N14)</f>
        <v>542202</v>
      </c>
    </row>
    <row r="16" spans="1:19" x14ac:dyDescent="0.25">
      <c r="A16" s="8"/>
      <c r="B16" s="16">
        <v>14</v>
      </c>
      <c r="C16" s="17">
        <v>5385</v>
      </c>
      <c r="D16" s="13"/>
      <c r="K16" s="110"/>
    </row>
    <row r="17" spans="1:14" x14ac:dyDescent="0.25">
      <c r="A17" s="8"/>
      <c r="B17" s="16">
        <v>15</v>
      </c>
      <c r="C17" s="17">
        <v>5387</v>
      </c>
      <c r="D17" s="13"/>
      <c r="I17" s="25">
        <v>1</v>
      </c>
      <c r="J17" s="264" t="s">
        <v>10</v>
      </c>
      <c r="K17" s="264"/>
      <c r="L17" s="264"/>
      <c r="M17" s="124">
        <f>N15/M18</f>
        <v>6777.5249999999996</v>
      </c>
    </row>
    <row r="18" spans="1:14" x14ac:dyDescent="0.25">
      <c r="A18" s="8"/>
      <c r="B18" s="16">
        <v>16</v>
      </c>
      <c r="C18" s="17">
        <v>5387</v>
      </c>
      <c r="D18" s="13"/>
      <c r="I18" s="25"/>
      <c r="J18" s="265" t="s">
        <v>11</v>
      </c>
      <c r="K18" s="265"/>
      <c r="L18" s="265"/>
      <c r="M18" s="126">
        <f>COUNT(C3:C82)</f>
        <v>80</v>
      </c>
    </row>
    <row r="19" spans="1:14" x14ac:dyDescent="0.25">
      <c r="A19" s="8"/>
      <c r="B19" s="16">
        <v>17</v>
      </c>
      <c r="C19" s="17">
        <v>5388</v>
      </c>
      <c r="D19" s="13"/>
      <c r="I19" s="25">
        <v>2</v>
      </c>
      <c r="J19" s="249" t="s">
        <v>12</v>
      </c>
      <c r="K19" s="250"/>
      <c r="L19" s="251"/>
      <c r="M19" s="111">
        <f>M22+(((M18/2)-L7)/M21)*M20</f>
        <v>5412.8125</v>
      </c>
    </row>
    <row r="20" spans="1:14" x14ac:dyDescent="0.25">
      <c r="A20" s="8"/>
      <c r="B20" s="16">
        <v>18</v>
      </c>
      <c r="C20" s="17">
        <v>5388</v>
      </c>
      <c r="D20" s="13"/>
      <c r="I20" s="25"/>
      <c r="J20" s="258" t="s">
        <v>106</v>
      </c>
      <c r="K20" s="259"/>
      <c r="L20" s="260"/>
      <c r="M20" s="108">
        <f>J3-I3</f>
        <v>13</v>
      </c>
    </row>
    <row r="21" spans="1:14" x14ac:dyDescent="0.25">
      <c r="A21" s="8"/>
      <c r="B21" s="16">
        <v>19</v>
      </c>
      <c r="C21" s="17">
        <v>5388</v>
      </c>
      <c r="D21" s="13"/>
      <c r="I21" s="6"/>
      <c r="J21" s="237" t="s">
        <v>107</v>
      </c>
      <c r="K21" s="238"/>
      <c r="L21" s="239"/>
      <c r="M21" s="122">
        <f>MAX(K3:K14)</f>
        <v>16</v>
      </c>
    </row>
    <row r="22" spans="1:14" x14ac:dyDescent="0.25">
      <c r="A22" s="8"/>
      <c r="B22" s="16">
        <v>20</v>
      </c>
      <c r="C22" s="20">
        <v>5388</v>
      </c>
      <c r="D22" s="13"/>
      <c r="E22" s="2"/>
      <c r="F22" s="2"/>
      <c r="G22" s="2"/>
      <c r="H22" s="2"/>
      <c r="I22" s="83"/>
      <c r="J22" s="237" t="s">
        <v>108</v>
      </c>
      <c r="K22" s="238"/>
      <c r="L22" s="239"/>
      <c r="M22" s="91">
        <f>INDEX(I3:I14,MATCH(M21,K3:K14,0))</f>
        <v>5399</v>
      </c>
    </row>
    <row r="23" spans="1:14" x14ac:dyDescent="0.25">
      <c r="A23" s="8"/>
      <c r="B23" s="16">
        <v>21</v>
      </c>
      <c r="C23" s="17">
        <v>5390</v>
      </c>
      <c r="D23" s="13"/>
      <c r="E23" s="2"/>
      <c r="F23" s="2"/>
      <c r="G23" s="2"/>
      <c r="H23" s="2"/>
      <c r="I23" s="83"/>
      <c r="J23" s="261" t="s">
        <v>109</v>
      </c>
      <c r="K23" s="262"/>
      <c r="L23" s="263"/>
      <c r="M23" s="127">
        <f>L7</f>
        <v>23</v>
      </c>
    </row>
    <row r="24" spans="1:14" x14ac:dyDescent="0.25">
      <c r="A24" s="8"/>
      <c r="B24" s="16">
        <v>22</v>
      </c>
      <c r="C24" s="17">
        <v>5391</v>
      </c>
      <c r="D24" s="13"/>
      <c r="E24" s="2"/>
      <c r="F24" s="2"/>
      <c r="G24" s="2"/>
      <c r="H24" s="2"/>
      <c r="I24" s="38">
        <v>3</v>
      </c>
      <c r="J24" s="249" t="s">
        <v>16</v>
      </c>
      <c r="K24" s="250"/>
      <c r="L24" s="251"/>
      <c r="M24" s="111">
        <f>M22+(((M21-K7)/(2*M21-K7-M21))*M20)</f>
        <v>5412</v>
      </c>
    </row>
    <row r="25" spans="1:14" x14ac:dyDescent="0.25">
      <c r="A25" s="8"/>
      <c r="B25" s="16">
        <v>23</v>
      </c>
      <c r="C25" s="20">
        <v>5396</v>
      </c>
      <c r="D25" s="13"/>
      <c r="E25" s="2"/>
      <c r="F25" s="2"/>
      <c r="G25" s="2"/>
      <c r="H25" s="2"/>
      <c r="I25" s="39"/>
      <c r="J25" s="228"/>
      <c r="K25" s="229"/>
      <c r="L25" s="229"/>
      <c r="M25" s="230"/>
    </row>
    <row r="26" spans="1:14" x14ac:dyDescent="0.25">
      <c r="A26" s="8"/>
      <c r="B26" s="16">
        <v>24</v>
      </c>
      <c r="C26" s="17">
        <v>5399</v>
      </c>
      <c r="D26" s="13"/>
      <c r="E26" s="2"/>
      <c r="F26" s="2"/>
      <c r="G26" s="2"/>
      <c r="H26" s="2"/>
      <c r="I26" s="38">
        <v>4</v>
      </c>
      <c r="J26" s="249" t="s">
        <v>18</v>
      </c>
      <c r="K26" s="250"/>
      <c r="L26" s="251"/>
      <c r="M26" s="111">
        <f>M33+((M31-M35)/M34)*M20</f>
        <v>5388.9</v>
      </c>
      <c r="N26" s="27"/>
    </row>
    <row r="27" spans="1:14" x14ac:dyDescent="0.25">
      <c r="A27" s="8"/>
      <c r="B27" s="16">
        <v>25</v>
      </c>
      <c r="C27" s="17">
        <v>5399</v>
      </c>
      <c r="D27" s="13"/>
      <c r="E27" s="2"/>
      <c r="F27" s="2"/>
      <c r="G27" s="2"/>
      <c r="H27" s="2"/>
      <c r="J27" s="100"/>
      <c r="K27" s="105"/>
      <c r="L27" s="105"/>
      <c r="M27" s="101"/>
      <c r="N27" s="27"/>
    </row>
    <row r="28" spans="1:14" x14ac:dyDescent="0.25">
      <c r="A28" s="8"/>
      <c r="B28" s="16">
        <v>26</v>
      </c>
      <c r="C28" s="17">
        <v>5399</v>
      </c>
      <c r="D28" s="13"/>
      <c r="E28" s="2"/>
      <c r="F28" s="2"/>
      <c r="G28" s="2"/>
      <c r="H28" s="2"/>
      <c r="J28" s="96"/>
      <c r="K28" s="106"/>
      <c r="L28" s="106"/>
      <c r="M28" s="97"/>
      <c r="N28" s="27"/>
    </row>
    <row r="29" spans="1:14" x14ac:dyDescent="0.25">
      <c r="A29" s="8"/>
      <c r="B29" s="16">
        <v>27</v>
      </c>
      <c r="C29" s="17">
        <v>5401</v>
      </c>
      <c r="D29" s="13"/>
      <c r="E29" s="2"/>
      <c r="F29" s="2"/>
      <c r="G29" s="2"/>
      <c r="H29" s="2"/>
      <c r="J29" s="96"/>
      <c r="K29" s="106"/>
      <c r="L29" s="106"/>
      <c r="M29" s="97"/>
      <c r="N29" s="27"/>
    </row>
    <row r="30" spans="1:14" x14ac:dyDescent="0.25">
      <c r="A30" s="8"/>
      <c r="B30" s="16">
        <v>28</v>
      </c>
      <c r="C30" s="17">
        <v>5401</v>
      </c>
      <c r="D30" s="13"/>
      <c r="E30" s="3"/>
      <c r="F30" s="3"/>
      <c r="G30" s="3"/>
      <c r="H30" s="3"/>
      <c r="J30" s="98"/>
      <c r="K30" s="102"/>
      <c r="L30" s="102"/>
      <c r="M30" s="99"/>
      <c r="N30" s="27"/>
    </row>
    <row r="31" spans="1:14" x14ac:dyDescent="0.25">
      <c r="A31" s="8"/>
      <c r="B31" s="16">
        <v>29</v>
      </c>
      <c r="C31" s="17">
        <v>5401</v>
      </c>
      <c r="D31" s="27"/>
      <c r="I31" s="38"/>
      <c r="J31" s="234" t="s">
        <v>116</v>
      </c>
      <c r="K31" s="235"/>
      <c r="L31" s="236"/>
      <c r="M31" s="108">
        <f>(M18)/4</f>
        <v>20</v>
      </c>
    </row>
    <row r="32" spans="1:14" x14ac:dyDescent="0.25">
      <c r="A32" s="8"/>
      <c r="B32" s="16">
        <v>30</v>
      </c>
      <c r="C32" s="17">
        <v>5406</v>
      </c>
      <c r="D32" s="27"/>
      <c r="I32" s="6"/>
      <c r="J32" s="237" t="s">
        <v>111</v>
      </c>
      <c r="K32" s="238"/>
      <c r="L32" s="239"/>
      <c r="M32" s="92" t="s">
        <v>117</v>
      </c>
      <c r="N32" s="27"/>
    </row>
    <row r="33" spans="1:14" x14ac:dyDescent="0.25">
      <c r="A33" s="8"/>
      <c r="B33" s="16">
        <v>31</v>
      </c>
      <c r="C33" s="17">
        <v>5406</v>
      </c>
      <c r="D33" s="27"/>
      <c r="I33" s="6"/>
      <c r="J33" s="237" t="s">
        <v>147</v>
      </c>
      <c r="K33" s="238"/>
      <c r="L33" s="239"/>
      <c r="M33" s="93">
        <f>I7</f>
        <v>5385</v>
      </c>
      <c r="N33" s="27"/>
    </row>
    <row r="34" spans="1:14" x14ac:dyDescent="0.25">
      <c r="A34" s="8"/>
      <c r="B34" s="16">
        <v>32</v>
      </c>
      <c r="C34" s="17">
        <v>5406</v>
      </c>
      <c r="D34" s="27"/>
      <c r="I34" s="6"/>
      <c r="J34" s="237" t="s">
        <v>112</v>
      </c>
      <c r="K34" s="238"/>
      <c r="L34" s="239"/>
      <c r="M34" s="93">
        <f>K7</f>
        <v>10</v>
      </c>
      <c r="N34" s="27"/>
    </row>
    <row r="35" spans="1:14" x14ac:dyDescent="0.25">
      <c r="A35" s="8"/>
      <c r="B35" s="16">
        <v>33</v>
      </c>
      <c r="C35" s="17">
        <v>5407</v>
      </c>
      <c r="D35" s="27"/>
      <c r="I35" s="38"/>
      <c r="J35" s="255" t="s">
        <v>110</v>
      </c>
      <c r="K35" s="256"/>
      <c r="L35" s="257"/>
      <c r="M35" s="94">
        <v>17</v>
      </c>
      <c r="N35" s="27"/>
    </row>
    <row r="36" spans="1:14" x14ac:dyDescent="0.25">
      <c r="A36" s="8"/>
      <c r="B36" s="16">
        <v>34</v>
      </c>
      <c r="C36" s="17">
        <v>5407</v>
      </c>
      <c r="D36" s="27"/>
      <c r="I36" s="38">
        <v>5</v>
      </c>
      <c r="J36" s="249" t="s">
        <v>21</v>
      </c>
      <c r="K36" s="250"/>
      <c r="L36" s="251"/>
      <c r="M36" s="112">
        <f>M43+((M41-M45)/M44)*M20</f>
        <v>5430.0625</v>
      </c>
      <c r="N36" s="27"/>
    </row>
    <row r="37" spans="1:14" x14ac:dyDescent="0.25">
      <c r="A37" s="8"/>
      <c r="B37" s="16">
        <v>35</v>
      </c>
      <c r="C37" s="17">
        <v>5408</v>
      </c>
      <c r="D37" s="27"/>
      <c r="J37" s="100"/>
      <c r="K37" s="105"/>
      <c r="L37" s="105"/>
      <c r="M37" s="101"/>
    </row>
    <row r="38" spans="1:14" x14ac:dyDescent="0.25">
      <c r="A38" s="8"/>
      <c r="B38" s="16">
        <v>36</v>
      </c>
      <c r="C38" s="17">
        <v>5408</v>
      </c>
      <c r="D38" s="27"/>
      <c r="J38" s="96"/>
      <c r="K38" s="106"/>
      <c r="L38" s="106"/>
      <c r="M38" s="97"/>
      <c r="N38" s="27"/>
    </row>
    <row r="39" spans="1:14" x14ac:dyDescent="0.25">
      <c r="A39" s="8"/>
      <c r="B39" s="16">
        <v>37</v>
      </c>
      <c r="C39" s="17">
        <v>5409</v>
      </c>
      <c r="D39" s="27"/>
      <c r="J39" s="96"/>
      <c r="K39" s="106"/>
      <c r="L39" s="106"/>
      <c r="M39" s="97"/>
      <c r="N39" s="27"/>
    </row>
    <row r="40" spans="1:14" x14ac:dyDescent="0.25">
      <c r="A40" s="8"/>
      <c r="B40" s="16">
        <v>38</v>
      </c>
      <c r="C40" s="17">
        <v>5411</v>
      </c>
      <c r="D40" s="27"/>
      <c r="J40" s="98"/>
      <c r="K40" s="102"/>
      <c r="L40" s="102"/>
      <c r="M40" s="99"/>
    </row>
    <row r="41" spans="1:14" x14ac:dyDescent="0.25">
      <c r="A41" s="8"/>
      <c r="B41" s="16">
        <v>39</v>
      </c>
      <c r="C41" s="17">
        <v>5412</v>
      </c>
      <c r="D41" s="27"/>
      <c r="I41" s="38"/>
      <c r="J41" s="234" t="s">
        <v>128</v>
      </c>
      <c r="K41" s="235"/>
      <c r="L41" s="236"/>
      <c r="M41" s="107">
        <f>(3*$M$18)/4</f>
        <v>60</v>
      </c>
      <c r="N41" s="27"/>
    </row>
    <row r="42" spans="1:14" x14ac:dyDescent="0.25">
      <c r="A42" s="8"/>
      <c r="B42" s="16">
        <v>40</v>
      </c>
      <c r="C42" s="20">
        <v>5413</v>
      </c>
      <c r="D42" s="27"/>
      <c r="I42" s="38"/>
      <c r="J42" s="237" t="s">
        <v>129</v>
      </c>
      <c r="K42" s="238"/>
      <c r="L42" s="239"/>
      <c r="M42" s="92" t="s">
        <v>130</v>
      </c>
      <c r="N42" s="27"/>
    </row>
    <row r="43" spans="1:14" x14ac:dyDescent="0.25">
      <c r="A43" s="8"/>
      <c r="B43" s="16">
        <v>41</v>
      </c>
      <c r="C43" s="20">
        <v>5416</v>
      </c>
      <c r="D43" s="27"/>
      <c r="I43" s="6"/>
      <c r="J43" s="237" t="s">
        <v>148</v>
      </c>
      <c r="K43" s="238"/>
      <c r="L43" s="239"/>
      <c r="M43" s="93">
        <f>I9</f>
        <v>5413</v>
      </c>
    </row>
    <row r="44" spans="1:14" x14ac:dyDescent="0.25">
      <c r="A44" s="8"/>
      <c r="B44" s="16">
        <v>42</v>
      </c>
      <c r="C44" s="17">
        <v>5416</v>
      </c>
      <c r="D44" s="27"/>
      <c r="I44" s="6"/>
      <c r="J44" s="237" t="s">
        <v>114</v>
      </c>
      <c r="K44" s="238"/>
      <c r="L44" s="239"/>
      <c r="M44" s="93">
        <f>K9</f>
        <v>16</v>
      </c>
    </row>
    <row r="45" spans="1:14" x14ac:dyDescent="0.25">
      <c r="A45" s="8"/>
      <c r="B45" s="16">
        <v>43</v>
      </c>
      <c r="C45" s="17">
        <v>5416</v>
      </c>
      <c r="D45" s="27"/>
      <c r="I45" s="6"/>
      <c r="J45" s="255" t="s">
        <v>115</v>
      </c>
      <c r="K45" s="256"/>
      <c r="L45" s="257"/>
      <c r="M45" s="94">
        <f>L8</f>
        <v>39</v>
      </c>
    </row>
    <row r="46" spans="1:14" x14ac:dyDescent="0.25">
      <c r="A46" s="8"/>
      <c r="B46" s="16">
        <v>44</v>
      </c>
      <c r="C46" s="17">
        <v>5416</v>
      </c>
      <c r="D46" s="27"/>
      <c r="I46" s="25">
        <v>6</v>
      </c>
      <c r="J46" s="249" t="s">
        <v>24</v>
      </c>
      <c r="K46" s="250"/>
      <c r="L46" s="251"/>
      <c r="M46" s="112">
        <f>M53+((M51-L4)/K5)*M20</f>
        <v>138.5</v>
      </c>
    </row>
    <row r="47" spans="1:14" x14ac:dyDescent="0.25">
      <c r="A47" s="8"/>
      <c r="B47" s="16">
        <v>45</v>
      </c>
      <c r="C47" s="17">
        <v>5418</v>
      </c>
      <c r="D47" s="27"/>
      <c r="I47" s="25"/>
      <c r="J47" s="100"/>
      <c r="K47" s="105"/>
      <c r="L47" s="105"/>
      <c r="M47" s="101"/>
    </row>
    <row r="48" spans="1:14" x14ac:dyDescent="0.25">
      <c r="A48" s="8"/>
      <c r="B48" s="16">
        <v>46</v>
      </c>
      <c r="C48" s="17">
        <v>5418</v>
      </c>
      <c r="D48" s="27"/>
      <c r="I48" s="25"/>
      <c r="J48" s="96"/>
      <c r="K48" s="106"/>
      <c r="L48" s="106"/>
      <c r="M48" s="97"/>
    </row>
    <row r="49" spans="1:13" x14ac:dyDescent="0.25">
      <c r="A49" s="8"/>
      <c r="B49" s="16">
        <v>47</v>
      </c>
      <c r="C49" s="17">
        <v>5420</v>
      </c>
      <c r="D49" s="27"/>
      <c r="J49" s="96"/>
      <c r="K49" s="106"/>
      <c r="L49" s="106"/>
      <c r="M49" s="97"/>
    </row>
    <row r="50" spans="1:13" x14ac:dyDescent="0.25">
      <c r="A50" s="8"/>
      <c r="B50" s="16">
        <v>48</v>
      </c>
      <c r="C50" s="17">
        <v>5420</v>
      </c>
      <c r="D50" s="27"/>
      <c r="J50" s="96"/>
      <c r="K50" s="106"/>
      <c r="L50" s="106"/>
      <c r="M50" s="97"/>
    </row>
    <row r="51" spans="1:13" x14ac:dyDescent="0.25">
      <c r="A51" s="8"/>
      <c r="B51" s="16">
        <v>49</v>
      </c>
      <c r="C51" s="17">
        <v>5421</v>
      </c>
      <c r="D51" s="27"/>
      <c r="I51" s="6"/>
      <c r="J51" s="231" t="s">
        <v>120</v>
      </c>
      <c r="K51" s="232"/>
      <c r="L51" s="233"/>
      <c r="M51" s="84">
        <f>(10*M18)/100</f>
        <v>8</v>
      </c>
    </row>
    <row r="52" spans="1:13" x14ac:dyDescent="0.25">
      <c r="A52" s="8"/>
      <c r="B52" s="16">
        <v>50</v>
      </c>
      <c r="C52" s="17">
        <v>5421</v>
      </c>
      <c r="D52" s="27"/>
      <c r="I52" s="6"/>
      <c r="J52" s="231" t="s">
        <v>123</v>
      </c>
      <c r="K52" s="232"/>
      <c r="L52" s="233"/>
      <c r="M52" s="86" t="s">
        <v>98</v>
      </c>
    </row>
    <row r="53" spans="1:13" x14ac:dyDescent="0.25">
      <c r="A53" s="8"/>
      <c r="B53" s="16">
        <v>51</v>
      </c>
      <c r="C53" s="17">
        <v>5422</v>
      </c>
      <c r="D53" s="27"/>
      <c r="I53" s="6"/>
      <c r="J53" s="231" t="s">
        <v>124</v>
      </c>
      <c r="K53" s="232"/>
      <c r="L53" s="233"/>
      <c r="M53" s="85">
        <v>106</v>
      </c>
    </row>
    <row r="54" spans="1:13" x14ac:dyDescent="0.25">
      <c r="A54" s="8"/>
      <c r="B54" s="16">
        <v>52</v>
      </c>
      <c r="C54" s="42">
        <v>5422</v>
      </c>
      <c r="D54" s="27"/>
      <c r="I54" s="25">
        <v>7</v>
      </c>
      <c r="J54" s="252" t="s">
        <v>27</v>
      </c>
      <c r="K54" s="253"/>
      <c r="L54" s="254"/>
      <c r="M54" s="123">
        <f>M61+((M59-L10)/K11)*M20</f>
        <v>198</v>
      </c>
    </row>
    <row r="55" spans="1:13" x14ac:dyDescent="0.25">
      <c r="A55" s="8"/>
      <c r="B55" s="16">
        <v>53</v>
      </c>
      <c r="C55" s="17">
        <v>5422</v>
      </c>
      <c r="D55" s="27"/>
      <c r="I55" s="25"/>
      <c r="J55" s="100"/>
      <c r="K55" s="105"/>
      <c r="L55" s="105"/>
      <c r="M55" s="101"/>
    </row>
    <row r="56" spans="1:13" x14ac:dyDescent="0.25">
      <c r="A56" s="8"/>
      <c r="B56" s="16">
        <v>54</v>
      </c>
      <c r="C56" s="17">
        <v>5423</v>
      </c>
      <c r="D56" s="27"/>
      <c r="J56" s="96"/>
      <c r="K56" s="106"/>
      <c r="L56" s="106"/>
      <c r="M56" s="97"/>
    </row>
    <row r="57" spans="1:13" x14ac:dyDescent="0.25">
      <c r="A57" s="8"/>
      <c r="B57" s="16">
        <v>55</v>
      </c>
      <c r="C57" s="20">
        <v>5425</v>
      </c>
      <c r="D57" s="27"/>
      <c r="J57" s="96"/>
      <c r="K57" s="106"/>
      <c r="L57" s="106"/>
      <c r="M57" s="97"/>
    </row>
    <row r="58" spans="1:13" x14ac:dyDescent="0.25">
      <c r="A58" s="8"/>
      <c r="B58" s="16">
        <v>56</v>
      </c>
      <c r="C58" s="20">
        <v>5427</v>
      </c>
      <c r="D58" s="27"/>
      <c r="J58" s="96"/>
      <c r="K58" s="106"/>
      <c r="L58" s="106"/>
      <c r="M58" s="97"/>
    </row>
    <row r="59" spans="1:13" x14ac:dyDescent="0.25">
      <c r="A59" s="8"/>
      <c r="B59" s="16">
        <v>57</v>
      </c>
      <c r="C59" s="17">
        <v>5428</v>
      </c>
      <c r="D59" s="27"/>
      <c r="I59" s="6"/>
      <c r="J59" s="231" t="s">
        <v>125</v>
      </c>
      <c r="K59" s="232"/>
      <c r="L59" s="233"/>
      <c r="M59" s="84">
        <f>(90*$M$18)/100</f>
        <v>72</v>
      </c>
    </row>
    <row r="60" spans="1:13" x14ac:dyDescent="0.25">
      <c r="A60" s="8"/>
      <c r="B60" s="16">
        <v>58</v>
      </c>
      <c r="C60" s="17">
        <v>5429</v>
      </c>
      <c r="D60" s="27"/>
      <c r="I60" s="6"/>
      <c r="J60" s="231" t="s">
        <v>126</v>
      </c>
      <c r="K60" s="232"/>
      <c r="L60" s="233"/>
      <c r="M60" s="86" t="s">
        <v>102</v>
      </c>
    </row>
    <row r="61" spans="1:13" x14ac:dyDescent="0.25">
      <c r="A61" s="8"/>
      <c r="B61" s="16">
        <v>59</v>
      </c>
      <c r="C61" s="20">
        <v>5429</v>
      </c>
      <c r="D61" s="27"/>
      <c r="I61" s="6"/>
      <c r="J61" s="240" t="s">
        <v>127</v>
      </c>
      <c r="K61" s="241"/>
      <c r="L61" s="242"/>
      <c r="M61" s="128">
        <v>196</v>
      </c>
    </row>
    <row r="62" spans="1:13" x14ac:dyDescent="0.25">
      <c r="A62" s="8"/>
      <c r="B62" s="16">
        <v>60</v>
      </c>
      <c r="C62" s="17">
        <v>5430</v>
      </c>
      <c r="D62" s="27"/>
      <c r="I62" s="25">
        <v>8</v>
      </c>
      <c r="J62" s="243" t="s">
        <v>133</v>
      </c>
      <c r="K62" s="243"/>
      <c r="L62" s="243"/>
      <c r="M62" s="111">
        <f>M64-M63</f>
        <v>41.162500000000364</v>
      </c>
    </row>
    <row r="63" spans="1:13" x14ac:dyDescent="0.25">
      <c r="A63" s="8"/>
      <c r="B63" s="16">
        <v>61</v>
      </c>
      <c r="C63" s="17">
        <v>5431</v>
      </c>
      <c r="D63" s="27"/>
      <c r="I63" s="25"/>
      <c r="J63" s="247" t="s">
        <v>31</v>
      </c>
      <c r="K63" s="247"/>
      <c r="L63" s="247"/>
      <c r="M63" s="95">
        <f>M26</f>
        <v>5388.9</v>
      </c>
    </row>
    <row r="64" spans="1:13" x14ac:dyDescent="0.25">
      <c r="A64" s="8"/>
      <c r="B64" s="16">
        <v>62</v>
      </c>
      <c r="C64" s="42">
        <v>5431</v>
      </c>
      <c r="D64" s="27"/>
      <c r="I64" s="25"/>
      <c r="J64" s="248" t="s">
        <v>32</v>
      </c>
      <c r="K64" s="248"/>
      <c r="L64" s="248"/>
      <c r="M64" s="129">
        <f>M36</f>
        <v>5430.0625</v>
      </c>
    </row>
    <row r="65" spans="1:13" x14ac:dyDescent="0.25">
      <c r="A65" s="8"/>
      <c r="B65" s="16">
        <v>63</v>
      </c>
      <c r="C65" s="17">
        <v>5431</v>
      </c>
      <c r="D65" s="27"/>
      <c r="I65" s="25">
        <v>9</v>
      </c>
      <c r="J65" s="243" t="s">
        <v>134</v>
      </c>
      <c r="K65" s="243"/>
      <c r="L65" s="243"/>
      <c r="M65" s="111">
        <f>M62/2</f>
        <v>20.581250000000182</v>
      </c>
    </row>
    <row r="66" spans="1:13" x14ac:dyDescent="0.25">
      <c r="A66" s="8"/>
      <c r="B66" s="16">
        <v>64</v>
      </c>
      <c r="C66" s="17">
        <v>5431</v>
      </c>
      <c r="D66" s="27"/>
      <c r="I66" s="25">
        <v>10</v>
      </c>
      <c r="J66" s="243" t="s">
        <v>138</v>
      </c>
      <c r="K66" s="243"/>
      <c r="L66" s="243"/>
      <c r="M66" s="130">
        <f>M73/(M18-1)</f>
        <v>0</v>
      </c>
    </row>
    <row r="67" spans="1:13" x14ac:dyDescent="0.25">
      <c r="A67" s="8"/>
      <c r="B67" s="16">
        <v>65</v>
      </c>
      <c r="C67" s="20">
        <v>5435</v>
      </c>
      <c r="D67" s="27"/>
      <c r="J67" s="96"/>
      <c r="K67" s="106"/>
      <c r="L67" s="106"/>
      <c r="M67" s="97"/>
    </row>
    <row r="68" spans="1:13" x14ac:dyDescent="0.25">
      <c r="A68" s="8"/>
      <c r="B68" s="16">
        <v>66</v>
      </c>
      <c r="C68" s="17">
        <v>5435</v>
      </c>
      <c r="D68" s="27"/>
      <c r="J68" s="96"/>
      <c r="K68" s="106"/>
      <c r="L68" s="106"/>
      <c r="M68" s="97"/>
    </row>
    <row r="69" spans="1:13" x14ac:dyDescent="0.25">
      <c r="A69" s="8"/>
      <c r="B69" s="16">
        <v>67</v>
      </c>
      <c r="C69" s="20">
        <v>5436</v>
      </c>
      <c r="D69" s="27"/>
      <c r="J69" s="96"/>
      <c r="K69" s="106"/>
      <c r="L69" s="106"/>
      <c r="M69" s="97"/>
    </row>
    <row r="70" spans="1:13" x14ac:dyDescent="0.25">
      <c r="A70" s="8"/>
      <c r="B70" s="16">
        <v>68</v>
      </c>
      <c r="C70" s="17">
        <v>5440</v>
      </c>
      <c r="D70" s="27"/>
      <c r="J70" s="96"/>
      <c r="K70" s="106"/>
      <c r="L70" s="106"/>
      <c r="M70" s="97"/>
    </row>
    <row r="71" spans="1:13" x14ac:dyDescent="0.25">
      <c r="A71" s="8"/>
      <c r="B71" s="16">
        <v>69</v>
      </c>
      <c r="C71" s="17">
        <v>5440</v>
      </c>
      <c r="D71" s="27"/>
      <c r="I71" s="25"/>
      <c r="J71" s="231" t="s">
        <v>139</v>
      </c>
      <c r="K71" s="232"/>
      <c r="L71" s="233"/>
      <c r="M71" s="84">
        <f>N15</f>
        <v>542202</v>
      </c>
    </row>
    <row r="72" spans="1:13" x14ac:dyDescent="0.25">
      <c r="A72" s="8"/>
      <c r="B72" s="16">
        <v>70</v>
      </c>
      <c r="C72" s="17">
        <v>5440</v>
      </c>
      <c r="D72" s="27"/>
      <c r="I72" s="6"/>
      <c r="J72" s="231" t="s">
        <v>137</v>
      </c>
      <c r="K72" s="232"/>
      <c r="L72" s="233"/>
      <c r="M72" s="121">
        <f>M71/M18</f>
        <v>6777.5249999999996</v>
      </c>
    </row>
    <row r="73" spans="1:13" x14ac:dyDescent="0.25">
      <c r="A73" s="8"/>
      <c r="B73" s="16">
        <v>71</v>
      </c>
      <c r="C73" s="17">
        <v>5441</v>
      </c>
      <c r="D73" s="27"/>
      <c r="I73" s="6"/>
      <c r="J73" s="240" t="s">
        <v>144</v>
      </c>
      <c r="K73" s="241"/>
      <c r="L73" s="242"/>
      <c r="M73" s="131">
        <f>Q15</f>
        <v>0</v>
      </c>
    </row>
    <row r="74" spans="1:13" x14ac:dyDescent="0.25">
      <c r="A74" s="8"/>
      <c r="B74" s="16">
        <v>72</v>
      </c>
      <c r="C74" s="17">
        <v>5442</v>
      </c>
      <c r="D74" s="27"/>
      <c r="I74" s="25">
        <v>11</v>
      </c>
      <c r="J74" s="243" t="s">
        <v>36</v>
      </c>
      <c r="K74" s="243"/>
      <c r="L74" s="243"/>
      <c r="M74" s="130">
        <f>SQRT(M66)</f>
        <v>0</v>
      </c>
    </row>
    <row r="75" spans="1:13" x14ac:dyDescent="0.25">
      <c r="A75" s="8"/>
      <c r="B75" s="16">
        <v>73</v>
      </c>
      <c r="C75" s="17">
        <v>5444</v>
      </c>
      <c r="D75" s="27"/>
      <c r="I75" s="25">
        <v>12</v>
      </c>
      <c r="J75" s="243" t="s">
        <v>37</v>
      </c>
      <c r="K75" s="243"/>
      <c r="L75" s="243"/>
      <c r="M75" s="132">
        <f>(M74/M17)*(100%)</f>
        <v>0</v>
      </c>
    </row>
    <row r="76" spans="1:13" x14ac:dyDescent="0.25">
      <c r="A76" s="8"/>
      <c r="B76" s="16">
        <v>74</v>
      </c>
      <c r="C76" s="20">
        <v>5445</v>
      </c>
      <c r="D76" s="27"/>
      <c r="I76" s="29">
        <v>13</v>
      </c>
      <c r="J76" s="244" t="s">
        <v>38</v>
      </c>
      <c r="K76" s="245"/>
      <c r="L76" s="246"/>
      <c r="M76" s="120">
        <f>M77/M18</f>
        <v>0</v>
      </c>
    </row>
    <row r="77" spans="1:13" x14ac:dyDescent="0.25">
      <c r="A77" s="8"/>
      <c r="B77" s="16">
        <v>75</v>
      </c>
      <c r="C77" s="17">
        <v>5445</v>
      </c>
      <c r="D77" s="27"/>
      <c r="I77" s="134"/>
      <c r="J77" s="217" t="s">
        <v>39</v>
      </c>
      <c r="K77" s="218"/>
      <c r="L77" s="219"/>
      <c r="M77" s="133">
        <f>S15</f>
        <v>0</v>
      </c>
    </row>
    <row r="78" spans="1:13" x14ac:dyDescent="0.25">
      <c r="A78" s="8"/>
      <c r="B78" s="16">
        <v>76</v>
      </c>
      <c r="C78" s="17">
        <v>5446</v>
      </c>
      <c r="D78" s="27"/>
      <c r="I78" s="134"/>
      <c r="J78" s="217" t="s">
        <v>39</v>
      </c>
      <c r="K78" s="218"/>
      <c r="L78" s="219"/>
      <c r="M78" s="133">
        <f>S16</f>
        <v>0</v>
      </c>
    </row>
    <row r="79" spans="1:13" x14ac:dyDescent="0.25">
      <c r="A79" s="8"/>
      <c r="B79" s="16">
        <v>77</v>
      </c>
      <c r="C79" s="20">
        <v>5447</v>
      </c>
      <c r="D79" s="27"/>
    </row>
    <row r="80" spans="1:13" x14ac:dyDescent="0.25">
      <c r="A80" s="8"/>
      <c r="B80" s="16">
        <v>78</v>
      </c>
      <c r="C80" s="17">
        <v>5448</v>
      </c>
      <c r="D80" s="27"/>
    </row>
    <row r="81" spans="1:4" x14ac:dyDescent="0.25">
      <c r="A81" s="8"/>
      <c r="B81" s="16">
        <v>79</v>
      </c>
      <c r="C81" s="17">
        <v>5452</v>
      </c>
      <c r="D81" s="27"/>
    </row>
    <row r="82" spans="1:4" x14ac:dyDescent="0.25">
      <c r="A82" s="8"/>
      <c r="B82" s="16">
        <v>80</v>
      </c>
      <c r="C82" s="88">
        <v>5453</v>
      </c>
      <c r="D82" s="27"/>
    </row>
    <row r="83" spans="1:4" x14ac:dyDescent="0.25">
      <c r="A83" s="6"/>
      <c r="B83" s="89">
        <v>81</v>
      </c>
      <c r="C83" s="80">
        <v>5453</v>
      </c>
    </row>
    <row r="84" spans="1:4" x14ac:dyDescent="0.25">
      <c r="A84" s="6"/>
      <c r="B84" s="89">
        <v>82</v>
      </c>
      <c r="C84" s="80">
        <v>5454</v>
      </c>
    </row>
    <row r="85" spans="1:4" x14ac:dyDescent="0.25">
      <c r="A85" s="6"/>
      <c r="B85" s="89">
        <v>83</v>
      </c>
      <c r="C85" s="80">
        <v>5454</v>
      </c>
    </row>
    <row r="86" spans="1:4" x14ac:dyDescent="0.25">
      <c r="A86" s="6"/>
      <c r="B86" s="89">
        <v>84</v>
      </c>
      <c r="C86" s="90">
        <v>5457</v>
      </c>
    </row>
    <row r="87" spans="1:4" x14ac:dyDescent="0.25">
      <c r="A87" s="6"/>
      <c r="B87" s="89">
        <v>85</v>
      </c>
      <c r="C87" s="80">
        <v>5458</v>
      </c>
    </row>
    <row r="88" spans="1:4" x14ac:dyDescent="0.25">
      <c r="A88" s="6"/>
      <c r="B88" s="89">
        <v>86</v>
      </c>
      <c r="C88" s="80">
        <v>5459</v>
      </c>
    </row>
    <row r="89" spans="1:4" x14ac:dyDescent="0.25">
      <c r="A89" s="6"/>
      <c r="B89" s="89">
        <v>87</v>
      </c>
      <c r="C89" s="80">
        <v>5459</v>
      </c>
    </row>
    <row r="90" spans="1:4" x14ac:dyDescent="0.25">
      <c r="A90" s="6"/>
      <c r="B90" s="89">
        <v>88</v>
      </c>
      <c r="C90" s="80">
        <v>5462</v>
      </c>
    </row>
    <row r="91" spans="1:4" x14ac:dyDescent="0.25">
      <c r="A91" s="6"/>
      <c r="B91" s="89">
        <v>89</v>
      </c>
      <c r="C91" s="80">
        <v>5463</v>
      </c>
    </row>
    <row r="92" spans="1:4" x14ac:dyDescent="0.25">
      <c r="A92" s="6"/>
      <c r="B92" s="89">
        <v>90</v>
      </c>
      <c r="C92" s="80">
        <v>5465</v>
      </c>
    </row>
    <row r="93" spans="1:4" x14ac:dyDescent="0.25">
      <c r="A93" s="6"/>
      <c r="B93" s="89">
        <v>91</v>
      </c>
      <c r="C93" s="80">
        <v>5466</v>
      </c>
    </row>
    <row r="94" spans="1:4" x14ac:dyDescent="0.25">
      <c r="A94" s="6"/>
      <c r="B94" s="89">
        <v>92</v>
      </c>
      <c r="C94" s="80">
        <v>5469</v>
      </c>
    </row>
    <row r="95" spans="1:4" x14ac:dyDescent="0.25">
      <c r="A95" s="6"/>
      <c r="B95" s="89">
        <v>93</v>
      </c>
      <c r="C95" s="90">
        <v>5473</v>
      </c>
    </row>
    <row r="96" spans="1:4" x14ac:dyDescent="0.25">
      <c r="A96" s="6"/>
      <c r="B96" s="89">
        <v>94</v>
      </c>
      <c r="C96" s="90">
        <v>5475</v>
      </c>
    </row>
    <row r="97" spans="1:3" x14ac:dyDescent="0.25">
      <c r="A97" s="6"/>
      <c r="B97" s="89">
        <v>95</v>
      </c>
      <c r="C97" s="80">
        <v>5477</v>
      </c>
    </row>
    <row r="98" spans="1:3" x14ac:dyDescent="0.25">
      <c r="A98" s="6"/>
      <c r="B98" s="89">
        <v>96</v>
      </c>
      <c r="C98" s="80">
        <v>5481</v>
      </c>
    </row>
    <row r="99" spans="1:3" x14ac:dyDescent="0.25">
      <c r="A99" s="6"/>
      <c r="B99" s="89">
        <v>97</v>
      </c>
      <c r="C99" s="80">
        <v>5481</v>
      </c>
    </row>
    <row r="100" spans="1:3" x14ac:dyDescent="0.25">
      <c r="A100" s="6"/>
      <c r="B100" s="89">
        <v>98</v>
      </c>
      <c r="C100" s="80">
        <v>5482</v>
      </c>
    </row>
    <row r="101" spans="1:3" x14ac:dyDescent="0.25">
      <c r="A101" s="6"/>
      <c r="B101" s="89">
        <v>99</v>
      </c>
      <c r="C101" s="80">
        <v>5485</v>
      </c>
    </row>
    <row r="102" spans="1:3" x14ac:dyDescent="0.25">
      <c r="A102" s="6"/>
      <c r="B102" s="89">
        <v>100</v>
      </c>
      <c r="C102" s="80">
        <v>5487</v>
      </c>
    </row>
    <row r="103" spans="1:3" x14ac:dyDescent="0.25">
      <c r="B103" s="31"/>
      <c r="C103" s="50"/>
    </row>
  </sheetData>
  <autoFilter ref="C2:C82" xr:uid="{9C712CA6-FC94-4F4E-90EE-FECB0D61A709}">
    <sortState xmlns:xlrd2="http://schemas.microsoft.com/office/spreadsheetml/2017/richdata2" ref="C3:C102">
      <sortCondition ref="C2:C82"/>
    </sortState>
  </autoFilter>
  <mergeCells count="45">
    <mergeCell ref="B1:C1"/>
    <mergeCell ref="J21:L21"/>
    <mergeCell ref="J22:L22"/>
    <mergeCell ref="J23:L23"/>
    <mergeCell ref="J26:L26"/>
    <mergeCell ref="I2:J2"/>
    <mergeCell ref="J18:L18"/>
    <mergeCell ref="J17:L17"/>
    <mergeCell ref="J19:L19"/>
    <mergeCell ref="J20:L20"/>
    <mergeCell ref="J51:L51"/>
    <mergeCell ref="J36:L36"/>
    <mergeCell ref="J24:L24"/>
    <mergeCell ref="J42:L42"/>
    <mergeCell ref="J43:L43"/>
    <mergeCell ref="J32:L32"/>
    <mergeCell ref="J33:L33"/>
    <mergeCell ref="J34:L34"/>
    <mergeCell ref="J35:L35"/>
    <mergeCell ref="J65:L65"/>
    <mergeCell ref="J66:L66"/>
    <mergeCell ref="J72:L72"/>
    <mergeCell ref="J73:L73"/>
    <mergeCell ref="J71:L71"/>
    <mergeCell ref="I1:S1"/>
    <mergeCell ref="J25:M25"/>
    <mergeCell ref="J31:L31"/>
    <mergeCell ref="J41:L41"/>
    <mergeCell ref="J64:L64"/>
    <mergeCell ref="J54:L54"/>
    <mergeCell ref="J60:L60"/>
    <mergeCell ref="J61:L61"/>
    <mergeCell ref="J62:L62"/>
    <mergeCell ref="J63:L63"/>
    <mergeCell ref="J59:L59"/>
    <mergeCell ref="J44:L44"/>
    <mergeCell ref="J45:L45"/>
    <mergeCell ref="J46:L46"/>
    <mergeCell ref="J52:L52"/>
    <mergeCell ref="J53:L53"/>
    <mergeCell ref="J74:L74"/>
    <mergeCell ref="J75:L75"/>
    <mergeCell ref="J76:L76"/>
    <mergeCell ref="J77:L77"/>
    <mergeCell ref="J78:L7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4E508-4DB3-4CD6-AB3B-BCD6DE66554D}">
  <dimension ref="A1:AD103"/>
  <sheetViews>
    <sheetView zoomScaleNormal="100" workbookViewId="0">
      <selection activeCell="T21" sqref="T21"/>
    </sheetView>
  </sheetViews>
  <sheetFormatPr defaultRowHeight="15" x14ac:dyDescent="0.25"/>
  <cols>
    <col min="1" max="2" width="11" style="48" customWidth="1"/>
    <col min="3" max="3" width="10.85546875" style="48" customWidth="1"/>
    <col min="4" max="4" width="14.28515625" style="1" customWidth="1"/>
    <col min="5" max="5" width="13.85546875" style="1" customWidth="1"/>
    <col min="6" max="6" width="10.7109375" style="1" customWidth="1"/>
    <col min="7" max="7" width="8.28515625" style="1" customWidth="1"/>
    <col min="8" max="10" width="10.140625" style="1" customWidth="1"/>
    <col min="11" max="11" width="5" style="1" customWidth="1"/>
    <col min="12" max="12" width="14.7109375" style="48" customWidth="1"/>
    <col min="13" max="13" width="15.140625" style="48" customWidth="1"/>
    <col min="14" max="14" width="4.140625" style="1" customWidth="1"/>
    <col min="15" max="15" width="6.5703125" style="36" bestFit="1" customWidth="1"/>
    <col min="16" max="16" width="12.42578125" style="48" customWidth="1"/>
    <col min="17" max="17" width="10.7109375" style="52" customWidth="1"/>
    <col min="18" max="18" width="14.42578125" style="52" customWidth="1"/>
    <col min="19" max="19" width="15" style="1" customWidth="1"/>
    <col min="20" max="20" width="20.5703125" style="1" bestFit="1" customWidth="1"/>
    <col min="21" max="21" width="11.28515625" style="1" bestFit="1" customWidth="1"/>
    <col min="22" max="22" width="12" style="1" bestFit="1" customWidth="1"/>
    <col min="23" max="23" width="20.5703125" style="1" customWidth="1"/>
    <col min="24" max="24" width="7.28515625" style="1" customWidth="1"/>
    <col min="25" max="25" width="24.7109375" style="2" customWidth="1"/>
    <col min="26" max="16384" width="9.140625" style="1"/>
  </cols>
  <sheetData>
    <row r="1" spans="1:30" ht="28.5" customHeight="1" x14ac:dyDescent="0.25">
      <c r="A1" s="267" t="s">
        <v>0</v>
      </c>
      <c r="B1" s="268"/>
      <c r="C1" s="268"/>
      <c r="D1" s="268"/>
      <c r="E1" s="268"/>
      <c r="F1" s="268"/>
      <c r="G1" s="268"/>
      <c r="H1" s="268"/>
      <c r="I1" s="268"/>
      <c r="J1" s="269"/>
      <c r="L1" s="192" t="s">
        <v>1</v>
      </c>
      <c r="M1" s="193"/>
      <c r="O1" s="194" t="s">
        <v>2</v>
      </c>
      <c r="P1" s="195"/>
      <c r="Q1" s="195"/>
      <c r="R1" s="195"/>
      <c r="S1" s="196"/>
      <c r="T1" s="2"/>
      <c r="U1" s="3"/>
      <c r="Z1" s="2"/>
      <c r="AA1" s="2"/>
      <c r="AB1" s="3"/>
      <c r="AC1" s="3"/>
      <c r="AD1" s="3"/>
    </row>
    <row r="2" spans="1:30" ht="30" customHeight="1" x14ac:dyDescent="0.25">
      <c r="A2" s="266" t="s">
        <v>118</v>
      </c>
      <c r="B2" s="266"/>
      <c r="C2" s="266"/>
      <c r="D2" s="266"/>
      <c r="E2" s="266"/>
      <c r="F2" s="266"/>
      <c r="G2" s="266"/>
      <c r="H2" s="266"/>
      <c r="I2" s="266"/>
      <c r="J2" s="266"/>
      <c r="K2" s="6"/>
      <c r="L2" s="7" t="s">
        <v>4</v>
      </c>
      <c r="M2" s="7" t="s">
        <v>5</v>
      </c>
      <c r="N2" s="8"/>
      <c r="O2" s="9" t="s">
        <v>6</v>
      </c>
      <c r="P2" s="10" t="s">
        <v>4</v>
      </c>
      <c r="Q2" s="11" t="s">
        <v>7</v>
      </c>
      <c r="R2" s="11" t="s">
        <v>8</v>
      </c>
      <c r="S2" s="12" t="s">
        <v>9</v>
      </c>
      <c r="T2" s="13"/>
      <c r="U2" s="3"/>
      <c r="V2" s="3"/>
      <c r="W2" s="3"/>
    </row>
    <row r="3" spans="1:30" x14ac:dyDescent="0.25">
      <c r="A3">
        <v>5408</v>
      </c>
      <c r="B3">
        <v>5431</v>
      </c>
      <c r="C3">
        <v>5475</v>
      </c>
      <c r="D3">
        <v>5442</v>
      </c>
      <c r="E3">
        <v>5376</v>
      </c>
      <c r="F3">
        <v>5388</v>
      </c>
      <c r="G3">
        <v>5459</v>
      </c>
      <c r="H3">
        <v>5422</v>
      </c>
      <c r="I3">
        <v>5416</v>
      </c>
      <c r="J3">
        <v>5435</v>
      </c>
      <c r="K3" s="15"/>
      <c r="L3" s="14" cm="1">
        <f t="array" ref="L3">INDEX($A$3:$J$12,INT((ROW(L3)-ROW(L$3))/COLUMNS($A$3:$J$12))+1,MOD(ROW(L3)-ROW(L$3),COLUMNS($A$3:$J$12))+1)</f>
        <v>5408</v>
      </c>
      <c r="M3" s="14">
        <f>COUNTIF($L$3:$L$102, L3)</f>
        <v>2</v>
      </c>
      <c r="N3" s="8"/>
      <c r="O3" s="16">
        <v>1</v>
      </c>
      <c r="P3" s="17">
        <v>5408</v>
      </c>
      <c r="Q3" s="18">
        <f>P3-$E$14</f>
        <v>-13.770000000001346</v>
      </c>
      <c r="R3" s="18">
        <f>Q3^2</f>
        <v>189.61290000003706</v>
      </c>
      <c r="S3" s="18">
        <f>ABS(Q3)</f>
        <v>13.770000000001346</v>
      </c>
      <c r="T3" s="13"/>
      <c r="U3" s="3"/>
      <c r="V3" s="3"/>
      <c r="W3" s="3"/>
    </row>
    <row r="4" spans="1:30" x14ac:dyDescent="0.25">
      <c r="A4">
        <v>5420</v>
      </c>
      <c r="B4">
        <v>5429</v>
      </c>
      <c r="C4">
        <v>5401</v>
      </c>
      <c r="D4">
        <v>5446</v>
      </c>
      <c r="E4">
        <v>5487</v>
      </c>
      <c r="F4">
        <v>5416</v>
      </c>
      <c r="G4">
        <v>5382</v>
      </c>
      <c r="H4">
        <v>5357</v>
      </c>
      <c r="I4">
        <v>5388</v>
      </c>
      <c r="J4">
        <v>5457</v>
      </c>
      <c r="K4" s="15"/>
      <c r="L4" s="14" cm="1">
        <f t="array" ref="L4">INDEX($A$3:$J$12,INT((ROW(L4)-ROW(L$3))/COLUMNS($A$3:$J$12))+1,MOD(ROW(L4)-ROW(L$3),COLUMNS($A$3:$J$12))+1)</f>
        <v>5431</v>
      </c>
      <c r="M4" s="14">
        <f t="shared" ref="M4:M67" si="0">COUNTIF($L$3:$L$102, L4)</f>
        <v>4</v>
      </c>
      <c r="N4" s="8"/>
      <c r="O4" s="16">
        <v>2</v>
      </c>
      <c r="P4" s="17">
        <v>5431</v>
      </c>
      <c r="Q4" s="18">
        <f t="shared" ref="Q4:Q67" si="1">P4-$E$14</f>
        <v>9.2299999999986539</v>
      </c>
      <c r="R4" s="18">
        <f t="shared" ref="R4:R67" si="2">Q4^2</f>
        <v>85.192899999975154</v>
      </c>
      <c r="S4" s="18">
        <f t="shared" ref="S4:S7" si="3">ABS(Q4)</f>
        <v>9.2299999999986539</v>
      </c>
      <c r="T4" s="13"/>
      <c r="U4" s="3"/>
      <c r="V4" s="3"/>
      <c r="W4" s="3"/>
    </row>
    <row r="5" spans="1:30" x14ac:dyDescent="0.25">
      <c r="A5">
        <v>5407</v>
      </c>
      <c r="B5">
        <v>5469</v>
      </c>
      <c r="C5">
        <v>5416</v>
      </c>
      <c r="D5">
        <v>5377</v>
      </c>
      <c r="E5">
        <v>5454</v>
      </c>
      <c r="F5">
        <v>5375</v>
      </c>
      <c r="G5">
        <v>5409</v>
      </c>
      <c r="H5">
        <v>5459</v>
      </c>
      <c r="I5">
        <v>5445</v>
      </c>
      <c r="J5">
        <v>5429</v>
      </c>
      <c r="K5" s="15"/>
      <c r="L5" s="14" cm="1">
        <f t="array" ref="L5">INDEX($A$3:$J$12,INT((ROW(L5)-ROW(L$3))/COLUMNS($A$3:$J$12))+1,MOD(ROW(L5)-ROW(L$3),COLUMNS($A$3:$J$12))+1)</f>
        <v>5475</v>
      </c>
      <c r="M5" s="14">
        <f t="shared" si="0"/>
        <v>1</v>
      </c>
      <c r="N5" s="8"/>
      <c r="O5" s="16">
        <v>3</v>
      </c>
      <c r="P5" s="20">
        <v>5475</v>
      </c>
      <c r="Q5" s="18">
        <f t="shared" si="1"/>
        <v>53.229999999998654</v>
      </c>
      <c r="R5" s="18">
        <f t="shared" si="2"/>
        <v>2833.4328999998565</v>
      </c>
      <c r="S5" s="18">
        <f t="shared" si="3"/>
        <v>53.229999999998654</v>
      </c>
      <c r="T5" s="13"/>
      <c r="U5" s="3"/>
      <c r="V5" s="3"/>
      <c r="W5" s="3"/>
    </row>
    <row r="6" spans="1:30" x14ac:dyDescent="0.25">
      <c r="A6">
        <v>5463</v>
      </c>
      <c r="B6">
        <v>5408</v>
      </c>
      <c r="C6">
        <v>5481</v>
      </c>
      <c r="D6">
        <v>5453</v>
      </c>
      <c r="E6">
        <v>5422</v>
      </c>
      <c r="F6">
        <v>5354</v>
      </c>
      <c r="G6">
        <v>5421</v>
      </c>
      <c r="H6">
        <v>5406</v>
      </c>
      <c r="I6">
        <v>5444</v>
      </c>
      <c r="J6">
        <v>5466</v>
      </c>
      <c r="K6" s="15"/>
      <c r="L6" s="14" cm="1">
        <f t="array" ref="L6">INDEX($A$3:$J$12,INT((ROW(L6)-ROW(L$3))/COLUMNS($A$3:$J$12))+1,MOD(ROW(L6)-ROW(L$3),COLUMNS($A$3:$J$12))+1)</f>
        <v>5442</v>
      </c>
      <c r="M6" s="14">
        <f t="shared" si="0"/>
        <v>1</v>
      </c>
      <c r="N6" s="8"/>
      <c r="O6" s="16">
        <v>4</v>
      </c>
      <c r="P6" s="17">
        <v>5442</v>
      </c>
      <c r="Q6" s="18">
        <f t="shared" si="1"/>
        <v>20.229999999998654</v>
      </c>
      <c r="R6" s="18">
        <f t="shared" si="2"/>
        <v>409.25289999994556</v>
      </c>
      <c r="S6" s="18">
        <f t="shared" si="3"/>
        <v>20.229999999998654</v>
      </c>
      <c r="T6" s="13"/>
      <c r="U6" s="3"/>
      <c r="V6" s="3"/>
      <c r="W6" s="3"/>
    </row>
    <row r="7" spans="1:30" x14ac:dyDescent="0.25">
      <c r="A7">
        <v>5399</v>
      </c>
      <c r="B7">
        <v>5391</v>
      </c>
      <c r="C7">
        <v>5477</v>
      </c>
      <c r="D7">
        <v>5447</v>
      </c>
      <c r="E7">
        <v>5329</v>
      </c>
      <c r="F7">
        <v>5473</v>
      </c>
      <c r="G7">
        <v>5423</v>
      </c>
      <c r="H7">
        <v>5441</v>
      </c>
      <c r="I7">
        <v>5412</v>
      </c>
      <c r="J7">
        <v>5384</v>
      </c>
      <c r="K7" s="15"/>
      <c r="L7" s="14" cm="1">
        <f t="array" ref="L7">INDEX($A$3:$J$12,INT((ROW(L7)-ROW(L$3))/COLUMNS($A$3:$J$12))+1,MOD(ROW(L7)-ROW(L$3),COLUMNS($A$3:$J$12))+1)</f>
        <v>5376</v>
      </c>
      <c r="M7" s="14">
        <f t="shared" si="0"/>
        <v>1</v>
      </c>
      <c r="N7" s="8"/>
      <c r="O7" s="16">
        <v>5</v>
      </c>
      <c r="P7" s="20">
        <v>5376</v>
      </c>
      <c r="Q7" s="18">
        <f t="shared" si="1"/>
        <v>-45.770000000001346</v>
      </c>
      <c r="R7" s="18">
        <f t="shared" si="2"/>
        <v>2094.8929000001231</v>
      </c>
      <c r="S7" s="18">
        <f t="shared" si="3"/>
        <v>45.770000000001346</v>
      </c>
      <c r="T7" s="13"/>
    </row>
    <row r="8" spans="1:30" x14ac:dyDescent="0.25">
      <c r="A8">
        <v>5445</v>
      </c>
      <c r="B8">
        <v>5436</v>
      </c>
      <c r="C8">
        <v>5454</v>
      </c>
      <c r="D8">
        <v>5453</v>
      </c>
      <c r="E8">
        <v>5428</v>
      </c>
      <c r="F8">
        <v>5418</v>
      </c>
      <c r="G8">
        <v>5465</v>
      </c>
      <c r="H8">
        <v>5427</v>
      </c>
      <c r="I8">
        <v>5421</v>
      </c>
      <c r="J8">
        <v>5396</v>
      </c>
      <c r="K8" s="15"/>
      <c r="L8" s="14" cm="1">
        <f t="array" ref="L8">INDEX($A$3:$J$12,INT((ROW(L8)-ROW(L$3))/COLUMNS($A$3:$J$12))+1,MOD(ROW(L8)-ROW(L$3),COLUMNS($A$3:$J$12))+1)</f>
        <v>5388</v>
      </c>
      <c r="M8" s="14">
        <f t="shared" si="0"/>
        <v>4</v>
      </c>
      <c r="N8" s="8"/>
      <c r="O8" s="16">
        <v>6</v>
      </c>
      <c r="P8" s="17">
        <v>5388</v>
      </c>
      <c r="Q8" s="18">
        <f t="shared" si="1"/>
        <v>-33.770000000001346</v>
      </c>
      <c r="R8" s="18">
        <f t="shared" si="2"/>
        <v>1140.412900000091</v>
      </c>
      <c r="S8" s="18">
        <f t="shared" ref="S8:S71" si="4">ABS(Q8)</f>
        <v>33.770000000001346</v>
      </c>
      <c r="T8" s="13"/>
    </row>
    <row r="9" spans="1:30" x14ac:dyDescent="0.25">
      <c r="A9">
        <v>5381</v>
      </c>
      <c r="B9">
        <v>5425</v>
      </c>
      <c r="C9">
        <v>5388</v>
      </c>
      <c r="D9">
        <v>5388</v>
      </c>
      <c r="E9">
        <v>5378</v>
      </c>
      <c r="F9">
        <v>5481</v>
      </c>
      <c r="G9">
        <v>5387</v>
      </c>
      <c r="H9">
        <v>5440</v>
      </c>
      <c r="I9">
        <v>5482</v>
      </c>
      <c r="J9">
        <v>5406</v>
      </c>
      <c r="K9" s="15"/>
      <c r="L9" s="14" cm="1">
        <f t="array" ref="L9">INDEX($A$3:$J$12,INT((ROW(L9)-ROW(L$3))/COLUMNS($A$3:$J$12))+1,MOD(ROW(L9)-ROW(L$3),COLUMNS($A$3:$J$12))+1)</f>
        <v>5459</v>
      </c>
      <c r="M9" s="14">
        <f t="shared" si="0"/>
        <v>2</v>
      </c>
      <c r="N9" s="8"/>
      <c r="O9" s="16">
        <v>7</v>
      </c>
      <c r="P9" s="17">
        <v>5459</v>
      </c>
      <c r="Q9" s="18">
        <f t="shared" si="1"/>
        <v>37.229999999998654</v>
      </c>
      <c r="R9" s="18">
        <f t="shared" si="2"/>
        <v>1386.0728999998998</v>
      </c>
      <c r="S9" s="18">
        <f t="shared" si="4"/>
        <v>37.229999999998654</v>
      </c>
      <c r="T9" s="13"/>
      <c r="U9" s="2"/>
      <c r="V9" s="2"/>
      <c r="W9" s="2"/>
    </row>
    <row r="10" spans="1:30" x14ac:dyDescent="0.25">
      <c r="A10">
        <v>5401</v>
      </c>
      <c r="B10">
        <v>5411</v>
      </c>
      <c r="C10">
        <v>5399</v>
      </c>
      <c r="D10">
        <v>5431</v>
      </c>
      <c r="E10">
        <v>5440</v>
      </c>
      <c r="F10">
        <v>5413</v>
      </c>
      <c r="G10">
        <v>5406</v>
      </c>
      <c r="H10">
        <v>5342</v>
      </c>
      <c r="I10">
        <v>5452</v>
      </c>
      <c r="J10">
        <v>5420</v>
      </c>
      <c r="K10" s="15"/>
      <c r="L10" s="14" cm="1">
        <f t="array" ref="L10">INDEX($A$3:$J$12,INT((ROW(L10)-ROW(L$3))/COLUMNS($A$3:$J$12))+1,MOD(ROW(L10)-ROW(L$3),COLUMNS($A$3:$J$12))+1)</f>
        <v>5422</v>
      </c>
      <c r="M10" s="14">
        <f t="shared" si="0"/>
        <v>3</v>
      </c>
      <c r="N10" s="8"/>
      <c r="O10" s="16">
        <v>8</v>
      </c>
      <c r="P10" s="17">
        <v>5422</v>
      </c>
      <c r="Q10" s="18">
        <f t="shared" si="1"/>
        <v>0.22999999999865395</v>
      </c>
      <c r="R10" s="18">
        <f t="shared" si="2"/>
        <v>5.2899999999380817E-2</v>
      </c>
      <c r="S10" s="18">
        <f t="shared" si="4"/>
        <v>0.22999999999865395</v>
      </c>
      <c r="T10" s="13"/>
      <c r="U10" s="2"/>
      <c r="V10" s="2"/>
      <c r="W10" s="2"/>
    </row>
    <row r="11" spans="1:30" x14ac:dyDescent="0.25">
      <c r="A11">
        <v>5458</v>
      </c>
      <c r="B11">
        <v>5485</v>
      </c>
      <c r="C11">
        <v>5431</v>
      </c>
      <c r="D11">
        <v>5416</v>
      </c>
      <c r="E11">
        <v>5431</v>
      </c>
      <c r="F11">
        <v>5390</v>
      </c>
      <c r="G11">
        <v>5399</v>
      </c>
      <c r="H11">
        <v>5435</v>
      </c>
      <c r="I11">
        <v>5387</v>
      </c>
      <c r="J11">
        <v>5462</v>
      </c>
      <c r="K11" s="15"/>
      <c r="L11" s="14" cm="1">
        <f t="array" ref="L11">INDEX($A$3:$J$12,INT((ROW(L11)-ROW(L$3))/COLUMNS($A$3:$J$12))+1,MOD(ROW(L11)-ROW(L$3),COLUMNS($A$3:$J$12))+1)</f>
        <v>5416</v>
      </c>
      <c r="M11" s="14">
        <f t="shared" si="0"/>
        <v>4</v>
      </c>
      <c r="N11" s="8"/>
      <c r="O11" s="16">
        <v>9</v>
      </c>
      <c r="P11" s="20">
        <v>5416</v>
      </c>
      <c r="Q11" s="18">
        <f t="shared" si="1"/>
        <v>-5.7700000000013461</v>
      </c>
      <c r="R11" s="18">
        <f t="shared" si="2"/>
        <v>33.292900000015536</v>
      </c>
      <c r="S11" s="18">
        <f t="shared" si="4"/>
        <v>5.7700000000013461</v>
      </c>
      <c r="T11" s="13"/>
      <c r="U11" s="2"/>
      <c r="V11" s="2"/>
      <c r="W11" s="2"/>
    </row>
    <row r="12" spans="1:30" x14ac:dyDescent="0.25">
      <c r="A12">
        <v>5383</v>
      </c>
      <c r="B12">
        <v>5401</v>
      </c>
      <c r="C12">
        <v>5407</v>
      </c>
      <c r="D12">
        <v>5385</v>
      </c>
      <c r="E12">
        <v>5440</v>
      </c>
      <c r="F12">
        <v>5422</v>
      </c>
      <c r="G12">
        <v>5448</v>
      </c>
      <c r="H12">
        <v>5366</v>
      </c>
      <c r="I12">
        <v>5430</v>
      </c>
      <c r="J12">
        <v>5418</v>
      </c>
      <c r="K12" s="15"/>
      <c r="L12" s="14" cm="1">
        <f t="array" ref="L12">INDEX($A$3:$J$12,INT((ROW(L12)-ROW(L$3))/COLUMNS($A$3:$J$12))+1,MOD(ROW(L12)-ROW(L$3),COLUMNS($A$3:$J$12))+1)</f>
        <v>5435</v>
      </c>
      <c r="M12" s="14">
        <f t="shared" si="0"/>
        <v>2</v>
      </c>
      <c r="N12" s="8"/>
      <c r="O12" s="16">
        <v>10</v>
      </c>
      <c r="P12" s="20">
        <v>5435</v>
      </c>
      <c r="Q12" s="18">
        <f t="shared" si="1"/>
        <v>13.229999999998654</v>
      </c>
      <c r="R12" s="18">
        <f t="shared" si="2"/>
        <v>175.03289999996437</v>
      </c>
      <c r="S12" s="18">
        <f t="shared" si="4"/>
        <v>13.229999999998654</v>
      </c>
      <c r="T12" s="13"/>
      <c r="U12" s="2"/>
      <c r="V12" s="2"/>
      <c r="W12" s="2"/>
    </row>
    <row r="13" spans="1:30" x14ac:dyDescent="0.25">
      <c r="A13" s="21"/>
      <c r="B13" s="22"/>
      <c r="C13" s="22"/>
      <c r="D13" s="23"/>
      <c r="E13" s="23"/>
      <c r="F13" s="24"/>
      <c r="G13" s="24"/>
      <c r="H13" s="24"/>
      <c r="I13" s="79"/>
      <c r="J13" s="79"/>
      <c r="K13" s="6"/>
      <c r="L13" s="14" cm="1">
        <f t="array" ref="L13">INDEX($A$3:$J$12,INT((ROW(L13)-ROW(L$3))/COLUMNS($A$3:$J$12))+1,MOD(ROW(L13)-ROW(L$3),COLUMNS($A$3:$J$12))+1)</f>
        <v>5420</v>
      </c>
      <c r="M13" s="14">
        <f t="shared" si="0"/>
        <v>2</v>
      </c>
      <c r="N13" s="8"/>
      <c r="O13" s="16">
        <v>11</v>
      </c>
      <c r="P13" s="17">
        <v>5420</v>
      </c>
      <c r="Q13" s="18">
        <f t="shared" si="1"/>
        <v>-1.7700000000013461</v>
      </c>
      <c r="R13" s="18">
        <f t="shared" si="2"/>
        <v>3.1329000000047649</v>
      </c>
      <c r="S13" s="18">
        <f t="shared" si="4"/>
        <v>1.7700000000013461</v>
      </c>
      <c r="T13" s="13"/>
      <c r="U13" s="2"/>
      <c r="V13" s="2"/>
      <c r="W13" s="2"/>
    </row>
    <row r="14" spans="1:30" x14ac:dyDescent="0.25">
      <c r="A14" s="25">
        <v>1</v>
      </c>
      <c r="B14" s="184" t="s">
        <v>10</v>
      </c>
      <c r="C14" s="184"/>
      <c r="D14" s="184"/>
      <c r="E14" s="26" cm="1">
        <f t="array" ref="E14">SUM($A$3:$J$12/E15)</f>
        <v>5421.7700000000013</v>
      </c>
      <c r="F14" s="27"/>
      <c r="I14" s="6"/>
      <c r="J14" s="6"/>
      <c r="K14" s="6"/>
      <c r="L14" s="14" cm="1">
        <f t="array" ref="L14">INDEX($A$3:$J$12,INT((ROW(L14)-ROW(L$3))/COLUMNS($A$3:$J$12))+1,MOD(ROW(L14)-ROW(L$3),COLUMNS($A$3:$J$12))+1)</f>
        <v>5429</v>
      </c>
      <c r="M14" s="14">
        <f t="shared" si="0"/>
        <v>2</v>
      </c>
      <c r="N14" s="8"/>
      <c r="O14" s="16">
        <v>12</v>
      </c>
      <c r="P14" s="17">
        <v>5429</v>
      </c>
      <c r="Q14" s="18">
        <f t="shared" si="1"/>
        <v>7.2299999999986539</v>
      </c>
      <c r="R14" s="18">
        <f t="shared" si="2"/>
        <v>52.272899999980538</v>
      </c>
      <c r="S14" s="18">
        <f t="shared" si="4"/>
        <v>7.2299999999986539</v>
      </c>
      <c r="T14" s="13"/>
      <c r="U14" s="2"/>
      <c r="V14" s="2"/>
      <c r="W14" s="2"/>
      <c r="Y14" s="28"/>
    </row>
    <row r="15" spans="1:30" x14ac:dyDescent="0.25">
      <c r="A15" s="29"/>
      <c r="B15" s="198" t="s">
        <v>11</v>
      </c>
      <c r="C15" s="199"/>
      <c r="D15" s="200"/>
      <c r="E15" s="30">
        <f>COUNT($A$3:$J$12)</f>
        <v>100</v>
      </c>
      <c r="I15" s="6"/>
      <c r="J15" s="6"/>
      <c r="K15" s="6"/>
      <c r="L15" s="14" cm="1">
        <f t="array" ref="L15">INDEX($A$3:$J$12,INT((ROW(L15)-ROW(L$3))/COLUMNS($A$3:$J$12))+1,MOD(ROW(L15)-ROW(L$3),COLUMNS($A$3:$J$12))+1)</f>
        <v>5401</v>
      </c>
      <c r="M15" s="14">
        <f t="shared" si="0"/>
        <v>3</v>
      </c>
      <c r="N15" s="8"/>
      <c r="O15" s="16">
        <v>13</v>
      </c>
      <c r="P15" s="17">
        <v>5401</v>
      </c>
      <c r="Q15" s="18">
        <f t="shared" si="1"/>
        <v>-20.770000000001346</v>
      </c>
      <c r="R15" s="18">
        <f t="shared" si="2"/>
        <v>431.39290000005593</v>
      </c>
      <c r="S15" s="18">
        <f t="shared" si="4"/>
        <v>20.770000000001346</v>
      </c>
      <c r="T15" s="13"/>
      <c r="U15" s="2"/>
      <c r="V15" s="2"/>
      <c r="W15" s="2"/>
    </row>
    <row r="16" spans="1:30" x14ac:dyDescent="0.25">
      <c r="A16" s="25">
        <v>2</v>
      </c>
      <c r="B16" s="184" t="s">
        <v>12</v>
      </c>
      <c r="C16" s="184"/>
      <c r="D16" s="184"/>
      <c r="E16" s="26">
        <f>(E18+E19)/2</f>
        <v>5421.5</v>
      </c>
      <c r="F16" s="27"/>
      <c r="I16" s="6"/>
      <c r="J16" s="6"/>
      <c r="K16" s="6"/>
      <c r="L16" s="14" cm="1">
        <f t="array" ref="L16">INDEX($A$3:$J$12,INT((ROW(L16)-ROW(L$3))/COLUMNS($A$3:$J$12))+1,MOD(ROW(L16)-ROW(L$3),COLUMNS($A$3:$J$12))+1)</f>
        <v>5446</v>
      </c>
      <c r="M16" s="14">
        <f t="shared" si="0"/>
        <v>1</v>
      </c>
      <c r="N16" s="8"/>
      <c r="O16" s="16">
        <v>14</v>
      </c>
      <c r="P16" s="17">
        <v>5446</v>
      </c>
      <c r="Q16" s="18">
        <f t="shared" si="1"/>
        <v>24.229999999998654</v>
      </c>
      <c r="R16" s="18">
        <f t="shared" si="2"/>
        <v>587.09289999993473</v>
      </c>
      <c r="S16" s="18">
        <f t="shared" si="4"/>
        <v>24.229999999998654</v>
      </c>
      <c r="T16" s="13"/>
      <c r="U16" s="2"/>
      <c r="V16" s="2"/>
      <c r="W16" s="2"/>
    </row>
    <row r="17" spans="1:26" x14ac:dyDescent="0.25">
      <c r="A17" s="29"/>
      <c r="B17" s="178" t="s">
        <v>13</v>
      </c>
      <c r="C17" s="179"/>
      <c r="D17" s="180"/>
      <c r="E17" s="31">
        <f>COUNT(A3:J12)/2</f>
        <v>50</v>
      </c>
      <c r="I17" s="6"/>
      <c r="J17" s="6"/>
      <c r="K17" s="6"/>
      <c r="L17" s="14" cm="1">
        <f t="array" ref="L17">INDEX($A$3:$J$12,INT((ROW(L17)-ROW(L$3))/COLUMNS($A$3:$J$12))+1,MOD(ROW(L17)-ROW(L$3),COLUMNS($A$3:$J$12))+1)</f>
        <v>5487</v>
      </c>
      <c r="M17" s="14">
        <f t="shared" si="0"/>
        <v>1</v>
      </c>
      <c r="N17" s="8"/>
      <c r="O17" s="16">
        <v>15</v>
      </c>
      <c r="P17" s="17">
        <v>5487</v>
      </c>
      <c r="Q17" s="18">
        <f t="shared" si="1"/>
        <v>65.229999999998654</v>
      </c>
      <c r="R17" s="18">
        <f t="shared" si="2"/>
        <v>4254.9528999998247</v>
      </c>
      <c r="S17" s="18">
        <f t="shared" si="4"/>
        <v>65.229999999998654</v>
      </c>
      <c r="T17" s="13"/>
      <c r="U17" s="2"/>
      <c r="V17" s="2"/>
      <c r="W17" s="2"/>
    </row>
    <row r="18" spans="1:26" x14ac:dyDescent="0.25">
      <c r="A18" s="32"/>
      <c r="B18" s="33" t="s">
        <v>14</v>
      </c>
      <c r="C18" s="34"/>
      <c r="D18" s="35"/>
      <c r="E18" s="36">
        <f>SMALL($A$3:$J$12, E17)</f>
        <v>5421</v>
      </c>
      <c r="I18" s="6"/>
      <c r="J18" s="6"/>
      <c r="K18" s="6"/>
      <c r="L18" s="14" cm="1">
        <f t="array" ref="L18">INDEX($A$3:$J$12,INT((ROW(L18)-ROW(L$3))/COLUMNS($A$3:$J$12))+1,MOD(ROW(L18)-ROW(L$3),COLUMNS($A$3:$J$12))+1)</f>
        <v>5416</v>
      </c>
      <c r="M18" s="14">
        <f t="shared" si="0"/>
        <v>4</v>
      </c>
      <c r="N18" s="8"/>
      <c r="O18" s="16">
        <v>16</v>
      </c>
      <c r="P18" s="17">
        <v>5416</v>
      </c>
      <c r="Q18" s="18">
        <f t="shared" si="1"/>
        <v>-5.7700000000013461</v>
      </c>
      <c r="R18" s="18">
        <f t="shared" si="2"/>
        <v>33.292900000015536</v>
      </c>
      <c r="S18" s="18">
        <f t="shared" si="4"/>
        <v>5.7700000000013461</v>
      </c>
      <c r="T18" s="13"/>
      <c r="U18" s="2"/>
      <c r="V18" s="2"/>
      <c r="W18" s="2"/>
    </row>
    <row r="19" spans="1:26" x14ac:dyDescent="0.25">
      <c r="A19" s="32"/>
      <c r="B19" s="185" t="s">
        <v>15</v>
      </c>
      <c r="C19" s="186"/>
      <c r="D19" s="187"/>
      <c r="E19" s="37">
        <f>SMALL($A$3:$J$12, E17+1)</f>
        <v>5422</v>
      </c>
      <c r="I19" s="6"/>
      <c r="J19" s="6"/>
      <c r="K19" s="6"/>
      <c r="L19" s="14" cm="1">
        <f t="array" ref="L19">INDEX($A$3:$J$12,INT((ROW(L19)-ROW(L$3))/COLUMNS($A$3:$J$12))+1,MOD(ROW(L19)-ROW(L$3),COLUMNS($A$3:$J$12))+1)</f>
        <v>5382</v>
      </c>
      <c r="M19" s="14">
        <f t="shared" si="0"/>
        <v>1</v>
      </c>
      <c r="N19" s="8"/>
      <c r="O19" s="16">
        <v>17</v>
      </c>
      <c r="P19" s="17">
        <v>5382</v>
      </c>
      <c r="Q19" s="18">
        <f t="shared" si="1"/>
        <v>-39.770000000001346</v>
      </c>
      <c r="R19" s="18">
        <f t="shared" si="2"/>
        <v>1581.6529000001071</v>
      </c>
      <c r="S19" s="18">
        <f t="shared" si="4"/>
        <v>39.770000000001346</v>
      </c>
      <c r="T19" s="13"/>
      <c r="U19" s="2"/>
      <c r="V19" s="2"/>
      <c r="W19" s="2"/>
    </row>
    <row r="20" spans="1:26" x14ac:dyDescent="0.25">
      <c r="A20" s="38">
        <v>3</v>
      </c>
      <c r="B20" s="171" t="s">
        <v>16</v>
      </c>
      <c r="C20" s="171"/>
      <c r="D20" s="171"/>
      <c r="E20" s="26">
        <f>INDEX(L3:L102,MATCH(E21,M3:M102,0))</f>
        <v>5431</v>
      </c>
      <c r="F20" s="27"/>
      <c r="I20" s="6"/>
      <c r="J20" s="6"/>
      <c r="K20" s="6"/>
      <c r="L20" s="14" cm="1">
        <f t="array" ref="L20">INDEX($A$3:$J$12,INT((ROW(L20)-ROW(L$3))/COLUMNS($A$3:$J$12))+1,MOD(ROW(L20)-ROW(L$3),COLUMNS($A$3:$J$12))+1)</f>
        <v>5357</v>
      </c>
      <c r="M20" s="14">
        <f t="shared" si="0"/>
        <v>1</v>
      </c>
      <c r="N20" s="8"/>
      <c r="O20" s="16">
        <v>18</v>
      </c>
      <c r="P20" s="17">
        <v>5357</v>
      </c>
      <c r="Q20" s="18">
        <f t="shared" si="1"/>
        <v>-64.770000000001346</v>
      </c>
      <c r="R20" s="18">
        <f t="shared" si="2"/>
        <v>4195.1529000001747</v>
      </c>
      <c r="S20" s="18">
        <f t="shared" si="4"/>
        <v>64.770000000001346</v>
      </c>
      <c r="T20" s="13"/>
      <c r="U20" s="2"/>
      <c r="V20" s="2"/>
      <c r="W20" s="2"/>
    </row>
    <row r="21" spans="1:26" x14ac:dyDescent="0.25">
      <c r="A21" s="39"/>
      <c r="B21" s="188" t="s">
        <v>17</v>
      </c>
      <c r="C21" s="189"/>
      <c r="D21" s="190"/>
      <c r="E21" s="30">
        <f>MAX(M3:M102)</f>
        <v>4</v>
      </c>
      <c r="F21" s="27"/>
      <c r="I21" s="6"/>
      <c r="J21" s="6"/>
      <c r="K21" s="6"/>
      <c r="L21" s="14" cm="1">
        <f t="array" ref="L21">INDEX($A$3:$J$12,INT((ROW(L21)-ROW(L$3))/COLUMNS($A$3:$J$12))+1,MOD(ROW(L21)-ROW(L$3),COLUMNS($A$3:$J$12))+1)</f>
        <v>5388</v>
      </c>
      <c r="M21" s="14">
        <f t="shared" si="0"/>
        <v>4</v>
      </c>
      <c r="N21" s="8"/>
      <c r="O21" s="16">
        <v>19</v>
      </c>
      <c r="P21" s="17">
        <v>5388</v>
      </c>
      <c r="Q21" s="18">
        <f t="shared" si="1"/>
        <v>-33.770000000001346</v>
      </c>
      <c r="R21" s="18">
        <f t="shared" si="2"/>
        <v>1140.412900000091</v>
      </c>
      <c r="S21" s="18">
        <f t="shared" si="4"/>
        <v>33.770000000001346</v>
      </c>
      <c r="T21" s="13"/>
      <c r="U21" s="2"/>
      <c r="V21" s="2"/>
      <c r="W21" s="2"/>
    </row>
    <row r="22" spans="1:26" x14ac:dyDescent="0.25">
      <c r="A22" s="38">
        <v>4</v>
      </c>
      <c r="B22" s="171" t="s">
        <v>18</v>
      </c>
      <c r="C22" s="171"/>
      <c r="D22" s="171"/>
      <c r="E22" s="26">
        <f>E24</f>
        <v>5434.25</v>
      </c>
      <c r="F22" s="27"/>
      <c r="I22" s="6"/>
      <c r="J22" s="6"/>
      <c r="K22" s="6"/>
      <c r="L22" s="14" cm="1">
        <f t="array" ref="L22">INDEX($A$3:$J$12,INT((ROW(L22)-ROW(L$3))/COLUMNS($A$3:$J$12))+1,MOD(ROW(L22)-ROW(L$3),COLUMNS($A$3:$J$12))+1)</f>
        <v>5457</v>
      </c>
      <c r="M22" s="14">
        <f t="shared" si="0"/>
        <v>1</v>
      </c>
      <c r="N22" s="8"/>
      <c r="O22" s="16">
        <v>20</v>
      </c>
      <c r="P22" s="20">
        <v>5457</v>
      </c>
      <c r="Q22" s="18">
        <f t="shared" si="1"/>
        <v>35.229999999998654</v>
      </c>
      <c r="R22" s="18">
        <f t="shared" si="2"/>
        <v>1241.1528999999052</v>
      </c>
      <c r="S22" s="18">
        <f t="shared" si="4"/>
        <v>35.229999999998654</v>
      </c>
      <c r="T22" s="13"/>
      <c r="U22" s="2"/>
      <c r="V22" s="2"/>
      <c r="W22" s="2"/>
      <c r="Y22" s="40"/>
    </row>
    <row r="23" spans="1:26" x14ac:dyDescent="0.25">
      <c r="A23" s="39"/>
      <c r="B23" s="175" t="s">
        <v>19</v>
      </c>
      <c r="C23" s="176"/>
      <c r="D23" s="177"/>
      <c r="E23" s="31">
        <f>(E15+1)/4</f>
        <v>25.25</v>
      </c>
      <c r="F23" s="27"/>
      <c r="I23" s="6"/>
      <c r="J23" s="6"/>
      <c r="K23" s="6"/>
      <c r="L23" s="14" cm="1">
        <f t="array" ref="L23">INDEX($A$3:$J$12,INT((ROW(L23)-ROW(L$3))/COLUMNS($A$3:$J$12))+1,MOD(ROW(L23)-ROW(L$3),COLUMNS($A$3:$J$12))+1)</f>
        <v>5407</v>
      </c>
      <c r="M23" s="14">
        <f t="shared" si="0"/>
        <v>2</v>
      </c>
      <c r="N23" s="8"/>
      <c r="O23" s="16">
        <v>21</v>
      </c>
      <c r="P23" s="17">
        <v>5407</v>
      </c>
      <c r="Q23" s="18">
        <f t="shared" si="1"/>
        <v>-14.770000000001346</v>
      </c>
      <c r="R23" s="18">
        <f t="shared" si="2"/>
        <v>218.15290000003975</v>
      </c>
      <c r="S23" s="18">
        <f t="shared" si="4"/>
        <v>14.770000000001346</v>
      </c>
      <c r="T23" s="13"/>
      <c r="U23" s="2"/>
      <c r="V23" s="2"/>
      <c r="W23" s="2"/>
      <c r="Y23" s="40"/>
    </row>
    <row r="24" spans="1:26" x14ac:dyDescent="0.25">
      <c r="A24" s="39"/>
      <c r="B24" s="181" t="s">
        <v>20</v>
      </c>
      <c r="C24" s="182"/>
      <c r="D24" s="183"/>
      <c r="E24" s="37">
        <f>(P28-P27)*0.25+P27</f>
        <v>5434.25</v>
      </c>
      <c r="G24" s="1" t="s">
        <v>40</v>
      </c>
      <c r="I24" s="6"/>
      <c r="J24" s="6"/>
      <c r="K24" s="6"/>
      <c r="L24" s="14" cm="1">
        <f t="array" ref="L24">INDEX($A$3:$J$12,INT((ROW(L24)-ROW(L$3))/COLUMNS($A$3:$J$12))+1,MOD(ROW(L24)-ROW(L$3),COLUMNS($A$3:$J$12))+1)</f>
        <v>5469</v>
      </c>
      <c r="M24" s="14">
        <f t="shared" si="0"/>
        <v>1</v>
      </c>
      <c r="N24" s="8"/>
      <c r="O24" s="16">
        <v>22</v>
      </c>
      <c r="P24" s="17">
        <v>5469</v>
      </c>
      <c r="Q24" s="18">
        <f t="shared" si="1"/>
        <v>47.229999999998654</v>
      </c>
      <c r="R24" s="18">
        <f t="shared" si="2"/>
        <v>2230.6728999998727</v>
      </c>
      <c r="S24" s="18">
        <f t="shared" si="4"/>
        <v>47.229999999998654</v>
      </c>
      <c r="T24" s="13"/>
      <c r="U24" s="2"/>
      <c r="V24" s="2"/>
      <c r="W24" s="2"/>
      <c r="Y24" s="40"/>
      <c r="Z24" s="41"/>
    </row>
    <row r="25" spans="1:26" x14ac:dyDescent="0.25">
      <c r="A25" s="38">
        <v>5</v>
      </c>
      <c r="B25" s="171" t="s">
        <v>21</v>
      </c>
      <c r="C25" s="171"/>
      <c r="D25" s="171"/>
      <c r="E25" s="26">
        <f>E27</f>
        <v>5419.75</v>
      </c>
      <c r="F25" s="27"/>
      <c r="I25" s="6"/>
      <c r="J25" s="6"/>
      <c r="K25" s="6"/>
      <c r="L25" s="14" cm="1">
        <f t="array" ref="L25">INDEX($A$3:$J$12,INT((ROW(L25)-ROW(L$3))/COLUMNS($A$3:$J$12))+1,MOD(ROW(L25)-ROW(L$3),COLUMNS($A$3:$J$12))+1)</f>
        <v>5416</v>
      </c>
      <c r="M25" s="14">
        <f t="shared" si="0"/>
        <v>4</v>
      </c>
      <c r="N25" s="8"/>
      <c r="O25" s="16">
        <v>23</v>
      </c>
      <c r="P25" s="17">
        <v>5416</v>
      </c>
      <c r="Q25" s="18">
        <f t="shared" si="1"/>
        <v>-5.7700000000013461</v>
      </c>
      <c r="R25" s="18">
        <f t="shared" si="2"/>
        <v>33.292900000015536</v>
      </c>
      <c r="S25" s="18">
        <f t="shared" si="4"/>
        <v>5.7700000000013461</v>
      </c>
      <c r="T25" s="13"/>
      <c r="U25" s="2"/>
      <c r="V25" s="2"/>
      <c r="W25" s="2"/>
    </row>
    <row r="26" spans="1:26" x14ac:dyDescent="0.25">
      <c r="A26" s="39"/>
      <c r="B26" s="175" t="s">
        <v>22</v>
      </c>
      <c r="C26" s="176"/>
      <c r="D26" s="177"/>
      <c r="E26" s="31">
        <f>((E15+1)*3)/4</f>
        <v>75.75</v>
      </c>
      <c r="F26" s="27"/>
      <c r="I26" s="6"/>
      <c r="J26" s="6"/>
      <c r="K26" s="6"/>
      <c r="L26" s="14" cm="1">
        <f t="array" ref="L26">INDEX($A$3:$J$12,INT((ROW(L26)-ROW(L$3))/COLUMNS($A$3:$J$12))+1,MOD(ROW(L26)-ROW(L$3),COLUMNS($A$3:$J$12))+1)</f>
        <v>5377</v>
      </c>
      <c r="M26" s="14">
        <f t="shared" si="0"/>
        <v>1</v>
      </c>
      <c r="N26" s="8"/>
      <c r="O26" s="16">
        <v>24</v>
      </c>
      <c r="P26" s="17">
        <v>5377</v>
      </c>
      <c r="Q26" s="18">
        <f t="shared" si="1"/>
        <v>-44.770000000001346</v>
      </c>
      <c r="R26" s="18">
        <f t="shared" si="2"/>
        <v>2004.3529000001206</v>
      </c>
      <c r="S26" s="18">
        <f t="shared" si="4"/>
        <v>44.770000000001346</v>
      </c>
      <c r="T26" s="13"/>
      <c r="U26" s="2"/>
      <c r="V26" s="2"/>
      <c r="W26" s="2"/>
    </row>
    <row r="27" spans="1:26" x14ac:dyDescent="0.25">
      <c r="A27" s="39"/>
      <c r="B27" s="181" t="s">
        <v>23</v>
      </c>
      <c r="C27" s="182"/>
      <c r="D27" s="183"/>
      <c r="E27" s="37">
        <f>(P78-P77)*0.75+P77</f>
        <v>5419.75</v>
      </c>
      <c r="I27" s="6"/>
      <c r="J27" s="6"/>
      <c r="K27" s="6"/>
      <c r="L27" s="14" cm="1">
        <f t="array" ref="L27">INDEX($A$3:$J$12,INT((ROW(L27)-ROW(L$3))/COLUMNS($A$3:$J$12))+1,MOD(ROW(L27)-ROW(L$3),COLUMNS($A$3:$J$12))+1)</f>
        <v>5454</v>
      </c>
      <c r="M27" s="14">
        <f t="shared" si="0"/>
        <v>2</v>
      </c>
      <c r="N27" s="8"/>
      <c r="O27" s="16">
        <v>25</v>
      </c>
      <c r="P27" s="17">
        <v>5454</v>
      </c>
      <c r="Q27" s="18">
        <f t="shared" si="1"/>
        <v>32.229999999998654</v>
      </c>
      <c r="R27" s="18">
        <f t="shared" si="2"/>
        <v>1038.7728999999133</v>
      </c>
      <c r="S27" s="18">
        <f t="shared" si="4"/>
        <v>32.229999999998654</v>
      </c>
      <c r="T27" s="13"/>
      <c r="U27" s="2"/>
      <c r="V27" s="2"/>
      <c r="W27" s="2"/>
    </row>
    <row r="28" spans="1:26" x14ac:dyDescent="0.25">
      <c r="A28" s="25">
        <v>6</v>
      </c>
      <c r="B28" s="171" t="s">
        <v>24</v>
      </c>
      <c r="C28" s="171"/>
      <c r="D28" s="171"/>
      <c r="E28" s="26">
        <f>E30</f>
        <v>5433.5</v>
      </c>
      <c r="F28" s="27"/>
      <c r="I28" s="6"/>
      <c r="J28" s="6"/>
      <c r="K28" s="6"/>
      <c r="L28" s="14" cm="1">
        <f t="array" ref="L28">INDEX($A$3:$J$12,INT((ROW(L28)-ROW(L$3))/COLUMNS($A$3:$J$12))+1,MOD(ROW(L28)-ROW(L$3),COLUMNS($A$3:$J$12))+1)</f>
        <v>5375</v>
      </c>
      <c r="M28" s="14">
        <f t="shared" si="0"/>
        <v>1</v>
      </c>
      <c r="N28" s="8"/>
      <c r="O28" s="16">
        <v>26</v>
      </c>
      <c r="P28" s="17">
        <v>5375</v>
      </c>
      <c r="Q28" s="18">
        <f t="shared" si="1"/>
        <v>-46.770000000001346</v>
      </c>
      <c r="R28" s="18">
        <f t="shared" si="2"/>
        <v>2187.4329000001258</v>
      </c>
      <c r="S28" s="18">
        <f t="shared" si="4"/>
        <v>46.770000000001346</v>
      </c>
      <c r="T28" s="13"/>
      <c r="U28" s="2"/>
      <c r="V28" s="2"/>
      <c r="W28" s="2"/>
    </row>
    <row r="29" spans="1:26" x14ac:dyDescent="0.25">
      <c r="A29" s="29"/>
      <c r="B29" s="175" t="s">
        <v>25</v>
      </c>
      <c r="C29" s="176"/>
      <c r="D29" s="177"/>
      <c r="E29" s="31">
        <f>(10/100)*($E$15+1)</f>
        <v>10.100000000000001</v>
      </c>
      <c r="I29" s="6"/>
      <c r="J29" s="6"/>
      <c r="K29" s="6"/>
      <c r="L29" s="14" cm="1">
        <f t="array" ref="L29">INDEX($A$3:$J$12,INT((ROW(L29)-ROW(L$3))/COLUMNS($A$3:$J$12))+1,MOD(ROW(L29)-ROW(L$3),COLUMNS($A$3:$J$12))+1)</f>
        <v>5409</v>
      </c>
      <c r="M29" s="14">
        <f t="shared" si="0"/>
        <v>1</v>
      </c>
      <c r="N29" s="8"/>
      <c r="O29" s="16">
        <v>27</v>
      </c>
      <c r="P29" s="17">
        <v>5409</v>
      </c>
      <c r="Q29" s="18">
        <f t="shared" si="1"/>
        <v>-12.770000000001346</v>
      </c>
      <c r="R29" s="18">
        <f t="shared" si="2"/>
        <v>163.07290000003437</v>
      </c>
      <c r="S29" s="18">
        <f t="shared" si="4"/>
        <v>12.770000000001346</v>
      </c>
      <c r="T29" s="13"/>
      <c r="U29" s="2"/>
      <c r="V29" s="2"/>
      <c r="W29" s="2"/>
    </row>
    <row r="30" spans="1:26" x14ac:dyDescent="0.25">
      <c r="A30" s="29"/>
      <c r="B30" s="181" t="s">
        <v>26</v>
      </c>
      <c r="C30" s="182"/>
      <c r="D30" s="183"/>
      <c r="E30" s="37">
        <f>(P13-P12)*MOD(E29,1)+P12</f>
        <v>5433.5</v>
      </c>
      <c r="I30" s="6"/>
      <c r="J30" s="6"/>
      <c r="K30" s="6"/>
      <c r="L30" s="14" cm="1">
        <f t="array" ref="L30">INDEX($A$3:$J$12,INT((ROW(L30)-ROW(L$3))/COLUMNS($A$3:$J$12))+1,MOD(ROW(L30)-ROW(L$3),COLUMNS($A$3:$J$12))+1)</f>
        <v>5459</v>
      </c>
      <c r="M30" s="14">
        <f t="shared" si="0"/>
        <v>2</v>
      </c>
      <c r="N30" s="8"/>
      <c r="O30" s="16">
        <v>28</v>
      </c>
      <c r="P30" s="17">
        <v>5459</v>
      </c>
      <c r="Q30" s="18">
        <f t="shared" si="1"/>
        <v>37.229999999998654</v>
      </c>
      <c r="R30" s="18">
        <f t="shared" si="2"/>
        <v>1386.0728999998998</v>
      </c>
      <c r="S30" s="18">
        <f t="shared" si="4"/>
        <v>37.229999999998654</v>
      </c>
      <c r="T30" s="13"/>
      <c r="U30" s="3"/>
      <c r="V30" s="3"/>
      <c r="W30" s="3"/>
    </row>
    <row r="31" spans="1:26" x14ac:dyDescent="0.25">
      <c r="A31" s="29">
        <v>7</v>
      </c>
      <c r="B31" s="171" t="s">
        <v>27</v>
      </c>
      <c r="C31" s="171"/>
      <c r="D31" s="171"/>
      <c r="E31" s="26">
        <f>E33</f>
        <v>5390.9</v>
      </c>
      <c r="I31" s="6"/>
      <c r="J31" s="6"/>
      <c r="K31" s="6"/>
      <c r="L31" s="14" cm="1">
        <f t="array" ref="L31">INDEX($A$3:$J$12,INT((ROW(L31)-ROW(L$3))/COLUMNS($A$3:$J$12))+1,MOD(ROW(L31)-ROW(L$3),COLUMNS($A$3:$J$12))+1)</f>
        <v>5445</v>
      </c>
      <c r="M31" s="14">
        <f t="shared" si="0"/>
        <v>2</v>
      </c>
      <c r="N31" s="8"/>
      <c r="O31" s="16">
        <v>29</v>
      </c>
      <c r="P31" s="20">
        <v>5445</v>
      </c>
      <c r="Q31" s="18">
        <f t="shared" si="1"/>
        <v>23.229999999998654</v>
      </c>
      <c r="R31" s="18">
        <f t="shared" si="2"/>
        <v>539.63289999993742</v>
      </c>
      <c r="S31" s="18">
        <f t="shared" si="4"/>
        <v>23.229999999998654</v>
      </c>
      <c r="T31" s="27"/>
    </row>
    <row r="32" spans="1:26" x14ac:dyDescent="0.25">
      <c r="A32" s="29"/>
      <c r="B32" s="175" t="s">
        <v>28</v>
      </c>
      <c r="C32" s="176"/>
      <c r="D32" s="177"/>
      <c r="E32" s="31">
        <f>(90/100)*($E$15+1)</f>
        <v>90.9</v>
      </c>
      <c r="I32" s="6"/>
      <c r="J32" s="6"/>
      <c r="K32" s="6"/>
      <c r="L32" s="14" cm="1">
        <f t="array" ref="L32">INDEX($A$3:$J$12,INT((ROW(L32)-ROW(L$3))/COLUMNS($A$3:$J$12))+1,MOD(ROW(L32)-ROW(L$3),COLUMNS($A$3:$J$12))+1)</f>
        <v>5429</v>
      </c>
      <c r="M32" s="14">
        <f t="shared" si="0"/>
        <v>2</v>
      </c>
      <c r="N32" s="8"/>
      <c r="O32" s="16">
        <v>30</v>
      </c>
      <c r="P32" s="20">
        <v>5429</v>
      </c>
      <c r="Q32" s="18">
        <f t="shared" si="1"/>
        <v>7.2299999999986539</v>
      </c>
      <c r="R32" s="18">
        <f t="shared" si="2"/>
        <v>52.272899999980538</v>
      </c>
      <c r="S32" s="18">
        <f t="shared" si="4"/>
        <v>7.2299999999986539</v>
      </c>
      <c r="T32" s="27"/>
    </row>
    <row r="33" spans="1:20" x14ac:dyDescent="0.25">
      <c r="A33" s="29"/>
      <c r="B33" s="181" t="s">
        <v>29</v>
      </c>
      <c r="C33" s="182"/>
      <c r="D33" s="183"/>
      <c r="E33" s="37">
        <f>(P93-P92)*MOD(E32,1)+P92</f>
        <v>5390.9</v>
      </c>
      <c r="I33" s="6"/>
      <c r="J33" s="6"/>
      <c r="K33" s="6"/>
      <c r="L33" s="14" cm="1">
        <f t="array" ref="L33">INDEX($A$3:$J$12,INT((ROW(L33)-ROW(L$3))/COLUMNS($A$3:$J$12))+1,MOD(ROW(L33)-ROW(L$3),COLUMNS($A$3:$J$12))+1)</f>
        <v>5463</v>
      </c>
      <c r="M33" s="14">
        <f t="shared" si="0"/>
        <v>1</v>
      </c>
      <c r="N33" s="8"/>
      <c r="O33" s="16">
        <v>31</v>
      </c>
      <c r="P33" s="17">
        <v>5463</v>
      </c>
      <c r="Q33" s="18">
        <f t="shared" si="1"/>
        <v>41.229999999998654</v>
      </c>
      <c r="R33" s="18">
        <f t="shared" si="2"/>
        <v>1699.9128999998891</v>
      </c>
      <c r="S33" s="18">
        <f t="shared" si="4"/>
        <v>41.229999999998654</v>
      </c>
      <c r="T33" s="27"/>
    </row>
    <row r="34" spans="1:20" x14ac:dyDescent="0.25">
      <c r="A34" s="29">
        <v>8</v>
      </c>
      <c r="B34" s="171" t="s">
        <v>30</v>
      </c>
      <c r="C34" s="171"/>
      <c r="D34" s="171"/>
      <c r="E34" s="26">
        <f>E36-E35</f>
        <v>-14.5</v>
      </c>
      <c r="I34" s="6"/>
      <c r="J34" s="6"/>
      <c r="K34" s="6"/>
      <c r="L34" s="14" cm="1">
        <f t="array" ref="L34">INDEX($A$3:$J$12,INT((ROW(L34)-ROW(L$3))/COLUMNS($A$3:$J$12))+1,MOD(ROW(L34)-ROW(L$3),COLUMNS($A$3:$J$12))+1)</f>
        <v>5408</v>
      </c>
      <c r="M34" s="14">
        <f t="shared" si="0"/>
        <v>2</v>
      </c>
      <c r="N34" s="8"/>
      <c r="O34" s="16">
        <v>32</v>
      </c>
      <c r="P34" s="17">
        <v>5408</v>
      </c>
      <c r="Q34" s="18">
        <f t="shared" si="1"/>
        <v>-13.770000000001346</v>
      </c>
      <c r="R34" s="18">
        <f t="shared" si="2"/>
        <v>189.61290000003706</v>
      </c>
      <c r="S34" s="18">
        <f t="shared" si="4"/>
        <v>13.770000000001346</v>
      </c>
      <c r="T34" s="27"/>
    </row>
    <row r="35" spans="1:20" x14ac:dyDescent="0.25">
      <c r="A35" s="29"/>
      <c r="B35" s="175" t="s">
        <v>31</v>
      </c>
      <c r="C35" s="176"/>
      <c r="D35" s="177"/>
      <c r="E35" s="31">
        <f>E22</f>
        <v>5434.25</v>
      </c>
      <c r="I35" s="6"/>
      <c r="J35" s="6"/>
      <c r="K35" s="6"/>
      <c r="L35" s="14" cm="1">
        <f t="array" ref="L35">INDEX($A$3:$J$12,INT((ROW(L35)-ROW(L$3))/COLUMNS($A$3:$J$12))+1,MOD(ROW(L35)-ROW(L$3),COLUMNS($A$3:$J$12))+1)</f>
        <v>5481</v>
      </c>
      <c r="M35" s="14">
        <f t="shared" si="0"/>
        <v>2</v>
      </c>
      <c r="N35" s="8"/>
      <c r="O35" s="16">
        <v>33</v>
      </c>
      <c r="P35" s="17">
        <v>5481</v>
      </c>
      <c r="Q35" s="18">
        <f t="shared" si="1"/>
        <v>59.229999999998654</v>
      </c>
      <c r="R35" s="18">
        <f t="shared" si="2"/>
        <v>3508.1928999998404</v>
      </c>
      <c r="S35" s="18">
        <f t="shared" si="4"/>
        <v>59.229999999998654</v>
      </c>
      <c r="T35" s="27"/>
    </row>
    <row r="36" spans="1:20" x14ac:dyDescent="0.25">
      <c r="A36" s="29"/>
      <c r="B36" s="175" t="s">
        <v>32</v>
      </c>
      <c r="C36" s="176"/>
      <c r="D36" s="177"/>
      <c r="E36" s="31">
        <f>E25</f>
        <v>5419.75</v>
      </c>
      <c r="I36" s="6"/>
      <c r="J36" s="6"/>
      <c r="K36" s="6"/>
      <c r="L36" s="14" cm="1">
        <f t="array" ref="L36">INDEX($A$3:$J$12,INT((ROW(L36)-ROW(L$3))/COLUMNS($A$3:$J$12))+1,MOD(ROW(L36)-ROW(L$3),COLUMNS($A$3:$J$12))+1)</f>
        <v>5453</v>
      </c>
      <c r="M36" s="14">
        <f t="shared" si="0"/>
        <v>2</v>
      </c>
      <c r="N36" s="8"/>
      <c r="O36" s="16">
        <v>34</v>
      </c>
      <c r="P36" s="17">
        <v>5453</v>
      </c>
      <c r="Q36" s="18">
        <f t="shared" si="1"/>
        <v>31.229999999998654</v>
      </c>
      <c r="R36" s="18">
        <f t="shared" si="2"/>
        <v>975.31289999991589</v>
      </c>
      <c r="S36" s="18">
        <f t="shared" si="4"/>
        <v>31.229999999998654</v>
      </c>
      <c r="T36" s="27"/>
    </row>
    <row r="37" spans="1:20" x14ac:dyDescent="0.25">
      <c r="A37" s="29">
        <v>9</v>
      </c>
      <c r="B37" s="171" t="s">
        <v>33</v>
      </c>
      <c r="C37" s="171"/>
      <c r="D37" s="171"/>
      <c r="E37" s="26">
        <f>E34/2</f>
        <v>-7.25</v>
      </c>
      <c r="I37" s="6"/>
      <c r="J37" s="6"/>
      <c r="K37" s="6"/>
      <c r="L37" s="14" cm="1">
        <f t="array" ref="L37">INDEX($A$3:$J$12,INT((ROW(L37)-ROW(L$3))/COLUMNS($A$3:$J$12))+1,MOD(ROW(L37)-ROW(L$3),COLUMNS($A$3:$J$12))+1)</f>
        <v>5422</v>
      </c>
      <c r="M37" s="14">
        <f t="shared" si="0"/>
        <v>3</v>
      </c>
      <c r="N37" s="8"/>
      <c r="O37" s="16">
        <v>35</v>
      </c>
      <c r="P37" s="42">
        <v>5422</v>
      </c>
      <c r="Q37" s="18">
        <f t="shared" si="1"/>
        <v>0.22999999999865395</v>
      </c>
      <c r="R37" s="18">
        <f t="shared" si="2"/>
        <v>5.2899999999380817E-2</v>
      </c>
      <c r="S37" s="18">
        <f t="shared" si="4"/>
        <v>0.22999999999865395</v>
      </c>
      <c r="T37" s="27"/>
    </row>
    <row r="38" spans="1:20" x14ac:dyDescent="0.25">
      <c r="A38" s="29">
        <v>10</v>
      </c>
      <c r="B38" s="171" t="s">
        <v>34</v>
      </c>
      <c r="C38" s="171"/>
      <c r="D38" s="171"/>
      <c r="E38" s="43">
        <f>E39/(E15-1)</f>
        <v>1107.7815868686862</v>
      </c>
      <c r="I38" s="6"/>
      <c r="J38" s="6"/>
      <c r="K38" s="6"/>
      <c r="L38" s="14" cm="1">
        <f t="array" ref="L38">INDEX($A$3:$J$12,INT((ROW(L38)-ROW(L$3))/COLUMNS($A$3:$J$12))+1,MOD(ROW(L38)-ROW(L$3),COLUMNS($A$3:$J$12))+1)</f>
        <v>5354</v>
      </c>
      <c r="M38" s="14">
        <f t="shared" si="0"/>
        <v>1</v>
      </c>
      <c r="N38" s="8"/>
      <c r="O38" s="16">
        <v>36</v>
      </c>
      <c r="P38" s="17">
        <v>5354</v>
      </c>
      <c r="Q38" s="18">
        <f t="shared" si="1"/>
        <v>-67.770000000001346</v>
      </c>
      <c r="R38" s="18">
        <f t="shared" si="2"/>
        <v>4592.7729000001827</v>
      </c>
      <c r="S38" s="18">
        <f t="shared" si="4"/>
        <v>67.770000000001346</v>
      </c>
      <c r="T38" s="27"/>
    </row>
    <row r="39" spans="1:20" x14ac:dyDescent="0.25">
      <c r="A39" s="29"/>
      <c r="B39" s="178" t="s">
        <v>35</v>
      </c>
      <c r="C39" s="179"/>
      <c r="D39" s="180"/>
      <c r="E39" s="44">
        <f>SUM(R3:R102)</f>
        <v>109670.37709999994</v>
      </c>
      <c r="I39" s="6"/>
      <c r="J39" s="6"/>
      <c r="K39" s="6"/>
      <c r="L39" s="14" cm="1">
        <f t="array" ref="L39">INDEX($A$3:$J$12,INT((ROW(L39)-ROW(L$3))/COLUMNS($A$3:$J$12))+1,MOD(ROW(L39)-ROW(L$3),COLUMNS($A$3:$J$12))+1)</f>
        <v>5421</v>
      </c>
      <c r="M39" s="14">
        <f t="shared" si="0"/>
        <v>2</v>
      </c>
      <c r="N39" s="8"/>
      <c r="O39" s="16">
        <v>37</v>
      </c>
      <c r="P39" s="17">
        <v>5421</v>
      </c>
      <c r="Q39" s="18">
        <f t="shared" si="1"/>
        <v>-0.77000000000134605</v>
      </c>
      <c r="R39" s="18">
        <f t="shared" si="2"/>
        <v>0.59290000000207288</v>
      </c>
      <c r="S39" s="18">
        <f t="shared" si="4"/>
        <v>0.77000000000134605</v>
      </c>
      <c r="T39" s="27"/>
    </row>
    <row r="40" spans="1:20" x14ac:dyDescent="0.25">
      <c r="A40" s="29">
        <v>11</v>
      </c>
      <c r="B40" s="171" t="s">
        <v>36</v>
      </c>
      <c r="C40" s="171"/>
      <c r="D40" s="171"/>
      <c r="E40" s="43">
        <f>SQRT(E38)</f>
        <v>33.283352999189944</v>
      </c>
      <c r="I40" s="6"/>
      <c r="J40" s="6"/>
      <c r="K40" s="6"/>
      <c r="L40" s="14" cm="1">
        <f t="array" ref="L40">INDEX($A$3:$J$12,INT((ROW(L40)-ROW(L$3))/COLUMNS($A$3:$J$12))+1,MOD(ROW(L40)-ROW(L$3),COLUMNS($A$3:$J$12))+1)</f>
        <v>5406</v>
      </c>
      <c r="M40" s="14">
        <f t="shared" si="0"/>
        <v>3</v>
      </c>
      <c r="N40" s="8"/>
      <c r="O40" s="16">
        <v>38</v>
      </c>
      <c r="P40" s="17">
        <v>5406</v>
      </c>
      <c r="Q40" s="18">
        <f t="shared" si="1"/>
        <v>-15.770000000001346</v>
      </c>
      <c r="R40" s="18">
        <f t="shared" si="2"/>
        <v>248.69290000004244</v>
      </c>
      <c r="S40" s="18">
        <f t="shared" si="4"/>
        <v>15.770000000001346</v>
      </c>
      <c r="T40" s="27"/>
    </row>
    <row r="41" spans="1:20" x14ac:dyDescent="0.25">
      <c r="A41" s="29">
        <v>12</v>
      </c>
      <c r="B41" s="171" t="s">
        <v>37</v>
      </c>
      <c r="C41" s="171"/>
      <c r="D41" s="171"/>
      <c r="E41" s="45">
        <f>(E40/E14)*(100%)</f>
        <v>6.1388352879576105E-3</v>
      </c>
      <c r="I41" s="6"/>
      <c r="J41" s="6"/>
      <c r="K41" s="6"/>
      <c r="L41" s="14" cm="1">
        <f t="array" ref="L41">INDEX($A$3:$J$12,INT((ROW(L41)-ROW(L$3))/COLUMNS($A$3:$J$12))+1,MOD(ROW(L41)-ROW(L$3),COLUMNS($A$3:$J$12))+1)</f>
        <v>5444</v>
      </c>
      <c r="M41" s="14">
        <f t="shared" si="0"/>
        <v>1</v>
      </c>
      <c r="N41" s="8"/>
      <c r="O41" s="16">
        <v>39</v>
      </c>
      <c r="P41" s="17">
        <v>5444</v>
      </c>
      <c r="Q41" s="18">
        <f t="shared" si="1"/>
        <v>22.229999999998654</v>
      </c>
      <c r="R41" s="18">
        <f t="shared" si="2"/>
        <v>494.17289999994017</v>
      </c>
      <c r="S41" s="18">
        <f t="shared" si="4"/>
        <v>22.229999999998654</v>
      </c>
      <c r="T41" s="27"/>
    </row>
    <row r="42" spans="1:20" x14ac:dyDescent="0.25">
      <c r="A42" s="29">
        <v>13</v>
      </c>
      <c r="B42" s="171" t="s">
        <v>38</v>
      </c>
      <c r="C42" s="171"/>
      <c r="D42" s="171"/>
      <c r="E42" s="43">
        <f>E43/E15</f>
        <v>26.83</v>
      </c>
      <c r="I42" s="6"/>
      <c r="J42" s="6"/>
      <c r="K42" s="6"/>
      <c r="L42" s="14" cm="1">
        <f t="array" ref="L42">INDEX($A$3:$J$12,INT((ROW(L42)-ROW(L$3))/COLUMNS($A$3:$J$12))+1,MOD(ROW(L42)-ROW(L$3),COLUMNS($A$3:$J$12))+1)</f>
        <v>5466</v>
      </c>
      <c r="M42" s="14">
        <f t="shared" si="0"/>
        <v>1</v>
      </c>
      <c r="N42" s="8"/>
      <c r="O42" s="16">
        <v>40</v>
      </c>
      <c r="P42" s="17">
        <v>5466</v>
      </c>
      <c r="Q42" s="18">
        <f t="shared" si="1"/>
        <v>44.229999999998654</v>
      </c>
      <c r="R42" s="18">
        <f t="shared" si="2"/>
        <v>1956.292899999881</v>
      </c>
      <c r="S42" s="18">
        <f t="shared" si="4"/>
        <v>44.229999999998654</v>
      </c>
      <c r="T42" s="27"/>
    </row>
    <row r="43" spans="1:20" x14ac:dyDescent="0.25">
      <c r="A43" s="29"/>
      <c r="B43" s="172" t="s">
        <v>39</v>
      </c>
      <c r="C43" s="173"/>
      <c r="D43" s="174"/>
      <c r="E43" s="46">
        <f>SUM(S3:S102)</f>
        <v>2683</v>
      </c>
      <c r="I43" s="6"/>
      <c r="J43" s="6"/>
      <c r="K43" s="6"/>
      <c r="L43" s="14" cm="1">
        <f t="array" ref="L43">INDEX($A$3:$J$12,INT((ROW(L43)-ROW(L$3))/COLUMNS($A$3:$J$12))+1,MOD(ROW(L43)-ROW(L$3),COLUMNS($A$3:$J$12))+1)</f>
        <v>5399</v>
      </c>
      <c r="M43" s="14">
        <f t="shared" si="0"/>
        <v>3</v>
      </c>
      <c r="N43" s="8"/>
      <c r="O43" s="16">
        <v>41</v>
      </c>
      <c r="P43" s="17">
        <v>5399</v>
      </c>
      <c r="Q43" s="18">
        <f t="shared" si="1"/>
        <v>-22.770000000001346</v>
      </c>
      <c r="R43" s="18">
        <f t="shared" si="2"/>
        <v>518.47290000006126</v>
      </c>
      <c r="S43" s="18">
        <f t="shared" si="4"/>
        <v>22.770000000001346</v>
      </c>
      <c r="T43" s="27"/>
    </row>
    <row r="44" spans="1:20" x14ac:dyDescent="0.25">
      <c r="A44" s="47"/>
      <c r="I44" s="6"/>
      <c r="J44" s="6"/>
      <c r="K44" s="6"/>
      <c r="L44" s="14" cm="1">
        <f t="array" ref="L44">INDEX($A$3:$J$12,INT((ROW(L44)-ROW(L$3))/COLUMNS($A$3:$J$12))+1,MOD(ROW(L44)-ROW(L$3),COLUMNS($A$3:$J$12))+1)</f>
        <v>5391</v>
      </c>
      <c r="M44" s="14">
        <f t="shared" si="0"/>
        <v>1</v>
      </c>
      <c r="N44" s="8"/>
      <c r="O44" s="16">
        <v>42</v>
      </c>
      <c r="P44" s="17">
        <v>5391</v>
      </c>
      <c r="Q44" s="18">
        <f t="shared" si="1"/>
        <v>-30.770000000001346</v>
      </c>
      <c r="R44" s="18">
        <f t="shared" si="2"/>
        <v>946.7929000000828</v>
      </c>
      <c r="S44" s="18">
        <f t="shared" si="4"/>
        <v>30.770000000001346</v>
      </c>
      <c r="T44" s="27"/>
    </row>
    <row r="45" spans="1:20" x14ac:dyDescent="0.25">
      <c r="B45" s="1"/>
      <c r="F45" s="46"/>
      <c r="I45" s="6"/>
      <c r="J45" s="6"/>
      <c r="K45" s="6"/>
      <c r="L45" s="14" cm="1">
        <f t="array" ref="L45">INDEX($A$3:$J$12,INT((ROW(L45)-ROW(L$3))/COLUMNS($A$3:$J$12))+1,MOD(ROW(L45)-ROW(L$3),COLUMNS($A$3:$J$12))+1)</f>
        <v>5477</v>
      </c>
      <c r="M45" s="14">
        <f t="shared" si="0"/>
        <v>1</v>
      </c>
      <c r="N45" s="8"/>
      <c r="O45" s="16">
        <v>43</v>
      </c>
      <c r="P45" s="17">
        <v>5477</v>
      </c>
      <c r="Q45" s="18">
        <f t="shared" si="1"/>
        <v>55.229999999998654</v>
      </c>
      <c r="R45" s="18">
        <f t="shared" si="2"/>
        <v>3050.3528999998512</v>
      </c>
      <c r="S45" s="18">
        <f t="shared" si="4"/>
        <v>55.229999999998654</v>
      </c>
      <c r="T45" s="27"/>
    </row>
    <row r="46" spans="1:20" x14ac:dyDescent="0.25">
      <c r="B46" s="1"/>
      <c r="I46" s="6"/>
      <c r="J46" s="6"/>
      <c r="K46" s="6"/>
      <c r="L46" s="14" cm="1">
        <f t="array" ref="L46">INDEX($A$3:$J$12,INT((ROW(L46)-ROW(L$3))/COLUMNS($A$3:$J$12))+1,MOD(ROW(L46)-ROW(L$3),COLUMNS($A$3:$J$12))+1)</f>
        <v>5447</v>
      </c>
      <c r="M46" s="14">
        <f t="shared" si="0"/>
        <v>1</v>
      </c>
      <c r="N46" s="8"/>
      <c r="O46" s="16">
        <v>44</v>
      </c>
      <c r="P46" s="20">
        <v>5447</v>
      </c>
      <c r="Q46" s="18">
        <f t="shared" si="1"/>
        <v>25.229999999998654</v>
      </c>
      <c r="R46" s="18">
        <f t="shared" si="2"/>
        <v>636.55289999993204</v>
      </c>
      <c r="S46" s="18">
        <f t="shared" si="4"/>
        <v>25.229999999998654</v>
      </c>
      <c r="T46" s="27"/>
    </row>
    <row r="47" spans="1:20" x14ac:dyDescent="0.25">
      <c r="B47" s="49"/>
      <c r="I47" s="6"/>
      <c r="J47" s="6"/>
      <c r="K47" s="6"/>
      <c r="L47" s="14" cm="1">
        <f t="array" ref="L47">INDEX($A$3:$J$12,INT((ROW(L47)-ROW(L$3))/COLUMNS($A$3:$J$12))+1,MOD(ROW(L47)-ROW(L$3),COLUMNS($A$3:$J$12))+1)</f>
        <v>5329</v>
      </c>
      <c r="M47" s="14">
        <f t="shared" si="0"/>
        <v>1</v>
      </c>
      <c r="N47" s="8"/>
      <c r="O47" s="16">
        <v>45</v>
      </c>
      <c r="P47" s="17">
        <v>5329</v>
      </c>
      <c r="Q47" s="18">
        <f t="shared" si="1"/>
        <v>-92.770000000001346</v>
      </c>
      <c r="R47" s="18">
        <f t="shared" si="2"/>
        <v>8606.2729000002491</v>
      </c>
      <c r="S47" s="18">
        <f t="shared" si="4"/>
        <v>92.770000000001346</v>
      </c>
      <c r="T47" s="27"/>
    </row>
    <row r="48" spans="1:20" x14ac:dyDescent="0.25">
      <c r="E48" s="46"/>
      <c r="I48" s="6"/>
      <c r="J48" s="6"/>
      <c r="K48" s="6"/>
      <c r="L48" s="14" cm="1">
        <f t="array" ref="L48">INDEX($A$3:$J$12,INT((ROW(L48)-ROW(L$3))/COLUMNS($A$3:$J$12))+1,MOD(ROW(L48)-ROW(L$3),COLUMNS($A$3:$J$12))+1)</f>
        <v>5473</v>
      </c>
      <c r="M48" s="14">
        <f t="shared" si="0"/>
        <v>1</v>
      </c>
      <c r="N48" s="8"/>
      <c r="O48" s="16">
        <v>46</v>
      </c>
      <c r="P48" s="20">
        <v>5473</v>
      </c>
      <c r="Q48" s="18">
        <f t="shared" si="1"/>
        <v>51.229999999998654</v>
      </c>
      <c r="R48" s="18">
        <f t="shared" si="2"/>
        <v>2624.5128999998619</v>
      </c>
      <c r="S48" s="18">
        <f t="shared" si="4"/>
        <v>51.229999999998654</v>
      </c>
      <c r="T48" s="27"/>
    </row>
    <row r="49" spans="9:20" x14ac:dyDescent="0.25">
      <c r="I49" s="6"/>
      <c r="J49" s="6"/>
      <c r="K49" s="6"/>
      <c r="L49" s="14" cm="1">
        <f t="array" ref="L49">INDEX($A$3:$J$12,INT((ROW(L49)-ROW(L$3))/COLUMNS($A$3:$J$12))+1,MOD(ROW(L49)-ROW(L$3),COLUMNS($A$3:$J$12))+1)</f>
        <v>5423</v>
      </c>
      <c r="M49" s="14">
        <f t="shared" si="0"/>
        <v>1</v>
      </c>
      <c r="N49" s="8"/>
      <c r="O49" s="16">
        <v>47</v>
      </c>
      <c r="P49" s="17">
        <v>5423</v>
      </c>
      <c r="Q49" s="18">
        <f t="shared" si="1"/>
        <v>1.2299999999986539</v>
      </c>
      <c r="R49" s="18">
        <f t="shared" si="2"/>
        <v>1.5128999999966888</v>
      </c>
      <c r="S49" s="18">
        <f t="shared" si="4"/>
        <v>1.2299999999986539</v>
      </c>
      <c r="T49" s="27"/>
    </row>
    <row r="50" spans="9:20" x14ac:dyDescent="0.25">
      <c r="I50" s="6"/>
      <c r="J50" s="6"/>
      <c r="K50" s="6"/>
      <c r="L50" s="14" cm="1">
        <f t="array" ref="L50">INDEX($A$3:$J$12,INT((ROW(L50)-ROW(L$3))/COLUMNS($A$3:$J$12))+1,MOD(ROW(L50)-ROW(L$3),COLUMNS($A$3:$J$12))+1)</f>
        <v>5441</v>
      </c>
      <c r="M50" s="14">
        <f t="shared" si="0"/>
        <v>1</v>
      </c>
      <c r="N50" s="8"/>
      <c r="O50" s="16">
        <v>48</v>
      </c>
      <c r="P50" s="17">
        <v>5441</v>
      </c>
      <c r="Q50" s="18">
        <f t="shared" si="1"/>
        <v>19.229999999998654</v>
      </c>
      <c r="R50" s="18">
        <f t="shared" si="2"/>
        <v>369.79289999994825</v>
      </c>
      <c r="S50" s="18">
        <f t="shared" si="4"/>
        <v>19.229999999998654</v>
      </c>
      <c r="T50" s="27"/>
    </row>
    <row r="51" spans="9:20" x14ac:dyDescent="0.25">
      <c r="I51" s="6"/>
      <c r="J51" s="6"/>
      <c r="K51" s="6"/>
      <c r="L51" s="14" cm="1">
        <f t="array" ref="L51">INDEX($A$3:$J$12,INT((ROW(L51)-ROW(L$3))/COLUMNS($A$3:$J$12))+1,MOD(ROW(L51)-ROW(L$3),COLUMNS($A$3:$J$12))+1)</f>
        <v>5412</v>
      </c>
      <c r="M51" s="14">
        <f t="shared" si="0"/>
        <v>1</v>
      </c>
      <c r="N51" s="8"/>
      <c r="O51" s="16">
        <v>49</v>
      </c>
      <c r="P51" s="17">
        <v>5412</v>
      </c>
      <c r="Q51" s="18">
        <f t="shared" si="1"/>
        <v>-9.7700000000013461</v>
      </c>
      <c r="R51" s="18">
        <f t="shared" si="2"/>
        <v>95.452900000026304</v>
      </c>
      <c r="S51" s="18">
        <f t="shared" si="4"/>
        <v>9.7700000000013461</v>
      </c>
      <c r="T51" s="27"/>
    </row>
    <row r="52" spans="9:20" x14ac:dyDescent="0.25">
      <c r="I52" s="6"/>
      <c r="J52" s="6"/>
      <c r="K52" s="6"/>
      <c r="L52" s="14" cm="1">
        <f t="array" ref="L52">INDEX($A$3:$J$12,INT((ROW(L52)-ROW(L$3))/COLUMNS($A$3:$J$12))+1,MOD(ROW(L52)-ROW(L$3),COLUMNS($A$3:$J$12))+1)</f>
        <v>5384</v>
      </c>
      <c r="M52" s="14">
        <f t="shared" si="0"/>
        <v>1</v>
      </c>
      <c r="N52" s="8"/>
      <c r="O52" s="16">
        <v>50</v>
      </c>
      <c r="P52" s="17">
        <v>5384</v>
      </c>
      <c r="Q52" s="18">
        <f t="shared" si="1"/>
        <v>-37.770000000001346</v>
      </c>
      <c r="R52" s="18">
        <f t="shared" si="2"/>
        <v>1426.5729000001018</v>
      </c>
      <c r="S52" s="18">
        <f t="shared" si="4"/>
        <v>37.770000000001346</v>
      </c>
      <c r="T52" s="27"/>
    </row>
    <row r="53" spans="9:20" x14ac:dyDescent="0.25">
      <c r="I53" s="6"/>
      <c r="J53" s="6"/>
      <c r="K53" s="6"/>
      <c r="L53" s="14" cm="1">
        <f t="array" ref="L53">INDEX($A$3:$J$12,INT((ROW(L53)-ROW(L$3))/COLUMNS($A$3:$J$12))+1,MOD(ROW(L53)-ROW(L$3),COLUMNS($A$3:$J$12))+1)</f>
        <v>5445</v>
      </c>
      <c r="M53" s="14">
        <f t="shared" si="0"/>
        <v>2</v>
      </c>
      <c r="N53" s="8"/>
      <c r="O53" s="16">
        <v>51</v>
      </c>
      <c r="P53" s="17">
        <v>5445</v>
      </c>
      <c r="Q53" s="18">
        <f t="shared" si="1"/>
        <v>23.229999999998654</v>
      </c>
      <c r="R53" s="18">
        <f t="shared" si="2"/>
        <v>539.63289999993742</v>
      </c>
      <c r="S53" s="18">
        <f t="shared" si="4"/>
        <v>23.229999999998654</v>
      </c>
      <c r="T53" s="27"/>
    </row>
    <row r="54" spans="9:20" x14ac:dyDescent="0.25">
      <c r="I54" s="6"/>
      <c r="J54" s="6"/>
      <c r="K54" s="6"/>
      <c r="L54" s="14" cm="1">
        <f t="array" ref="L54">INDEX($A$3:$J$12,INT((ROW(L54)-ROW(L$3))/COLUMNS($A$3:$J$12))+1,MOD(ROW(L54)-ROW(L$3),COLUMNS($A$3:$J$12))+1)</f>
        <v>5436</v>
      </c>
      <c r="M54" s="14">
        <f t="shared" si="0"/>
        <v>1</v>
      </c>
      <c r="N54" s="8"/>
      <c r="O54" s="16">
        <v>52</v>
      </c>
      <c r="P54" s="20">
        <v>5436</v>
      </c>
      <c r="Q54" s="18">
        <f t="shared" si="1"/>
        <v>14.229999999998654</v>
      </c>
      <c r="R54" s="18">
        <f t="shared" si="2"/>
        <v>202.49289999996168</v>
      </c>
      <c r="S54" s="18">
        <f t="shared" si="4"/>
        <v>14.229999999998654</v>
      </c>
      <c r="T54" s="27"/>
    </row>
    <row r="55" spans="9:20" x14ac:dyDescent="0.25">
      <c r="I55" s="6"/>
      <c r="J55" s="6"/>
      <c r="K55" s="6"/>
      <c r="L55" s="14" cm="1">
        <f t="array" ref="L55">INDEX($A$3:$J$12,INT((ROW(L55)-ROW(L$3))/COLUMNS($A$3:$J$12))+1,MOD(ROW(L55)-ROW(L$3),COLUMNS($A$3:$J$12))+1)</f>
        <v>5454</v>
      </c>
      <c r="M55" s="14">
        <f t="shared" si="0"/>
        <v>2</v>
      </c>
      <c r="N55" s="8"/>
      <c r="O55" s="16">
        <v>53</v>
      </c>
      <c r="P55" s="17">
        <v>5454</v>
      </c>
      <c r="Q55" s="18">
        <f t="shared" si="1"/>
        <v>32.229999999998654</v>
      </c>
      <c r="R55" s="18">
        <f t="shared" si="2"/>
        <v>1038.7728999999133</v>
      </c>
      <c r="S55" s="18">
        <f t="shared" si="4"/>
        <v>32.229999999998654</v>
      </c>
      <c r="T55" s="27"/>
    </row>
    <row r="56" spans="9:20" x14ac:dyDescent="0.25">
      <c r="I56" s="6"/>
      <c r="J56" s="6"/>
      <c r="K56" s="6"/>
      <c r="L56" s="14" cm="1">
        <f t="array" ref="L56">INDEX($A$3:$J$12,INT((ROW(L56)-ROW(L$3))/COLUMNS($A$3:$J$12))+1,MOD(ROW(L56)-ROW(L$3),COLUMNS($A$3:$J$12))+1)</f>
        <v>5453</v>
      </c>
      <c r="M56" s="14">
        <f t="shared" si="0"/>
        <v>2</v>
      </c>
      <c r="N56" s="8"/>
      <c r="O56" s="16">
        <v>54</v>
      </c>
      <c r="P56" s="17">
        <v>5453</v>
      </c>
      <c r="Q56" s="18">
        <f t="shared" si="1"/>
        <v>31.229999999998654</v>
      </c>
      <c r="R56" s="18">
        <f t="shared" si="2"/>
        <v>975.31289999991589</v>
      </c>
      <c r="S56" s="18">
        <f t="shared" si="4"/>
        <v>31.229999999998654</v>
      </c>
      <c r="T56" s="27"/>
    </row>
    <row r="57" spans="9:20" x14ac:dyDescent="0.25">
      <c r="I57" s="6"/>
      <c r="J57" s="6"/>
      <c r="K57" s="6"/>
      <c r="L57" s="14" cm="1">
        <f t="array" ref="L57">INDEX($A$3:$J$12,INT((ROW(L57)-ROW(L$3))/COLUMNS($A$3:$J$12))+1,MOD(ROW(L57)-ROW(L$3),COLUMNS($A$3:$J$12))+1)</f>
        <v>5428</v>
      </c>
      <c r="M57" s="14">
        <f t="shared" si="0"/>
        <v>1</v>
      </c>
      <c r="N57" s="8"/>
      <c r="O57" s="16">
        <v>55</v>
      </c>
      <c r="P57" s="17">
        <v>5428</v>
      </c>
      <c r="Q57" s="18">
        <f t="shared" si="1"/>
        <v>6.2299999999986539</v>
      </c>
      <c r="R57" s="18">
        <f t="shared" si="2"/>
        <v>38.81289999998323</v>
      </c>
      <c r="S57" s="18">
        <f t="shared" si="4"/>
        <v>6.2299999999986539</v>
      </c>
      <c r="T57" s="27"/>
    </row>
    <row r="58" spans="9:20" x14ac:dyDescent="0.25">
      <c r="I58" s="6"/>
      <c r="J58" s="6"/>
      <c r="K58" s="6"/>
      <c r="L58" s="14" cm="1">
        <f t="array" ref="L58">INDEX($A$3:$J$12,INT((ROW(L58)-ROW(L$3))/COLUMNS($A$3:$J$12))+1,MOD(ROW(L58)-ROW(L$3),COLUMNS($A$3:$J$12))+1)</f>
        <v>5418</v>
      </c>
      <c r="M58" s="14">
        <f t="shared" si="0"/>
        <v>2</v>
      </c>
      <c r="N58" s="8"/>
      <c r="O58" s="16">
        <v>56</v>
      </c>
      <c r="P58" s="17">
        <v>5418</v>
      </c>
      <c r="Q58" s="18">
        <f t="shared" si="1"/>
        <v>-3.7700000000013461</v>
      </c>
      <c r="R58" s="18">
        <f t="shared" si="2"/>
        <v>14.21290000001015</v>
      </c>
      <c r="S58" s="18">
        <f t="shared" si="4"/>
        <v>3.7700000000013461</v>
      </c>
      <c r="T58" s="27"/>
    </row>
    <row r="59" spans="9:20" x14ac:dyDescent="0.25">
      <c r="I59" s="6"/>
      <c r="J59" s="6"/>
      <c r="K59" s="6"/>
      <c r="L59" s="14" cm="1">
        <f t="array" ref="L59">INDEX($A$3:$J$12,INT((ROW(L59)-ROW(L$3))/COLUMNS($A$3:$J$12))+1,MOD(ROW(L59)-ROW(L$3),COLUMNS($A$3:$J$12))+1)</f>
        <v>5465</v>
      </c>
      <c r="M59" s="14">
        <f t="shared" si="0"/>
        <v>1</v>
      </c>
      <c r="N59" s="8"/>
      <c r="O59" s="16">
        <v>57</v>
      </c>
      <c r="P59" s="17">
        <v>5465</v>
      </c>
      <c r="Q59" s="18">
        <f t="shared" si="1"/>
        <v>43.229999999998654</v>
      </c>
      <c r="R59" s="18">
        <f t="shared" si="2"/>
        <v>1868.8328999998837</v>
      </c>
      <c r="S59" s="18">
        <f t="shared" si="4"/>
        <v>43.229999999998654</v>
      </c>
      <c r="T59" s="27"/>
    </row>
    <row r="60" spans="9:20" x14ac:dyDescent="0.25">
      <c r="I60" s="6"/>
      <c r="J60" s="6"/>
      <c r="K60" s="6"/>
      <c r="L60" s="14" cm="1">
        <f t="array" ref="L60">INDEX($A$3:$J$12,INT((ROW(L60)-ROW(L$3))/COLUMNS($A$3:$J$12))+1,MOD(ROW(L60)-ROW(L$3),COLUMNS($A$3:$J$12))+1)</f>
        <v>5427</v>
      </c>
      <c r="M60" s="14">
        <f t="shared" si="0"/>
        <v>1</v>
      </c>
      <c r="N60" s="8"/>
      <c r="O60" s="16">
        <v>58</v>
      </c>
      <c r="P60" s="20">
        <v>5427</v>
      </c>
      <c r="Q60" s="18">
        <f t="shared" si="1"/>
        <v>5.2299999999986539</v>
      </c>
      <c r="R60" s="18">
        <f t="shared" si="2"/>
        <v>27.352899999985919</v>
      </c>
      <c r="S60" s="18">
        <f t="shared" si="4"/>
        <v>5.2299999999986539</v>
      </c>
      <c r="T60" s="27"/>
    </row>
    <row r="61" spans="9:20" x14ac:dyDescent="0.25">
      <c r="I61" s="6"/>
      <c r="J61" s="6"/>
      <c r="K61" s="6"/>
      <c r="L61" s="14" cm="1">
        <f t="array" ref="L61">INDEX($A$3:$J$12,INT((ROW(L61)-ROW(L$3))/COLUMNS($A$3:$J$12))+1,MOD(ROW(L61)-ROW(L$3),COLUMNS($A$3:$J$12))+1)</f>
        <v>5421</v>
      </c>
      <c r="M61" s="14">
        <f t="shared" si="0"/>
        <v>2</v>
      </c>
      <c r="N61" s="8"/>
      <c r="O61" s="16">
        <v>59</v>
      </c>
      <c r="P61" s="17">
        <v>5421</v>
      </c>
      <c r="Q61" s="18">
        <f t="shared" si="1"/>
        <v>-0.77000000000134605</v>
      </c>
      <c r="R61" s="18">
        <f t="shared" si="2"/>
        <v>0.59290000000207288</v>
      </c>
      <c r="S61" s="18">
        <f t="shared" si="4"/>
        <v>0.77000000000134605</v>
      </c>
      <c r="T61" s="27"/>
    </row>
    <row r="62" spans="9:20" x14ac:dyDescent="0.25">
      <c r="I62" s="6"/>
      <c r="J62" s="6"/>
      <c r="K62" s="6"/>
      <c r="L62" s="14" cm="1">
        <f t="array" ref="L62">INDEX($A$3:$J$12,INT((ROW(L62)-ROW(L$3))/COLUMNS($A$3:$J$12))+1,MOD(ROW(L62)-ROW(L$3),COLUMNS($A$3:$J$12))+1)</f>
        <v>5396</v>
      </c>
      <c r="M62" s="14">
        <f t="shared" si="0"/>
        <v>1</v>
      </c>
      <c r="N62" s="8"/>
      <c r="O62" s="16">
        <v>60</v>
      </c>
      <c r="P62" s="20">
        <v>5396</v>
      </c>
      <c r="Q62" s="18">
        <f t="shared" si="1"/>
        <v>-25.770000000001346</v>
      </c>
      <c r="R62" s="18">
        <f t="shared" si="2"/>
        <v>664.09290000006933</v>
      </c>
      <c r="S62" s="18">
        <f t="shared" si="4"/>
        <v>25.770000000001346</v>
      </c>
      <c r="T62" s="27"/>
    </row>
    <row r="63" spans="9:20" x14ac:dyDescent="0.25">
      <c r="I63" s="6"/>
      <c r="J63" s="6"/>
      <c r="K63" s="6"/>
      <c r="L63" s="14" cm="1">
        <f t="array" ref="L63">INDEX($A$3:$J$12,INT((ROW(L63)-ROW(L$3))/COLUMNS($A$3:$J$12))+1,MOD(ROW(L63)-ROW(L$3),COLUMNS($A$3:$J$12))+1)</f>
        <v>5381</v>
      </c>
      <c r="M63" s="14">
        <f t="shared" si="0"/>
        <v>1</v>
      </c>
      <c r="N63" s="8"/>
      <c r="O63" s="16">
        <v>61</v>
      </c>
      <c r="P63" s="17">
        <v>5381</v>
      </c>
      <c r="Q63" s="18">
        <f t="shared" si="1"/>
        <v>-40.770000000001346</v>
      </c>
      <c r="R63" s="18">
        <f t="shared" si="2"/>
        <v>1662.1929000001098</v>
      </c>
      <c r="S63" s="18">
        <f t="shared" si="4"/>
        <v>40.770000000001346</v>
      </c>
      <c r="T63" s="27"/>
    </row>
    <row r="64" spans="9:20" x14ac:dyDescent="0.25">
      <c r="I64" s="6"/>
      <c r="J64" s="6"/>
      <c r="K64" s="6"/>
      <c r="L64" s="14" cm="1">
        <f t="array" ref="L64">INDEX($A$3:$J$12,INT((ROW(L64)-ROW(L$3))/COLUMNS($A$3:$J$12))+1,MOD(ROW(L64)-ROW(L$3),COLUMNS($A$3:$J$12))+1)</f>
        <v>5425</v>
      </c>
      <c r="M64" s="14">
        <f t="shared" si="0"/>
        <v>1</v>
      </c>
      <c r="N64" s="8"/>
      <c r="O64" s="16">
        <v>62</v>
      </c>
      <c r="P64" s="20">
        <v>5425</v>
      </c>
      <c r="Q64" s="18">
        <f t="shared" si="1"/>
        <v>3.2299999999986539</v>
      </c>
      <c r="R64" s="18">
        <f t="shared" si="2"/>
        <v>10.432899999991305</v>
      </c>
      <c r="S64" s="18">
        <f t="shared" si="4"/>
        <v>3.2299999999986539</v>
      </c>
      <c r="T64" s="27"/>
    </row>
    <row r="65" spans="9:20" x14ac:dyDescent="0.25">
      <c r="I65" s="6"/>
      <c r="J65" s="6"/>
      <c r="K65" s="6"/>
      <c r="L65" s="14" cm="1">
        <f t="array" ref="L65">INDEX($A$3:$J$12,INT((ROW(L65)-ROW(L$3))/COLUMNS($A$3:$J$12))+1,MOD(ROW(L65)-ROW(L$3),COLUMNS($A$3:$J$12))+1)</f>
        <v>5388</v>
      </c>
      <c r="M65" s="14">
        <f t="shared" si="0"/>
        <v>4</v>
      </c>
      <c r="N65" s="8"/>
      <c r="O65" s="16">
        <v>63</v>
      </c>
      <c r="P65" s="17">
        <v>5388</v>
      </c>
      <c r="Q65" s="18">
        <f t="shared" si="1"/>
        <v>-33.770000000001346</v>
      </c>
      <c r="R65" s="18">
        <f t="shared" si="2"/>
        <v>1140.412900000091</v>
      </c>
      <c r="S65" s="18">
        <f t="shared" si="4"/>
        <v>33.770000000001346</v>
      </c>
      <c r="T65" s="27"/>
    </row>
    <row r="66" spans="9:20" x14ac:dyDescent="0.25">
      <c r="I66" s="6"/>
      <c r="J66" s="6"/>
      <c r="K66" s="6"/>
      <c r="L66" s="14" cm="1">
        <f t="array" ref="L66">INDEX($A$3:$J$12,INT((ROW(L66)-ROW(L$3))/COLUMNS($A$3:$J$12))+1,MOD(ROW(L66)-ROW(L$3),COLUMNS($A$3:$J$12))+1)</f>
        <v>5388</v>
      </c>
      <c r="M66" s="14">
        <f t="shared" si="0"/>
        <v>4</v>
      </c>
      <c r="N66" s="8"/>
      <c r="O66" s="16">
        <v>64</v>
      </c>
      <c r="P66" s="20">
        <v>5388</v>
      </c>
      <c r="Q66" s="18">
        <f t="shared" si="1"/>
        <v>-33.770000000001346</v>
      </c>
      <c r="R66" s="18">
        <f t="shared" si="2"/>
        <v>1140.412900000091</v>
      </c>
      <c r="S66" s="18">
        <f t="shared" si="4"/>
        <v>33.770000000001346</v>
      </c>
      <c r="T66" s="27"/>
    </row>
    <row r="67" spans="9:20" x14ac:dyDescent="0.25">
      <c r="I67" s="6"/>
      <c r="J67" s="6"/>
      <c r="K67" s="6"/>
      <c r="L67" s="14" cm="1">
        <f t="array" ref="L67">INDEX($A$3:$J$12,INT((ROW(L67)-ROW(L$3))/COLUMNS($A$3:$J$12))+1,MOD(ROW(L67)-ROW(L$3),COLUMNS($A$3:$J$12))+1)</f>
        <v>5378</v>
      </c>
      <c r="M67" s="14">
        <f t="shared" si="0"/>
        <v>1</v>
      </c>
      <c r="N67" s="8"/>
      <c r="O67" s="16">
        <v>65</v>
      </c>
      <c r="P67" s="17">
        <v>5378</v>
      </c>
      <c r="Q67" s="18">
        <f t="shared" si="1"/>
        <v>-43.770000000001346</v>
      </c>
      <c r="R67" s="18">
        <f t="shared" si="2"/>
        <v>1915.8129000001179</v>
      </c>
      <c r="S67" s="18">
        <f t="shared" si="4"/>
        <v>43.770000000001346</v>
      </c>
      <c r="T67" s="27"/>
    </row>
    <row r="68" spans="9:20" x14ac:dyDescent="0.25">
      <c r="I68" s="6"/>
      <c r="J68" s="6"/>
      <c r="K68" s="6"/>
      <c r="L68" s="14" cm="1">
        <f t="array" ref="L68">INDEX($A$3:$J$12,INT((ROW(L68)-ROW(L$3))/COLUMNS($A$3:$J$12))+1,MOD(ROW(L68)-ROW(L$3),COLUMNS($A$3:$J$12))+1)</f>
        <v>5481</v>
      </c>
      <c r="M68" s="14">
        <f t="shared" ref="M68:M102" si="5">COUNTIF($L$3:$L$102, L68)</f>
        <v>2</v>
      </c>
      <c r="N68" s="8"/>
      <c r="O68" s="16">
        <v>66</v>
      </c>
      <c r="P68" s="17">
        <v>5481</v>
      </c>
      <c r="Q68" s="18">
        <f t="shared" ref="Q68:Q102" si="6">P68-$E$14</f>
        <v>59.229999999998654</v>
      </c>
      <c r="R68" s="18">
        <f t="shared" ref="R68:R102" si="7">Q68^2</f>
        <v>3508.1928999998404</v>
      </c>
      <c r="S68" s="18">
        <f t="shared" si="4"/>
        <v>59.229999999998654</v>
      </c>
      <c r="T68" s="27"/>
    </row>
    <row r="69" spans="9:20" x14ac:dyDescent="0.25">
      <c r="I69" s="6"/>
      <c r="J69" s="6"/>
      <c r="K69" s="6"/>
      <c r="L69" s="14" cm="1">
        <f t="array" ref="L69">INDEX($A$3:$J$12,INT((ROW(L69)-ROW(L$3))/COLUMNS($A$3:$J$12))+1,MOD(ROW(L69)-ROW(L$3),COLUMNS($A$3:$J$12))+1)</f>
        <v>5387</v>
      </c>
      <c r="M69" s="14">
        <f t="shared" si="5"/>
        <v>2</v>
      </c>
      <c r="N69" s="8"/>
      <c r="O69" s="16">
        <v>67</v>
      </c>
      <c r="P69" s="17">
        <v>5387</v>
      </c>
      <c r="Q69" s="18">
        <f t="shared" si="6"/>
        <v>-34.770000000001346</v>
      </c>
      <c r="R69" s="18">
        <f t="shared" si="7"/>
        <v>1208.9529000000937</v>
      </c>
      <c r="S69" s="18">
        <f t="shared" si="4"/>
        <v>34.770000000001346</v>
      </c>
      <c r="T69" s="27"/>
    </row>
    <row r="70" spans="9:20" x14ac:dyDescent="0.25">
      <c r="I70" s="6"/>
      <c r="J70" s="6"/>
      <c r="K70" s="6"/>
      <c r="L70" s="14" cm="1">
        <f t="array" ref="L70">INDEX($A$3:$J$12,INT((ROW(L70)-ROW(L$3))/COLUMNS($A$3:$J$12))+1,MOD(ROW(L70)-ROW(L$3),COLUMNS($A$3:$J$12))+1)</f>
        <v>5440</v>
      </c>
      <c r="M70" s="14">
        <f t="shared" si="5"/>
        <v>3</v>
      </c>
      <c r="N70" s="8"/>
      <c r="O70" s="16">
        <v>68</v>
      </c>
      <c r="P70" s="17">
        <v>5440</v>
      </c>
      <c r="Q70" s="18">
        <f t="shared" si="6"/>
        <v>18.229999999998654</v>
      </c>
      <c r="R70" s="18">
        <f t="shared" si="7"/>
        <v>332.33289999995094</v>
      </c>
      <c r="S70" s="18">
        <f t="shared" si="4"/>
        <v>18.229999999998654</v>
      </c>
      <c r="T70" s="27"/>
    </row>
    <row r="71" spans="9:20" x14ac:dyDescent="0.25">
      <c r="I71" s="6"/>
      <c r="J71" s="6"/>
      <c r="K71" s="6"/>
      <c r="L71" s="14" cm="1">
        <f t="array" ref="L71">INDEX($A$3:$J$12,INT((ROW(L71)-ROW(L$3))/COLUMNS($A$3:$J$12))+1,MOD(ROW(L71)-ROW(L$3),COLUMNS($A$3:$J$12))+1)</f>
        <v>5482</v>
      </c>
      <c r="M71" s="14">
        <f t="shared" si="5"/>
        <v>1</v>
      </c>
      <c r="N71" s="8"/>
      <c r="O71" s="16">
        <v>69</v>
      </c>
      <c r="P71" s="17">
        <v>5482</v>
      </c>
      <c r="Q71" s="18">
        <f t="shared" si="6"/>
        <v>60.229999999998654</v>
      </c>
      <c r="R71" s="18">
        <f t="shared" si="7"/>
        <v>3627.6528999998377</v>
      </c>
      <c r="S71" s="18">
        <f t="shared" si="4"/>
        <v>60.229999999998654</v>
      </c>
      <c r="T71" s="27"/>
    </row>
    <row r="72" spans="9:20" x14ac:dyDescent="0.25">
      <c r="I72" s="6"/>
      <c r="J72" s="6"/>
      <c r="K72" s="6"/>
      <c r="L72" s="14" cm="1">
        <f t="array" ref="L72">INDEX($A$3:$J$12,INT((ROW(L72)-ROW(L$3))/COLUMNS($A$3:$J$12))+1,MOD(ROW(L72)-ROW(L$3),COLUMNS($A$3:$J$12))+1)</f>
        <v>5406</v>
      </c>
      <c r="M72" s="14">
        <f t="shared" si="5"/>
        <v>3</v>
      </c>
      <c r="N72" s="8"/>
      <c r="O72" s="16">
        <v>70</v>
      </c>
      <c r="P72" s="17">
        <v>5406</v>
      </c>
      <c r="Q72" s="18">
        <f t="shared" si="6"/>
        <v>-15.770000000001346</v>
      </c>
      <c r="R72" s="18">
        <f t="shared" si="7"/>
        <v>248.69290000004244</v>
      </c>
      <c r="S72" s="18">
        <f t="shared" ref="S72:S102" si="8">ABS(Q72)</f>
        <v>15.770000000001346</v>
      </c>
      <c r="T72" s="27"/>
    </row>
    <row r="73" spans="9:20" x14ac:dyDescent="0.25">
      <c r="I73" s="6"/>
      <c r="J73" s="6"/>
      <c r="K73" s="6"/>
      <c r="L73" s="14" cm="1">
        <f t="array" ref="L73">INDEX($A$3:$J$12,INT((ROW(L73)-ROW(L$3))/COLUMNS($A$3:$J$12))+1,MOD(ROW(L73)-ROW(L$3),COLUMNS($A$3:$J$12))+1)</f>
        <v>5401</v>
      </c>
      <c r="M73" s="14">
        <f t="shared" si="5"/>
        <v>3</v>
      </c>
      <c r="N73" s="8"/>
      <c r="O73" s="16">
        <v>71</v>
      </c>
      <c r="P73" s="17">
        <v>5401</v>
      </c>
      <c r="Q73" s="18">
        <f t="shared" si="6"/>
        <v>-20.770000000001346</v>
      </c>
      <c r="R73" s="18">
        <f t="shared" si="7"/>
        <v>431.39290000005593</v>
      </c>
      <c r="S73" s="18">
        <f t="shared" si="8"/>
        <v>20.770000000001346</v>
      </c>
      <c r="T73" s="27"/>
    </row>
    <row r="74" spans="9:20" x14ac:dyDescent="0.25">
      <c r="I74" s="6"/>
      <c r="J74" s="6"/>
      <c r="K74" s="6"/>
      <c r="L74" s="14" cm="1">
        <f t="array" ref="L74">INDEX($A$3:$J$12,INT((ROW(L74)-ROW(L$3))/COLUMNS($A$3:$J$12))+1,MOD(ROW(L74)-ROW(L$3),COLUMNS($A$3:$J$12))+1)</f>
        <v>5411</v>
      </c>
      <c r="M74" s="14">
        <f t="shared" si="5"/>
        <v>1</v>
      </c>
      <c r="N74" s="8"/>
      <c r="O74" s="16">
        <v>72</v>
      </c>
      <c r="P74" s="17">
        <v>5411</v>
      </c>
      <c r="Q74" s="18">
        <f t="shared" si="6"/>
        <v>-10.770000000001346</v>
      </c>
      <c r="R74" s="18">
        <f t="shared" si="7"/>
        <v>115.992900000029</v>
      </c>
      <c r="S74" s="18">
        <f t="shared" si="8"/>
        <v>10.770000000001346</v>
      </c>
      <c r="T74" s="27"/>
    </row>
    <row r="75" spans="9:20" x14ac:dyDescent="0.25">
      <c r="I75" s="6"/>
      <c r="J75" s="6"/>
      <c r="K75" s="6"/>
      <c r="L75" s="14" cm="1">
        <f t="array" ref="L75">INDEX($A$3:$J$12,INT((ROW(L75)-ROW(L$3))/COLUMNS($A$3:$J$12))+1,MOD(ROW(L75)-ROW(L$3),COLUMNS($A$3:$J$12))+1)</f>
        <v>5399</v>
      </c>
      <c r="M75" s="14">
        <f t="shared" si="5"/>
        <v>3</v>
      </c>
      <c r="N75" s="8"/>
      <c r="O75" s="16">
        <v>73</v>
      </c>
      <c r="P75" s="17">
        <v>5399</v>
      </c>
      <c r="Q75" s="18">
        <f t="shared" si="6"/>
        <v>-22.770000000001346</v>
      </c>
      <c r="R75" s="18">
        <f t="shared" si="7"/>
        <v>518.47290000006126</v>
      </c>
      <c r="S75" s="18">
        <f t="shared" si="8"/>
        <v>22.770000000001346</v>
      </c>
      <c r="T75" s="27"/>
    </row>
    <row r="76" spans="9:20" x14ac:dyDescent="0.25">
      <c r="I76" s="6"/>
      <c r="J76" s="6"/>
      <c r="K76" s="6"/>
      <c r="L76" s="14" cm="1">
        <f t="array" ref="L76">INDEX($A$3:$J$12,INT((ROW(L76)-ROW(L$3))/COLUMNS($A$3:$J$12))+1,MOD(ROW(L76)-ROW(L$3),COLUMNS($A$3:$J$12))+1)</f>
        <v>5431</v>
      </c>
      <c r="M76" s="14">
        <f t="shared" si="5"/>
        <v>4</v>
      </c>
      <c r="N76" s="8"/>
      <c r="O76" s="16">
        <v>74</v>
      </c>
      <c r="P76" s="42">
        <v>5431</v>
      </c>
      <c r="Q76" s="18">
        <f t="shared" si="6"/>
        <v>9.2299999999986539</v>
      </c>
      <c r="R76" s="18">
        <f t="shared" si="7"/>
        <v>85.192899999975154</v>
      </c>
      <c r="S76" s="18">
        <f t="shared" si="8"/>
        <v>9.2299999999986539</v>
      </c>
      <c r="T76" s="27"/>
    </row>
    <row r="77" spans="9:20" x14ac:dyDescent="0.25">
      <c r="I77" s="6"/>
      <c r="J77" s="6"/>
      <c r="K77" s="6"/>
      <c r="L77" s="14" cm="1">
        <f t="array" ref="L77">INDEX($A$3:$J$12,INT((ROW(L77)-ROW(L$3))/COLUMNS($A$3:$J$12))+1,MOD(ROW(L77)-ROW(L$3),COLUMNS($A$3:$J$12))+1)</f>
        <v>5440</v>
      </c>
      <c r="M77" s="14">
        <f t="shared" si="5"/>
        <v>3</v>
      </c>
      <c r="N77" s="8"/>
      <c r="O77" s="16">
        <v>75</v>
      </c>
      <c r="P77" s="17">
        <v>5440</v>
      </c>
      <c r="Q77" s="18">
        <f t="shared" si="6"/>
        <v>18.229999999998654</v>
      </c>
      <c r="R77" s="18">
        <f t="shared" si="7"/>
        <v>332.33289999995094</v>
      </c>
      <c r="S77" s="18">
        <f t="shared" si="8"/>
        <v>18.229999999998654</v>
      </c>
      <c r="T77" s="27"/>
    </row>
    <row r="78" spans="9:20" x14ac:dyDescent="0.25">
      <c r="I78" s="6"/>
      <c r="J78" s="6"/>
      <c r="K78" s="6"/>
      <c r="L78" s="14" cm="1">
        <f t="array" ref="L78">INDEX($A$3:$J$12,INT((ROW(L78)-ROW(L$3))/COLUMNS($A$3:$J$12))+1,MOD(ROW(L78)-ROW(L$3),COLUMNS($A$3:$J$12))+1)</f>
        <v>5413</v>
      </c>
      <c r="M78" s="14">
        <f t="shared" si="5"/>
        <v>1</v>
      </c>
      <c r="N78" s="8"/>
      <c r="O78" s="16">
        <v>76</v>
      </c>
      <c r="P78" s="20">
        <v>5413</v>
      </c>
      <c r="Q78" s="18">
        <f t="shared" si="6"/>
        <v>-8.7700000000013461</v>
      </c>
      <c r="R78" s="18">
        <f t="shared" si="7"/>
        <v>76.912900000023612</v>
      </c>
      <c r="S78" s="18">
        <f t="shared" si="8"/>
        <v>8.7700000000013461</v>
      </c>
      <c r="T78" s="27"/>
    </row>
    <row r="79" spans="9:20" x14ac:dyDescent="0.25">
      <c r="I79" s="6"/>
      <c r="J79" s="6"/>
      <c r="K79" s="6"/>
      <c r="L79" s="14" cm="1">
        <f t="array" ref="L79">INDEX($A$3:$J$12,INT((ROW(L79)-ROW(L$3))/COLUMNS($A$3:$J$12))+1,MOD(ROW(L79)-ROW(L$3),COLUMNS($A$3:$J$12))+1)</f>
        <v>5406</v>
      </c>
      <c r="M79" s="14">
        <f t="shared" si="5"/>
        <v>3</v>
      </c>
      <c r="N79" s="8"/>
      <c r="O79" s="16">
        <v>77</v>
      </c>
      <c r="P79" s="17">
        <v>5406</v>
      </c>
      <c r="Q79" s="18">
        <f t="shared" si="6"/>
        <v>-15.770000000001346</v>
      </c>
      <c r="R79" s="18">
        <f t="shared" si="7"/>
        <v>248.69290000004244</v>
      </c>
      <c r="S79" s="18">
        <f t="shared" si="8"/>
        <v>15.770000000001346</v>
      </c>
      <c r="T79" s="27"/>
    </row>
    <row r="80" spans="9:20" x14ac:dyDescent="0.25">
      <c r="I80" s="6"/>
      <c r="J80" s="6"/>
      <c r="K80" s="6"/>
      <c r="L80" s="14" cm="1">
        <f t="array" ref="L80">INDEX($A$3:$J$12,INT((ROW(L80)-ROW(L$3))/COLUMNS($A$3:$J$12))+1,MOD(ROW(L80)-ROW(L$3),COLUMNS($A$3:$J$12))+1)</f>
        <v>5342</v>
      </c>
      <c r="M80" s="14">
        <f t="shared" si="5"/>
        <v>1</v>
      </c>
      <c r="N80" s="8"/>
      <c r="O80" s="16">
        <v>78</v>
      </c>
      <c r="P80" s="17">
        <v>5342</v>
      </c>
      <c r="Q80" s="18">
        <f t="shared" si="6"/>
        <v>-79.770000000001346</v>
      </c>
      <c r="R80" s="18">
        <f t="shared" si="7"/>
        <v>6363.252900000215</v>
      </c>
      <c r="S80" s="18">
        <f t="shared" si="8"/>
        <v>79.770000000001346</v>
      </c>
      <c r="T80" s="27"/>
    </row>
    <row r="81" spans="9:20" x14ac:dyDescent="0.25">
      <c r="I81" s="6"/>
      <c r="J81" s="6"/>
      <c r="K81" s="6"/>
      <c r="L81" s="14" cm="1">
        <f t="array" ref="L81">INDEX($A$3:$J$12,INT((ROW(L81)-ROW(L$3))/COLUMNS($A$3:$J$12))+1,MOD(ROW(L81)-ROW(L$3),COLUMNS($A$3:$J$12))+1)</f>
        <v>5452</v>
      </c>
      <c r="M81" s="14">
        <f t="shared" si="5"/>
        <v>1</v>
      </c>
      <c r="N81" s="8"/>
      <c r="O81" s="16">
        <v>79</v>
      </c>
      <c r="P81" s="17">
        <v>5452</v>
      </c>
      <c r="Q81" s="18">
        <f t="shared" si="6"/>
        <v>30.229999999998654</v>
      </c>
      <c r="R81" s="18">
        <f t="shared" si="7"/>
        <v>913.85289999991858</v>
      </c>
      <c r="S81" s="18">
        <f t="shared" si="8"/>
        <v>30.229999999998654</v>
      </c>
      <c r="T81" s="27"/>
    </row>
    <row r="82" spans="9:20" x14ac:dyDescent="0.25">
      <c r="I82" s="6"/>
      <c r="J82" s="6"/>
      <c r="K82" s="6"/>
      <c r="L82" s="14" cm="1">
        <f t="array" ref="L82">INDEX($A$3:$J$12,INT((ROW(L82)-ROW(L$3))/COLUMNS($A$3:$J$12))+1,MOD(ROW(L82)-ROW(L$3),COLUMNS($A$3:$J$12))+1)</f>
        <v>5420</v>
      </c>
      <c r="M82" s="14">
        <f t="shared" si="5"/>
        <v>2</v>
      </c>
      <c r="N82" s="8"/>
      <c r="O82" s="16">
        <v>80</v>
      </c>
      <c r="P82" s="88">
        <v>5420</v>
      </c>
      <c r="Q82" s="18">
        <f t="shared" si="6"/>
        <v>-1.7700000000013461</v>
      </c>
      <c r="R82" s="18">
        <f t="shared" si="7"/>
        <v>3.1329000000047649</v>
      </c>
      <c r="S82" s="18">
        <f t="shared" si="8"/>
        <v>1.7700000000013461</v>
      </c>
      <c r="T82" s="27"/>
    </row>
    <row r="83" spans="9:20" x14ac:dyDescent="0.25">
      <c r="L83" s="14" cm="1">
        <f t="array" ref="L83">INDEX($A$3:$J$12,INT((ROW(L83)-ROW(L$3))/COLUMNS($A$3:$J$12))+1,MOD(ROW(L83)-ROW(L$3),COLUMNS($A$3:$J$12))+1)</f>
        <v>5458</v>
      </c>
      <c r="M83" s="14">
        <f t="shared" si="5"/>
        <v>1</v>
      </c>
      <c r="N83" s="6"/>
      <c r="O83" s="89">
        <v>81</v>
      </c>
      <c r="P83" s="80">
        <v>5458</v>
      </c>
      <c r="Q83" s="87">
        <f t="shared" si="6"/>
        <v>36.229999999998654</v>
      </c>
      <c r="R83" s="18">
        <f t="shared" si="7"/>
        <v>1312.6128999999025</v>
      </c>
      <c r="S83" s="18">
        <f t="shared" si="8"/>
        <v>36.229999999998654</v>
      </c>
    </row>
    <row r="84" spans="9:20" x14ac:dyDescent="0.25">
      <c r="L84" s="14" cm="1">
        <f t="array" ref="L84">INDEX($A$3:$J$12,INT((ROW(L84)-ROW(L$3))/COLUMNS($A$3:$J$12))+1,MOD(ROW(L84)-ROW(L$3),COLUMNS($A$3:$J$12))+1)</f>
        <v>5485</v>
      </c>
      <c r="M84" s="14">
        <f t="shared" si="5"/>
        <v>1</v>
      </c>
      <c r="N84" s="6"/>
      <c r="O84" s="89">
        <v>82</v>
      </c>
      <c r="P84" s="80">
        <v>5485</v>
      </c>
      <c r="Q84" s="87">
        <f t="shared" si="6"/>
        <v>63.229999999998654</v>
      </c>
      <c r="R84" s="18">
        <f t="shared" si="7"/>
        <v>3998.0328999998296</v>
      </c>
      <c r="S84" s="18">
        <f t="shared" si="8"/>
        <v>63.229999999998654</v>
      </c>
    </row>
    <row r="85" spans="9:20" x14ac:dyDescent="0.25">
      <c r="L85" s="14" cm="1">
        <f t="array" ref="L85">INDEX($A$3:$J$12,INT((ROW(L85)-ROW(L$3))/COLUMNS($A$3:$J$12))+1,MOD(ROW(L85)-ROW(L$3),COLUMNS($A$3:$J$12))+1)</f>
        <v>5431</v>
      </c>
      <c r="M85" s="14">
        <f t="shared" si="5"/>
        <v>4</v>
      </c>
      <c r="N85" s="6"/>
      <c r="O85" s="89">
        <v>83</v>
      </c>
      <c r="P85" s="80">
        <v>5431</v>
      </c>
      <c r="Q85" s="87">
        <f t="shared" si="6"/>
        <v>9.2299999999986539</v>
      </c>
      <c r="R85" s="18">
        <f t="shared" si="7"/>
        <v>85.192899999975154</v>
      </c>
      <c r="S85" s="18">
        <f t="shared" si="8"/>
        <v>9.2299999999986539</v>
      </c>
    </row>
    <row r="86" spans="9:20" x14ac:dyDescent="0.25">
      <c r="L86" s="14" cm="1">
        <f t="array" ref="L86">INDEX($A$3:$J$12,INT((ROW(L86)-ROW(L$3))/COLUMNS($A$3:$J$12))+1,MOD(ROW(L86)-ROW(L$3),COLUMNS($A$3:$J$12))+1)</f>
        <v>5416</v>
      </c>
      <c r="M86" s="14">
        <f t="shared" si="5"/>
        <v>4</v>
      </c>
      <c r="N86" s="6"/>
      <c r="O86" s="89">
        <v>84</v>
      </c>
      <c r="P86" s="80">
        <v>5416</v>
      </c>
      <c r="Q86" s="87">
        <f t="shared" si="6"/>
        <v>-5.7700000000013461</v>
      </c>
      <c r="R86" s="18">
        <f t="shared" si="7"/>
        <v>33.292900000015536</v>
      </c>
      <c r="S86" s="18">
        <f t="shared" si="8"/>
        <v>5.7700000000013461</v>
      </c>
    </row>
    <row r="87" spans="9:20" x14ac:dyDescent="0.25">
      <c r="L87" s="14" cm="1">
        <f t="array" ref="L87">INDEX($A$3:$J$12,INT((ROW(L87)-ROW(L$3))/COLUMNS($A$3:$J$12))+1,MOD(ROW(L87)-ROW(L$3),COLUMNS($A$3:$J$12))+1)</f>
        <v>5431</v>
      </c>
      <c r="M87" s="14">
        <f t="shared" si="5"/>
        <v>4</v>
      </c>
      <c r="N87" s="6"/>
      <c r="O87" s="89">
        <v>85</v>
      </c>
      <c r="P87" s="80">
        <v>5431</v>
      </c>
      <c r="Q87" s="87">
        <f t="shared" si="6"/>
        <v>9.2299999999986539</v>
      </c>
      <c r="R87" s="18">
        <f t="shared" si="7"/>
        <v>85.192899999975154</v>
      </c>
      <c r="S87" s="18">
        <f t="shared" si="8"/>
        <v>9.2299999999986539</v>
      </c>
    </row>
    <row r="88" spans="9:20" x14ac:dyDescent="0.25">
      <c r="L88" s="14" cm="1">
        <f t="array" ref="L88">INDEX($A$3:$J$12,INT((ROW(L88)-ROW(L$3))/COLUMNS($A$3:$J$12))+1,MOD(ROW(L88)-ROW(L$3),COLUMNS($A$3:$J$12))+1)</f>
        <v>5390</v>
      </c>
      <c r="M88" s="14">
        <f t="shared" si="5"/>
        <v>1</v>
      </c>
      <c r="N88" s="6"/>
      <c r="O88" s="89">
        <v>86</v>
      </c>
      <c r="P88" s="80">
        <v>5390</v>
      </c>
      <c r="Q88" s="87">
        <f t="shared" si="6"/>
        <v>-31.770000000001346</v>
      </c>
      <c r="R88" s="18" t="s">
        <v>40</v>
      </c>
      <c r="S88" s="18">
        <f t="shared" si="8"/>
        <v>31.770000000001346</v>
      </c>
    </row>
    <row r="89" spans="9:20" x14ac:dyDescent="0.25">
      <c r="L89" s="14" cm="1">
        <f t="array" ref="L89">INDEX($A$3:$J$12,INT((ROW(L89)-ROW(L$3))/COLUMNS($A$3:$J$12))+1,MOD(ROW(L89)-ROW(L$3),COLUMNS($A$3:$J$12))+1)</f>
        <v>5399</v>
      </c>
      <c r="M89" s="14">
        <f t="shared" si="5"/>
        <v>3</v>
      </c>
      <c r="N89" s="6"/>
      <c r="O89" s="89">
        <v>87</v>
      </c>
      <c r="P89" s="80">
        <v>5399</v>
      </c>
      <c r="Q89" s="87">
        <f t="shared" si="6"/>
        <v>-22.770000000001346</v>
      </c>
      <c r="R89" s="18">
        <f t="shared" si="7"/>
        <v>518.47290000006126</v>
      </c>
      <c r="S89" s="18">
        <f t="shared" si="8"/>
        <v>22.770000000001346</v>
      </c>
    </row>
    <row r="90" spans="9:20" x14ac:dyDescent="0.25">
      <c r="L90" s="14" cm="1">
        <f t="array" ref="L90">INDEX($A$3:$J$12,INT((ROW(L90)-ROW(L$3))/COLUMNS($A$3:$J$12))+1,MOD(ROW(L90)-ROW(L$3),COLUMNS($A$3:$J$12))+1)</f>
        <v>5435</v>
      </c>
      <c r="M90" s="14">
        <f t="shared" si="5"/>
        <v>2</v>
      </c>
      <c r="N90" s="6"/>
      <c r="O90" s="89">
        <v>88</v>
      </c>
      <c r="P90" s="80">
        <v>5435</v>
      </c>
      <c r="Q90" s="87">
        <f t="shared" si="6"/>
        <v>13.229999999998654</v>
      </c>
      <c r="R90" s="18">
        <f t="shared" si="7"/>
        <v>175.03289999996437</v>
      </c>
      <c r="S90" s="18">
        <f t="shared" si="8"/>
        <v>13.229999999998654</v>
      </c>
    </row>
    <row r="91" spans="9:20" x14ac:dyDescent="0.25">
      <c r="L91" s="14" cm="1">
        <f t="array" ref="L91">INDEX($A$3:$J$12,INT((ROW(L91)-ROW(L$3))/COLUMNS($A$3:$J$12))+1,MOD(ROW(L91)-ROW(L$3),COLUMNS($A$3:$J$12))+1)</f>
        <v>5387</v>
      </c>
      <c r="M91" s="14">
        <f t="shared" si="5"/>
        <v>2</v>
      </c>
      <c r="N91" s="6"/>
      <c r="O91" s="89">
        <v>89</v>
      </c>
      <c r="P91" s="80">
        <v>5387</v>
      </c>
      <c r="Q91" s="87">
        <f t="shared" si="6"/>
        <v>-34.770000000001346</v>
      </c>
      <c r="R91" s="18">
        <f t="shared" si="7"/>
        <v>1208.9529000000937</v>
      </c>
      <c r="S91" s="18">
        <f t="shared" si="8"/>
        <v>34.770000000001346</v>
      </c>
    </row>
    <row r="92" spans="9:20" x14ac:dyDescent="0.25">
      <c r="L92" s="14" cm="1">
        <f t="array" ref="L92">INDEX($A$3:$J$12,INT((ROW(L92)-ROW(L$3))/COLUMNS($A$3:$J$12))+1,MOD(ROW(L92)-ROW(L$3),COLUMNS($A$3:$J$12))+1)</f>
        <v>5462</v>
      </c>
      <c r="M92" s="14">
        <f t="shared" si="5"/>
        <v>1</v>
      </c>
      <c r="N92" s="6"/>
      <c r="O92" s="89">
        <v>90</v>
      </c>
      <c r="P92" s="80">
        <v>5462</v>
      </c>
      <c r="Q92" s="87">
        <f t="shared" si="6"/>
        <v>40.229999999998654</v>
      </c>
      <c r="R92" s="18">
        <f t="shared" si="7"/>
        <v>1618.4528999998918</v>
      </c>
      <c r="S92" s="18">
        <f t="shared" si="8"/>
        <v>40.229999999998654</v>
      </c>
    </row>
    <row r="93" spans="9:20" x14ac:dyDescent="0.25">
      <c r="L93" s="14" cm="1">
        <f t="array" ref="L93">INDEX($A$3:$J$12,INT((ROW(L93)-ROW(L$3))/COLUMNS($A$3:$J$12))+1,MOD(ROW(L93)-ROW(L$3),COLUMNS($A$3:$J$12))+1)</f>
        <v>5383</v>
      </c>
      <c r="M93" s="14">
        <f t="shared" si="5"/>
        <v>1</v>
      </c>
      <c r="N93" s="6"/>
      <c r="O93" s="89">
        <v>91</v>
      </c>
      <c r="P93" s="80">
        <v>5383</v>
      </c>
      <c r="Q93" s="87">
        <f t="shared" si="6"/>
        <v>-38.770000000001346</v>
      </c>
      <c r="R93" s="18">
        <f t="shared" si="7"/>
        <v>1503.1129000001044</v>
      </c>
      <c r="S93" s="18">
        <f t="shared" si="8"/>
        <v>38.770000000001346</v>
      </c>
    </row>
    <row r="94" spans="9:20" x14ac:dyDescent="0.25">
      <c r="L94" s="14" cm="1">
        <f t="array" ref="L94">INDEX($A$3:$J$12,INT((ROW(L94)-ROW(L$3))/COLUMNS($A$3:$J$12))+1,MOD(ROW(L94)-ROW(L$3),COLUMNS($A$3:$J$12))+1)</f>
        <v>5401</v>
      </c>
      <c r="M94" s="14">
        <f t="shared" si="5"/>
        <v>3</v>
      </c>
      <c r="N94" s="6"/>
      <c r="O94" s="89">
        <v>92</v>
      </c>
      <c r="P94" s="80">
        <v>5401</v>
      </c>
      <c r="Q94" s="87">
        <f t="shared" si="6"/>
        <v>-20.770000000001346</v>
      </c>
      <c r="R94" s="18">
        <f t="shared" si="7"/>
        <v>431.39290000005593</v>
      </c>
      <c r="S94" s="18">
        <f t="shared" si="8"/>
        <v>20.770000000001346</v>
      </c>
    </row>
    <row r="95" spans="9:20" x14ac:dyDescent="0.25">
      <c r="L95" s="14" cm="1">
        <f t="array" ref="L95">INDEX($A$3:$J$12,INT((ROW(L95)-ROW(L$3))/COLUMNS($A$3:$J$12))+1,MOD(ROW(L95)-ROW(L$3),COLUMNS($A$3:$J$12))+1)</f>
        <v>5407</v>
      </c>
      <c r="M95" s="14">
        <f t="shared" si="5"/>
        <v>2</v>
      </c>
      <c r="N95" s="6"/>
      <c r="O95" s="89">
        <v>93</v>
      </c>
      <c r="P95" s="80">
        <v>5407</v>
      </c>
      <c r="Q95" s="87">
        <f t="shared" si="6"/>
        <v>-14.770000000001346</v>
      </c>
      <c r="R95" s="18">
        <f t="shared" si="7"/>
        <v>218.15290000003975</v>
      </c>
      <c r="S95" s="18">
        <f t="shared" si="8"/>
        <v>14.770000000001346</v>
      </c>
    </row>
    <row r="96" spans="9:20" x14ac:dyDescent="0.25">
      <c r="L96" s="14" cm="1">
        <f t="array" ref="L96">INDEX($A$3:$J$12,INT((ROW(L96)-ROW(L$3))/COLUMNS($A$3:$J$12))+1,MOD(ROW(L96)-ROW(L$3),COLUMNS($A$3:$J$12))+1)</f>
        <v>5385</v>
      </c>
      <c r="M96" s="14">
        <f t="shared" si="5"/>
        <v>1</v>
      </c>
      <c r="N96" s="6"/>
      <c r="O96" s="89">
        <v>94</v>
      </c>
      <c r="P96" s="80">
        <v>5385</v>
      </c>
      <c r="Q96" s="87">
        <f t="shared" si="6"/>
        <v>-36.770000000001346</v>
      </c>
      <c r="R96" s="18">
        <f t="shared" si="7"/>
        <v>1352.0329000000991</v>
      </c>
      <c r="S96" s="18">
        <f t="shared" si="8"/>
        <v>36.770000000001346</v>
      </c>
    </row>
    <row r="97" spans="12:19" x14ac:dyDescent="0.25">
      <c r="L97" s="14" cm="1">
        <f t="array" ref="L97">INDEX($A$3:$J$12,INT((ROW(L97)-ROW(L$3))/COLUMNS($A$3:$J$12))+1,MOD(ROW(L97)-ROW(L$3),COLUMNS($A$3:$J$12))+1)</f>
        <v>5440</v>
      </c>
      <c r="M97" s="14">
        <f t="shared" si="5"/>
        <v>3</v>
      </c>
      <c r="N97" s="6"/>
      <c r="O97" s="89">
        <v>95</v>
      </c>
      <c r="P97" s="80">
        <v>5440</v>
      </c>
      <c r="Q97" s="87">
        <f t="shared" si="6"/>
        <v>18.229999999998654</v>
      </c>
      <c r="R97" s="18">
        <f t="shared" si="7"/>
        <v>332.33289999995094</v>
      </c>
      <c r="S97" s="18">
        <f t="shared" si="8"/>
        <v>18.229999999998654</v>
      </c>
    </row>
    <row r="98" spans="12:19" x14ac:dyDescent="0.25">
      <c r="L98" s="14" cm="1">
        <f t="array" ref="L98">INDEX($A$3:$J$12,INT((ROW(L98)-ROW(L$3))/COLUMNS($A$3:$J$12))+1,MOD(ROW(L98)-ROW(L$3),COLUMNS($A$3:$J$12))+1)</f>
        <v>5422</v>
      </c>
      <c r="M98" s="14">
        <f t="shared" si="5"/>
        <v>3</v>
      </c>
      <c r="N98" s="6"/>
      <c r="O98" s="89">
        <v>96</v>
      </c>
      <c r="P98" s="80">
        <v>5422</v>
      </c>
      <c r="Q98" s="87">
        <f t="shared" si="6"/>
        <v>0.22999999999865395</v>
      </c>
      <c r="R98" s="18">
        <f t="shared" si="7"/>
        <v>5.2899999999380817E-2</v>
      </c>
      <c r="S98" s="18">
        <f t="shared" si="8"/>
        <v>0.22999999999865395</v>
      </c>
    </row>
    <row r="99" spans="12:19" x14ac:dyDescent="0.25">
      <c r="L99" s="14" cm="1">
        <f t="array" ref="L99">INDEX($A$3:$J$12,INT((ROW(L99)-ROW(L$3))/COLUMNS($A$3:$J$12))+1,MOD(ROW(L99)-ROW(L$3),COLUMNS($A$3:$J$12))+1)</f>
        <v>5448</v>
      </c>
      <c r="M99" s="14">
        <f t="shared" si="5"/>
        <v>1</v>
      </c>
      <c r="N99" s="6"/>
      <c r="O99" s="89">
        <v>97</v>
      </c>
      <c r="P99" s="80">
        <v>5448</v>
      </c>
      <c r="Q99" s="87">
        <f t="shared" si="6"/>
        <v>26.229999999998654</v>
      </c>
      <c r="R99" s="18">
        <f t="shared" si="7"/>
        <v>688.01289999992935</v>
      </c>
      <c r="S99" s="18">
        <f t="shared" si="8"/>
        <v>26.229999999998654</v>
      </c>
    </row>
    <row r="100" spans="12:19" x14ac:dyDescent="0.25">
      <c r="L100" s="14" cm="1">
        <f t="array" ref="L100">INDEX($A$3:$J$12,INT((ROW(L100)-ROW(L$3))/COLUMNS($A$3:$J$12))+1,MOD(ROW(L100)-ROW(L$3),COLUMNS($A$3:$J$12))+1)</f>
        <v>5366</v>
      </c>
      <c r="M100" s="14">
        <f t="shared" si="5"/>
        <v>1</v>
      </c>
      <c r="N100" s="6"/>
      <c r="O100" s="89">
        <v>98</v>
      </c>
      <c r="P100" s="80">
        <v>5366</v>
      </c>
      <c r="Q100" s="87">
        <f t="shared" si="6"/>
        <v>-55.770000000001346</v>
      </c>
      <c r="R100" s="18">
        <f t="shared" si="7"/>
        <v>3110.29290000015</v>
      </c>
      <c r="S100" s="18">
        <f t="shared" si="8"/>
        <v>55.770000000001346</v>
      </c>
    </row>
    <row r="101" spans="12:19" x14ac:dyDescent="0.25">
      <c r="L101" s="14" cm="1">
        <f t="array" ref="L101">INDEX($A$3:$J$12,INT((ROW(L101)-ROW(L$3))/COLUMNS($A$3:$J$12))+1,MOD(ROW(L101)-ROW(L$3),COLUMNS($A$3:$J$12))+1)</f>
        <v>5430</v>
      </c>
      <c r="M101" s="14">
        <f t="shared" si="5"/>
        <v>1</v>
      </c>
      <c r="N101" s="6"/>
      <c r="O101" s="89">
        <v>99</v>
      </c>
      <c r="P101" s="80">
        <v>5430</v>
      </c>
      <c r="Q101" s="87">
        <f t="shared" si="6"/>
        <v>8.2299999999986539</v>
      </c>
      <c r="R101" s="18">
        <f t="shared" si="7"/>
        <v>67.732899999977846</v>
      </c>
      <c r="S101" s="18">
        <f t="shared" si="8"/>
        <v>8.2299999999986539</v>
      </c>
    </row>
    <row r="102" spans="12:19" x14ac:dyDescent="0.25">
      <c r="L102" s="14" cm="1">
        <f t="array" ref="L102">INDEX($A$3:$J$12,INT((ROW(L102)-ROW(L$3))/COLUMNS($A$3:$J$12))+1,MOD(ROW(L102)-ROW(L$3),COLUMNS($A$3:$J$12))+1)</f>
        <v>5418</v>
      </c>
      <c r="M102" s="14">
        <f t="shared" si="5"/>
        <v>2</v>
      </c>
      <c r="N102" s="6"/>
      <c r="O102" s="89">
        <v>100</v>
      </c>
      <c r="P102" s="80">
        <v>5418</v>
      </c>
      <c r="Q102" s="87">
        <f t="shared" si="6"/>
        <v>-3.7700000000013461</v>
      </c>
      <c r="R102" s="18">
        <f t="shared" si="7"/>
        <v>14.21290000001015</v>
      </c>
      <c r="S102" s="18">
        <f t="shared" si="8"/>
        <v>3.7700000000013461</v>
      </c>
    </row>
    <row r="103" spans="12:19" x14ac:dyDescent="0.25">
      <c r="O103" s="31"/>
      <c r="P103" s="50"/>
    </row>
  </sheetData>
  <autoFilter ref="P2:P82" xr:uid="{9C712CA6-FC94-4F4E-90EE-FECB0D61A709}">
    <sortState xmlns:xlrd2="http://schemas.microsoft.com/office/spreadsheetml/2017/richdata2" ref="P3:P82">
      <sortCondition ref="P2:P82"/>
    </sortState>
  </autoFilter>
  <mergeCells count="33">
    <mergeCell ref="B22:D22"/>
    <mergeCell ref="L1:M1"/>
    <mergeCell ref="O1:S1"/>
    <mergeCell ref="B14:D14"/>
    <mergeCell ref="B15:D15"/>
    <mergeCell ref="B16:D16"/>
    <mergeCell ref="B17:D17"/>
    <mergeCell ref="B19:D19"/>
    <mergeCell ref="B20:D20"/>
    <mergeCell ref="B21:D21"/>
    <mergeCell ref="B34:D34"/>
    <mergeCell ref="B23:D23"/>
    <mergeCell ref="B24:D24"/>
    <mergeCell ref="B25:D25"/>
    <mergeCell ref="B26:D26"/>
    <mergeCell ref="B27:D27"/>
    <mergeCell ref="B28:D28"/>
    <mergeCell ref="B41:D41"/>
    <mergeCell ref="B42:D42"/>
    <mergeCell ref="B43:D43"/>
    <mergeCell ref="A2:J2"/>
    <mergeCell ref="A1:J1"/>
    <mergeCell ref="B35:D35"/>
    <mergeCell ref="B36:D36"/>
    <mergeCell ref="B37:D37"/>
    <mergeCell ref="B38:D38"/>
    <mergeCell ref="B39:D39"/>
    <mergeCell ref="B40:D40"/>
    <mergeCell ref="B29:D29"/>
    <mergeCell ref="B30:D30"/>
    <mergeCell ref="B31:D31"/>
    <mergeCell ref="B32:D32"/>
    <mergeCell ref="B33:D3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647AA-87B2-456B-A4B5-5977F31738EE}">
  <dimension ref="A1:J11"/>
  <sheetViews>
    <sheetView workbookViewId="0">
      <selection activeCell="A2" sqref="A2"/>
    </sheetView>
  </sheetViews>
  <sheetFormatPr defaultRowHeight="15" x14ac:dyDescent="0.25"/>
  <cols>
    <col min="1" max="1" width="15.5703125" customWidth="1"/>
    <col min="2" max="10" width="5" bestFit="1" customWidth="1"/>
  </cols>
  <sheetData>
    <row r="1" spans="1:10" x14ac:dyDescent="0.25">
      <c r="A1" s="266" t="s">
        <v>118</v>
      </c>
      <c r="B1" s="266"/>
      <c r="C1" s="266"/>
      <c r="D1" s="266"/>
      <c r="E1" s="266"/>
      <c r="F1" s="266"/>
      <c r="G1" s="266"/>
      <c r="H1" s="266"/>
      <c r="I1" s="266"/>
      <c r="J1" s="266"/>
    </row>
    <row r="2" spans="1:10" x14ac:dyDescent="0.25">
      <c r="A2">
        <v>5408</v>
      </c>
      <c r="B2">
        <v>5431</v>
      </c>
      <c r="C2">
        <v>5475</v>
      </c>
      <c r="D2">
        <v>5442</v>
      </c>
      <c r="E2">
        <v>5376</v>
      </c>
      <c r="F2">
        <v>5388</v>
      </c>
      <c r="G2">
        <v>5459</v>
      </c>
      <c r="H2">
        <v>5422</v>
      </c>
      <c r="I2">
        <v>5416</v>
      </c>
      <c r="J2">
        <v>5435</v>
      </c>
    </row>
    <row r="3" spans="1:10" x14ac:dyDescent="0.25">
      <c r="A3">
        <v>5420</v>
      </c>
      <c r="B3">
        <v>5429</v>
      </c>
      <c r="C3">
        <v>5401</v>
      </c>
      <c r="D3">
        <v>5446</v>
      </c>
      <c r="E3">
        <v>5487</v>
      </c>
      <c r="F3">
        <v>5416</v>
      </c>
      <c r="G3">
        <v>5382</v>
      </c>
      <c r="H3">
        <v>5357</v>
      </c>
      <c r="I3">
        <v>5388</v>
      </c>
      <c r="J3">
        <v>5457</v>
      </c>
    </row>
    <row r="4" spans="1:10" x14ac:dyDescent="0.25">
      <c r="A4">
        <v>5407</v>
      </c>
      <c r="B4">
        <v>5469</v>
      </c>
      <c r="C4">
        <v>5416</v>
      </c>
      <c r="D4">
        <v>5377</v>
      </c>
      <c r="E4">
        <v>5454</v>
      </c>
      <c r="F4">
        <v>5375</v>
      </c>
      <c r="G4">
        <v>5409</v>
      </c>
      <c r="H4">
        <v>5459</v>
      </c>
      <c r="I4">
        <v>5445</v>
      </c>
      <c r="J4">
        <v>5429</v>
      </c>
    </row>
    <row r="5" spans="1:10" x14ac:dyDescent="0.25">
      <c r="A5">
        <v>5463</v>
      </c>
      <c r="B5">
        <v>5408</v>
      </c>
      <c r="C5">
        <v>5481</v>
      </c>
      <c r="D5">
        <v>5453</v>
      </c>
      <c r="E5">
        <v>5422</v>
      </c>
      <c r="F5">
        <v>5354</v>
      </c>
      <c r="G5">
        <v>5421</v>
      </c>
      <c r="H5">
        <v>5406</v>
      </c>
      <c r="I5">
        <v>5444</v>
      </c>
      <c r="J5">
        <v>5466</v>
      </c>
    </row>
    <row r="6" spans="1:10" x14ac:dyDescent="0.25">
      <c r="A6">
        <v>5399</v>
      </c>
      <c r="B6">
        <v>5391</v>
      </c>
      <c r="C6">
        <v>5477</v>
      </c>
      <c r="D6">
        <v>5447</v>
      </c>
      <c r="E6">
        <v>5329</v>
      </c>
      <c r="F6">
        <v>5473</v>
      </c>
      <c r="G6">
        <v>5423</v>
      </c>
      <c r="H6">
        <v>5441</v>
      </c>
      <c r="I6">
        <v>5412</v>
      </c>
      <c r="J6">
        <v>5384</v>
      </c>
    </row>
    <row r="7" spans="1:10" x14ac:dyDescent="0.25">
      <c r="A7">
        <v>5445</v>
      </c>
      <c r="B7">
        <v>5436</v>
      </c>
      <c r="C7">
        <v>5454</v>
      </c>
      <c r="D7">
        <v>5453</v>
      </c>
      <c r="E7">
        <v>5428</v>
      </c>
      <c r="F7">
        <v>5418</v>
      </c>
      <c r="G7">
        <v>5465</v>
      </c>
      <c r="H7">
        <v>5427</v>
      </c>
      <c r="I7">
        <v>5421</v>
      </c>
      <c r="J7">
        <v>5396</v>
      </c>
    </row>
    <row r="8" spans="1:10" x14ac:dyDescent="0.25">
      <c r="A8">
        <v>5381</v>
      </c>
      <c r="B8">
        <v>5425</v>
      </c>
      <c r="C8">
        <v>5388</v>
      </c>
      <c r="D8">
        <v>5388</v>
      </c>
      <c r="E8">
        <v>5378</v>
      </c>
      <c r="F8">
        <v>5481</v>
      </c>
      <c r="G8">
        <v>5387</v>
      </c>
      <c r="H8">
        <v>5440</v>
      </c>
      <c r="I8">
        <v>5482</v>
      </c>
      <c r="J8">
        <v>5406</v>
      </c>
    </row>
    <row r="9" spans="1:10" x14ac:dyDescent="0.25">
      <c r="A9">
        <v>5401</v>
      </c>
      <c r="B9">
        <v>5411</v>
      </c>
      <c r="C9">
        <v>5399</v>
      </c>
      <c r="D9">
        <v>5431</v>
      </c>
      <c r="E9">
        <v>5440</v>
      </c>
      <c r="F9">
        <v>5413</v>
      </c>
      <c r="G9">
        <v>5406</v>
      </c>
      <c r="H9">
        <v>5342</v>
      </c>
      <c r="I9">
        <v>5452</v>
      </c>
      <c r="J9">
        <v>5420</v>
      </c>
    </row>
    <row r="10" spans="1:10" x14ac:dyDescent="0.25">
      <c r="A10">
        <v>5458</v>
      </c>
      <c r="B10">
        <v>5485</v>
      </c>
      <c r="C10">
        <v>5431</v>
      </c>
      <c r="D10">
        <v>5416</v>
      </c>
      <c r="E10">
        <v>5431</v>
      </c>
      <c r="F10">
        <v>5390</v>
      </c>
      <c r="G10">
        <v>5399</v>
      </c>
      <c r="H10">
        <v>5435</v>
      </c>
      <c r="I10">
        <v>5387</v>
      </c>
      <c r="J10">
        <v>5462</v>
      </c>
    </row>
    <row r="11" spans="1:10" x14ac:dyDescent="0.25">
      <c r="A11">
        <v>5383</v>
      </c>
      <c r="B11">
        <v>5401</v>
      </c>
      <c r="C11">
        <v>5407</v>
      </c>
      <c r="D11">
        <v>5385</v>
      </c>
      <c r="E11">
        <v>5440</v>
      </c>
      <c r="F11">
        <v>5422</v>
      </c>
      <c r="G11">
        <v>5448</v>
      </c>
      <c r="H11">
        <v>5366</v>
      </c>
      <c r="I11">
        <v>5430</v>
      </c>
      <c r="J11">
        <v>5418</v>
      </c>
    </row>
  </sheetData>
  <mergeCells count="1">
    <mergeCell ref="A1:J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CD355-BAD8-48ED-B344-BA69BDB02D3C}">
  <dimension ref="A1:U90"/>
  <sheetViews>
    <sheetView topLeftCell="A3" workbookViewId="0">
      <selection activeCell="P11" sqref="P11"/>
    </sheetView>
  </sheetViews>
  <sheetFormatPr defaultRowHeight="15" x14ac:dyDescent="0.25"/>
  <cols>
    <col min="1" max="3" width="21.140625" style="56" customWidth="1"/>
    <col min="4" max="4" width="29.85546875" bestFit="1" customWidth="1"/>
    <col min="5" max="5" width="9.5703125" bestFit="1" customWidth="1"/>
    <col min="6" max="6" width="9.140625" style="53"/>
    <col min="7" max="7" width="3" style="53" customWidth="1"/>
    <col min="8" max="8" width="9.140625" style="53" hidden="1" customWidth="1"/>
    <col min="10" max="10" width="11.42578125" bestFit="1" customWidth="1"/>
    <col min="12" max="12" width="19.28515625" customWidth="1"/>
    <col min="13" max="13" width="20.5703125" bestFit="1" customWidth="1"/>
    <col min="14" max="14" width="14.140625" customWidth="1"/>
    <col min="15" max="15" width="20.5703125" bestFit="1" customWidth="1"/>
    <col min="16" max="16" width="11.28515625" bestFit="1" customWidth="1"/>
    <col min="17" max="17" width="12" bestFit="1" customWidth="1"/>
    <col min="18" max="18" width="20.5703125" customWidth="1"/>
    <col min="19" max="19" width="7.28515625" customWidth="1"/>
    <col min="20" max="20" width="24.7109375" style="55" customWidth="1"/>
  </cols>
  <sheetData>
    <row r="1" spans="1:21" x14ac:dyDescent="0.25">
      <c r="A1" s="270" t="s">
        <v>41</v>
      </c>
      <c r="B1" s="270"/>
      <c r="C1" s="270"/>
      <c r="D1" s="270"/>
      <c r="E1" s="271"/>
      <c r="J1" s="270" t="s">
        <v>42</v>
      </c>
      <c r="K1" s="270"/>
      <c r="L1" s="270"/>
      <c r="M1" s="270"/>
      <c r="N1" s="270"/>
      <c r="O1" s="270"/>
      <c r="P1" s="270"/>
      <c r="Q1" s="270"/>
      <c r="R1" s="270"/>
      <c r="S1" s="270"/>
      <c r="T1" s="270"/>
      <c r="U1" s="270"/>
    </row>
    <row r="2" spans="1:21" ht="30" x14ac:dyDescent="0.25">
      <c r="A2" s="54" t="s">
        <v>43</v>
      </c>
      <c r="B2" t="s">
        <v>44</v>
      </c>
      <c r="C2" s="54" t="s">
        <v>45</v>
      </c>
      <c r="M2" s="272"/>
      <c r="N2" s="272"/>
      <c r="O2" s="272"/>
      <c r="P2" s="54"/>
      <c r="Q2" s="54"/>
      <c r="R2" s="54"/>
    </row>
    <row r="3" spans="1:21" x14ac:dyDescent="0.25">
      <c r="A3" s="56">
        <v>76</v>
      </c>
      <c r="J3" t="s">
        <v>46</v>
      </c>
      <c r="L3">
        <v>245</v>
      </c>
      <c r="M3" s="272"/>
      <c r="N3" s="272"/>
      <c r="O3" s="272"/>
      <c r="P3" s="54"/>
      <c r="Q3" s="54"/>
      <c r="R3" s="54"/>
    </row>
    <row r="4" spans="1:21" x14ac:dyDescent="0.25">
      <c r="A4" s="56">
        <v>87</v>
      </c>
      <c r="J4" t="s">
        <v>47</v>
      </c>
      <c r="L4">
        <v>76</v>
      </c>
      <c r="M4" s="272"/>
      <c r="N4" s="272"/>
      <c r="O4" s="272"/>
      <c r="P4" s="54"/>
      <c r="Q4" s="54"/>
      <c r="R4" s="54"/>
    </row>
    <row r="5" spans="1:21" x14ac:dyDescent="0.25">
      <c r="A5" s="56">
        <v>97</v>
      </c>
      <c r="D5" t="s">
        <v>48</v>
      </c>
      <c r="E5" s="57">
        <f>SUM(A3:A82)/COUNT(A3:A82)</f>
        <v>162.66249999999999</v>
      </c>
      <c r="J5" t="s">
        <v>49</v>
      </c>
      <c r="K5">
        <f>A82-A3</f>
        <v>169</v>
      </c>
      <c r="M5" s="272"/>
      <c r="N5" s="272"/>
      <c r="O5" s="272"/>
      <c r="P5" s="54"/>
      <c r="Q5" s="54"/>
      <c r="R5" s="54"/>
    </row>
    <row r="6" spans="1:21" x14ac:dyDescent="0.25">
      <c r="A6" s="56">
        <v>101</v>
      </c>
      <c r="E6" s="57">
        <f>AVERAGE(A3:A82)</f>
        <v>162.66249999999999</v>
      </c>
      <c r="K6">
        <f>MAX(A3:A82)-MIN(A3:A82)</f>
        <v>169</v>
      </c>
      <c r="M6" s="272"/>
      <c r="N6" s="272"/>
      <c r="O6" s="272"/>
      <c r="P6" s="54"/>
      <c r="Q6" s="54"/>
      <c r="R6" s="54"/>
    </row>
    <row r="7" spans="1:21" x14ac:dyDescent="0.25">
      <c r="A7" s="56">
        <v>105</v>
      </c>
    </row>
    <row r="8" spans="1:21" x14ac:dyDescent="0.25">
      <c r="A8" s="56">
        <v>110</v>
      </c>
      <c r="D8" t="s">
        <v>50</v>
      </c>
      <c r="E8">
        <f>MEDIAN(A3:A82)</f>
        <v>161.5</v>
      </c>
      <c r="J8" t="s">
        <v>51</v>
      </c>
      <c r="K8">
        <f>K5/12</f>
        <v>14.083333333333334</v>
      </c>
    </row>
    <row r="9" spans="1:21" x14ac:dyDescent="0.25">
      <c r="A9" s="56">
        <v>115</v>
      </c>
      <c r="D9" t="s">
        <v>52</v>
      </c>
      <c r="K9">
        <v>15</v>
      </c>
      <c r="N9" s="58" t="s">
        <v>53</v>
      </c>
    </row>
    <row r="10" spans="1:21" x14ac:dyDescent="0.25">
      <c r="A10" s="56">
        <v>118</v>
      </c>
      <c r="J10" s="273" t="s">
        <v>54</v>
      </c>
      <c r="K10" s="273"/>
      <c r="L10" s="58" t="s">
        <v>55</v>
      </c>
      <c r="M10" s="58" t="s">
        <v>56</v>
      </c>
      <c r="N10" s="58" t="s">
        <v>57</v>
      </c>
      <c r="O10" s="60" t="s">
        <v>58</v>
      </c>
      <c r="P10" s="58" t="s">
        <v>59</v>
      </c>
      <c r="Q10" s="58" t="s">
        <v>60</v>
      </c>
      <c r="R10" s="58" t="s">
        <v>61</v>
      </c>
    </row>
    <row r="11" spans="1:21" x14ac:dyDescent="0.25">
      <c r="A11" s="56">
        <v>120</v>
      </c>
      <c r="D11" t="s">
        <v>62</v>
      </c>
      <c r="E11">
        <f>MODE(A3:A82)</f>
        <v>158</v>
      </c>
      <c r="F11" s="53" t="s">
        <v>63</v>
      </c>
      <c r="I11">
        <v>1</v>
      </c>
      <c r="J11" s="59">
        <v>76</v>
      </c>
      <c r="K11" s="58">
        <f>J11+14</f>
        <v>90</v>
      </c>
      <c r="L11" s="58">
        <v>2</v>
      </c>
      <c r="M11" s="58">
        <v>2</v>
      </c>
      <c r="N11" s="61">
        <f t="shared" ref="N11:N22" si="0">AVERAGE(J11:K11)</f>
        <v>83</v>
      </c>
      <c r="O11" s="60">
        <f>N11*L11</f>
        <v>166</v>
      </c>
      <c r="P11" s="58">
        <f t="shared" ref="P11:P22" si="1">N11-$U$11</f>
        <v>-79.125</v>
      </c>
      <c r="Q11" s="58">
        <f>P11^2</f>
        <v>6260.765625</v>
      </c>
      <c r="R11" s="58">
        <f t="shared" ref="R11:R22" si="2">Q11*L11</f>
        <v>12521.53125</v>
      </c>
      <c r="T11" s="55" t="s">
        <v>48</v>
      </c>
      <c r="U11">
        <f>O23/80</f>
        <v>162.125</v>
      </c>
    </row>
    <row r="12" spans="1:21" x14ac:dyDescent="0.25">
      <c r="A12" s="56">
        <v>121</v>
      </c>
      <c r="I12">
        <v>2</v>
      </c>
      <c r="J12" s="59">
        <f>K11+1</f>
        <v>91</v>
      </c>
      <c r="K12" s="58">
        <f>J12+14</f>
        <v>105</v>
      </c>
      <c r="L12" s="58">
        <v>3</v>
      </c>
      <c r="M12" s="58">
        <v>5</v>
      </c>
      <c r="N12" s="61">
        <f t="shared" si="0"/>
        <v>98</v>
      </c>
      <c r="O12" s="60">
        <f t="shared" ref="O12:O22" si="3">N12*L12</f>
        <v>294</v>
      </c>
      <c r="P12" s="58">
        <f t="shared" si="1"/>
        <v>-64.125</v>
      </c>
      <c r="Q12" s="58">
        <f t="shared" ref="Q12:Q22" si="4">P12^2</f>
        <v>4112.015625</v>
      </c>
      <c r="R12" s="58">
        <f t="shared" si="2"/>
        <v>12336.046875</v>
      </c>
    </row>
    <row r="13" spans="1:21" x14ac:dyDescent="0.25">
      <c r="A13" s="56">
        <v>123</v>
      </c>
      <c r="I13">
        <v>3</v>
      </c>
      <c r="J13" s="59">
        <f t="shared" ref="J13:J22" si="5">K12+1</f>
        <v>106</v>
      </c>
      <c r="K13" s="58">
        <f t="shared" ref="K13:K22" si="6">J13+14</f>
        <v>120</v>
      </c>
      <c r="L13" s="58">
        <v>4</v>
      </c>
      <c r="M13" s="58">
        <v>9</v>
      </c>
      <c r="N13" s="61">
        <f t="shared" si="0"/>
        <v>113</v>
      </c>
      <c r="O13" s="60">
        <f t="shared" si="3"/>
        <v>452</v>
      </c>
      <c r="P13" s="58">
        <f t="shared" si="1"/>
        <v>-49.125</v>
      </c>
      <c r="Q13" s="58">
        <f t="shared" si="4"/>
        <v>2413.265625</v>
      </c>
      <c r="R13" s="58">
        <f t="shared" si="2"/>
        <v>9653.0625</v>
      </c>
    </row>
    <row r="14" spans="1:21" ht="30" x14ac:dyDescent="0.25">
      <c r="A14" s="56">
        <v>131</v>
      </c>
      <c r="D14" t="s">
        <v>64</v>
      </c>
      <c r="E14">
        <f>_xlfn.VAR.S(A3:A82)</f>
        <v>1140.6314873417746</v>
      </c>
      <c r="I14">
        <v>4</v>
      </c>
      <c r="J14" s="59">
        <f t="shared" si="5"/>
        <v>121</v>
      </c>
      <c r="K14" s="58">
        <f t="shared" si="6"/>
        <v>135</v>
      </c>
      <c r="L14" s="58">
        <v>8</v>
      </c>
      <c r="M14" s="58">
        <v>17</v>
      </c>
      <c r="N14" s="61">
        <f t="shared" si="0"/>
        <v>128</v>
      </c>
      <c r="O14" s="60">
        <f t="shared" si="3"/>
        <v>1024</v>
      </c>
      <c r="P14" s="58">
        <f t="shared" si="1"/>
        <v>-34.125</v>
      </c>
      <c r="Q14" s="58">
        <f t="shared" si="4"/>
        <v>1164.515625</v>
      </c>
      <c r="R14" s="58">
        <f t="shared" si="2"/>
        <v>9316.125</v>
      </c>
      <c r="T14" s="62" t="s">
        <v>65</v>
      </c>
      <c r="U14">
        <f>150.5 + (((80/2) - 27) / 16) * 14</f>
        <v>161.875</v>
      </c>
    </row>
    <row r="15" spans="1:21" x14ac:dyDescent="0.25">
      <c r="A15" s="56">
        <v>133</v>
      </c>
      <c r="I15">
        <v>5</v>
      </c>
      <c r="J15" s="59">
        <f t="shared" si="5"/>
        <v>136</v>
      </c>
      <c r="K15" s="58">
        <f t="shared" si="6"/>
        <v>150</v>
      </c>
      <c r="L15" s="58">
        <v>10</v>
      </c>
      <c r="M15" s="58">
        <v>27</v>
      </c>
      <c r="N15" s="61">
        <f t="shared" si="0"/>
        <v>143</v>
      </c>
      <c r="O15" s="60">
        <f t="shared" si="3"/>
        <v>1430</v>
      </c>
      <c r="P15" s="58">
        <f t="shared" si="1"/>
        <v>-19.125</v>
      </c>
      <c r="Q15" s="58">
        <f t="shared" si="4"/>
        <v>365.765625</v>
      </c>
      <c r="R15" s="58">
        <f t="shared" si="2"/>
        <v>3657.65625</v>
      </c>
      <c r="T15" s="55" t="s">
        <v>66</v>
      </c>
      <c r="U15" t="s">
        <v>67</v>
      </c>
    </row>
    <row r="16" spans="1:21" x14ac:dyDescent="0.25">
      <c r="A16" s="56">
        <v>133</v>
      </c>
      <c r="D16" s="63"/>
      <c r="I16">
        <v>6</v>
      </c>
      <c r="J16" s="59">
        <f t="shared" si="5"/>
        <v>151</v>
      </c>
      <c r="K16" s="58">
        <f t="shared" si="6"/>
        <v>165</v>
      </c>
      <c r="L16" s="64">
        <v>16</v>
      </c>
      <c r="M16" s="58">
        <v>43</v>
      </c>
      <c r="N16" s="61">
        <f t="shared" si="0"/>
        <v>158</v>
      </c>
      <c r="O16" s="60">
        <f t="shared" si="3"/>
        <v>2528</v>
      </c>
      <c r="P16" s="58">
        <f t="shared" si="1"/>
        <v>-4.125</v>
      </c>
      <c r="Q16" s="58">
        <f t="shared" si="4"/>
        <v>17.015625</v>
      </c>
      <c r="R16" s="58">
        <f t="shared" si="2"/>
        <v>272.25</v>
      </c>
    </row>
    <row r="17" spans="1:21" ht="30" x14ac:dyDescent="0.25">
      <c r="A17" s="56">
        <v>134</v>
      </c>
      <c r="D17" s="63" t="s">
        <v>68</v>
      </c>
      <c r="E17">
        <f>_xlfn.STDEV.S(A3:A82)</f>
        <v>33.773236258045728</v>
      </c>
      <c r="I17">
        <v>7</v>
      </c>
      <c r="J17" s="59">
        <f t="shared" si="5"/>
        <v>166</v>
      </c>
      <c r="K17" s="58">
        <f t="shared" si="6"/>
        <v>180</v>
      </c>
      <c r="L17" s="58">
        <v>16</v>
      </c>
      <c r="M17" s="58">
        <v>59</v>
      </c>
      <c r="N17" s="61">
        <f t="shared" si="0"/>
        <v>173</v>
      </c>
      <c r="O17" s="60">
        <f t="shared" si="3"/>
        <v>2768</v>
      </c>
      <c r="P17" s="58">
        <f t="shared" si="1"/>
        <v>10.875</v>
      </c>
      <c r="Q17" s="58">
        <f t="shared" si="4"/>
        <v>118.265625</v>
      </c>
      <c r="R17" s="58">
        <f t="shared" si="2"/>
        <v>1892.25</v>
      </c>
      <c r="T17" s="55" t="s">
        <v>69</v>
      </c>
      <c r="U17" t="s">
        <v>67</v>
      </c>
    </row>
    <row r="18" spans="1:21" x14ac:dyDescent="0.25">
      <c r="A18" s="56">
        <v>135</v>
      </c>
      <c r="D18" s="63" t="s">
        <v>70</v>
      </c>
      <c r="E18">
        <f>E17/E6*100</f>
        <v>20.762767237713504</v>
      </c>
      <c r="I18">
        <v>8</v>
      </c>
      <c r="J18" s="59">
        <f t="shared" si="5"/>
        <v>181</v>
      </c>
      <c r="K18" s="58">
        <f t="shared" si="6"/>
        <v>195</v>
      </c>
      <c r="L18" s="58">
        <v>8</v>
      </c>
      <c r="M18" s="58">
        <v>67</v>
      </c>
      <c r="N18" s="61">
        <f t="shared" si="0"/>
        <v>188</v>
      </c>
      <c r="O18" s="60">
        <f t="shared" si="3"/>
        <v>1504</v>
      </c>
      <c r="P18" s="58">
        <f t="shared" si="1"/>
        <v>25.875</v>
      </c>
      <c r="Q18" s="58">
        <f t="shared" si="4"/>
        <v>669.515625</v>
      </c>
      <c r="R18" s="58">
        <f t="shared" si="2"/>
        <v>5356.125</v>
      </c>
    </row>
    <row r="19" spans="1:21" x14ac:dyDescent="0.25">
      <c r="A19" s="56">
        <v>135</v>
      </c>
      <c r="E19" s="65">
        <v>0.20760000000000001</v>
      </c>
      <c r="I19">
        <v>9</v>
      </c>
      <c r="J19" s="59">
        <f t="shared" si="5"/>
        <v>196</v>
      </c>
      <c r="K19" s="58">
        <f t="shared" si="6"/>
        <v>210</v>
      </c>
      <c r="L19" s="58">
        <v>7</v>
      </c>
      <c r="M19" s="58">
        <v>74</v>
      </c>
      <c r="N19" s="61">
        <f t="shared" si="0"/>
        <v>203</v>
      </c>
      <c r="O19" s="60">
        <f t="shared" si="3"/>
        <v>1421</v>
      </c>
      <c r="P19" s="58">
        <f t="shared" si="1"/>
        <v>40.875</v>
      </c>
      <c r="Q19" s="58">
        <f t="shared" si="4"/>
        <v>1670.765625</v>
      </c>
      <c r="R19" s="58">
        <f t="shared" si="2"/>
        <v>11695.359375</v>
      </c>
    </row>
    <row r="20" spans="1:21" x14ac:dyDescent="0.25">
      <c r="A20" s="56">
        <v>141</v>
      </c>
      <c r="I20">
        <v>10</v>
      </c>
      <c r="J20" s="59">
        <f t="shared" si="5"/>
        <v>211</v>
      </c>
      <c r="K20" s="58">
        <f t="shared" si="6"/>
        <v>225</v>
      </c>
      <c r="L20" s="58">
        <v>2</v>
      </c>
      <c r="M20" s="58">
        <v>76</v>
      </c>
      <c r="N20" s="61">
        <f t="shared" si="0"/>
        <v>218</v>
      </c>
      <c r="O20" s="60">
        <f t="shared" si="3"/>
        <v>436</v>
      </c>
      <c r="P20" s="58">
        <f t="shared" si="1"/>
        <v>55.875</v>
      </c>
      <c r="Q20" s="58">
        <f t="shared" si="4"/>
        <v>3122.015625</v>
      </c>
      <c r="R20" s="58">
        <f t="shared" si="2"/>
        <v>6244.03125</v>
      </c>
      <c r="T20" s="55" t="s">
        <v>64</v>
      </c>
      <c r="U20">
        <f>R23/80-1</f>
        <v>1191.359375</v>
      </c>
    </row>
    <row r="21" spans="1:21" x14ac:dyDescent="0.25">
      <c r="A21" s="56">
        <v>142</v>
      </c>
      <c r="I21">
        <v>11</v>
      </c>
      <c r="J21" s="59">
        <f t="shared" si="5"/>
        <v>226</v>
      </c>
      <c r="K21" s="58">
        <f t="shared" si="6"/>
        <v>240</v>
      </c>
      <c r="L21" s="58">
        <v>3</v>
      </c>
      <c r="M21" s="58">
        <v>79</v>
      </c>
      <c r="N21" s="61">
        <f t="shared" si="0"/>
        <v>233</v>
      </c>
      <c r="O21" s="60">
        <f t="shared" si="3"/>
        <v>699</v>
      </c>
      <c r="P21" s="58">
        <f t="shared" si="1"/>
        <v>70.875</v>
      </c>
      <c r="Q21" s="58">
        <f>P21^2</f>
        <v>5023.265625</v>
      </c>
      <c r="R21" s="58">
        <f t="shared" si="2"/>
        <v>15069.796875</v>
      </c>
    </row>
    <row r="22" spans="1:21" x14ac:dyDescent="0.25">
      <c r="A22" s="56">
        <v>143</v>
      </c>
      <c r="I22">
        <v>12</v>
      </c>
      <c r="J22" s="59">
        <f t="shared" si="5"/>
        <v>241</v>
      </c>
      <c r="K22" s="58">
        <f t="shared" si="6"/>
        <v>255</v>
      </c>
      <c r="L22" s="58">
        <v>1</v>
      </c>
      <c r="M22" s="58">
        <v>80</v>
      </c>
      <c r="N22" s="61">
        <f t="shared" si="0"/>
        <v>248</v>
      </c>
      <c r="O22" s="60">
        <f t="shared" si="3"/>
        <v>248</v>
      </c>
      <c r="P22" s="58">
        <f t="shared" si="1"/>
        <v>85.875</v>
      </c>
      <c r="Q22" s="58">
        <f t="shared" si="4"/>
        <v>7374.515625</v>
      </c>
      <c r="R22" s="58">
        <f t="shared" si="2"/>
        <v>7374.515625</v>
      </c>
      <c r="T22" s="66"/>
    </row>
    <row r="23" spans="1:21" x14ac:dyDescent="0.25">
      <c r="A23" s="56">
        <v>145</v>
      </c>
      <c r="J23" s="56"/>
      <c r="O23" s="58">
        <f>SUM(O11:O22)</f>
        <v>12970</v>
      </c>
      <c r="R23" s="67">
        <f>SUM(R11:R22)</f>
        <v>95388.75</v>
      </c>
      <c r="T23" s="66" t="s">
        <v>71</v>
      </c>
      <c r="U23">
        <f>SQRT(U20)</f>
        <v>34.516074153935875</v>
      </c>
    </row>
    <row r="24" spans="1:21" x14ac:dyDescent="0.25">
      <c r="A24" s="56">
        <v>146</v>
      </c>
      <c r="C24" s="56">
        <f>SUM(A3:A82)</f>
        <v>13013</v>
      </c>
      <c r="J24" s="56"/>
      <c r="T24" s="66" t="s">
        <v>72</v>
      </c>
      <c r="U24" s="68">
        <f>(U23/U11)*100%</f>
        <v>0.21289791305434619</v>
      </c>
    </row>
    <row r="25" spans="1:21" ht="30" x14ac:dyDescent="0.25">
      <c r="A25" s="56">
        <v>148</v>
      </c>
      <c r="J25" s="56"/>
      <c r="M25" s="62" t="s">
        <v>65</v>
      </c>
      <c r="P25" t="s">
        <v>73</v>
      </c>
    </row>
    <row r="26" spans="1:21" x14ac:dyDescent="0.25">
      <c r="A26" s="56">
        <v>149</v>
      </c>
      <c r="J26" t="s">
        <v>74</v>
      </c>
      <c r="M26" s="272" t="s">
        <v>75</v>
      </c>
      <c r="N26" s="272"/>
      <c r="O26" s="272"/>
      <c r="P26" s="54"/>
      <c r="Q26" s="54"/>
      <c r="R26" s="54"/>
    </row>
    <row r="27" spans="1:21" x14ac:dyDescent="0.25">
      <c r="A27" s="56">
        <v>149</v>
      </c>
      <c r="M27" s="272"/>
      <c r="N27" s="272"/>
      <c r="O27" s="272"/>
      <c r="P27" s="274" t="s">
        <v>76</v>
      </c>
      <c r="Q27" s="274"/>
      <c r="R27" s="274"/>
    </row>
    <row r="28" spans="1:21" x14ac:dyDescent="0.25">
      <c r="A28" s="56">
        <v>150</v>
      </c>
      <c r="C28" s="56">
        <v>76</v>
      </c>
      <c r="J28" t="s">
        <v>77</v>
      </c>
      <c r="M28" s="272"/>
      <c r="N28" s="272"/>
      <c r="O28" s="272"/>
      <c r="P28" s="54"/>
      <c r="Q28" s="54"/>
      <c r="R28" s="54"/>
    </row>
    <row r="29" spans="1:21" x14ac:dyDescent="0.25">
      <c r="A29" s="56">
        <v>150</v>
      </c>
      <c r="J29" s="69"/>
      <c r="M29" s="272"/>
      <c r="N29" s="272"/>
      <c r="O29" s="272"/>
      <c r="P29" s="54"/>
      <c r="Q29" s="54"/>
      <c r="R29" s="54"/>
    </row>
    <row r="30" spans="1:21" x14ac:dyDescent="0.25">
      <c r="A30" s="56">
        <v>151</v>
      </c>
      <c r="C30" s="56" t="s">
        <v>10</v>
      </c>
      <c r="D30">
        <v>163.75949367088609</v>
      </c>
      <c r="J30" s="69" t="s">
        <v>78</v>
      </c>
      <c r="M30" s="272"/>
      <c r="N30" s="272"/>
      <c r="O30" s="272"/>
      <c r="P30" s="54"/>
      <c r="Q30" s="54"/>
      <c r="R30" s="54"/>
    </row>
    <row r="31" spans="1:21" x14ac:dyDescent="0.25">
      <c r="A31" s="56">
        <v>153</v>
      </c>
      <c r="C31" s="56" t="s">
        <v>79</v>
      </c>
      <c r="D31">
        <v>3.6591295697212267</v>
      </c>
      <c r="J31" s="69" t="s">
        <v>80</v>
      </c>
      <c r="M31" s="69"/>
    </row>
    <row r="32" spans="1:21" x14ac:dyDescent="0.25">
      <c r="A32" s="56">
        <v>154</v>
      </c>
      <c r="C32" s="56" t="s">
        <v>12</v>
      </c>
      <c r="D32">
        <v>163</v>
      </c>
      <c r="J32" s="69" t="s">
        <v>81</v>
      </c>
      <c r="M32" s="69"/>
    </row>
    <row r="33" spans="1:13" x14ac:dyDescent="0.25">
      <c r="A33" s="56">
        <v>154</v>
      </c>
      <c r="C33" s="56" t="s">
        <v>16</v>
      </c>
      <c r="D33">
        <v>158</v>
      </c>
      <c r="J33" s="69" t="s">
        <v>82</v>
      </c>
      <c r="M33" s="69"/>
    </row>
    <row r="34" spans="1:13" x14ac:dyDescent="0.25">
      <c r="A34" s="56">
        <v>156</v>
      </c>
      <c r="C34" s="56" t="s">
        <v>36</v>
      </c>
      <c r="D34">
        <v>32.5230550138306</v>
      </c>
      <c r="J34" s="56"/>
    </row>
    <row r="35" spans="1:13" x14ac:dyDescent="0.25">
      <c r="A35" s="56">
        <v>157</v>
      </c>
      <c r="C35" s="56" t="s">
        <v>83</v>
      </c>
      <c r="D35">
        <v>1057.749107432652</v>
      </c>
      <c r="J35" s="56"/>
    </row>
    <row r="36" spans="1:13" x14ac:dyDescent="0.25">
      <c r="A36" s="56">
        <v>158</v>
      </c>
      <c r="C36" s="56" t="s">
        <v>84</v>
      </c>
      <c r="D36">
        <v>0.11746985032362023</v>
      </c>
      <c r="J36" s="56"/>
    </row>
    <row r="37" spans="1:13" x14ac:dyDescent="0.25">
      <c r="A37" s="56">
        <v>158</v>
      </c>
      <c r="C37" s="56" t="s">
        <v>85</v>
      </c>
      <c r="D37">
        <v>0.11661418616215063</v>
      </c>
      <c r="J37" s="56"/>
    </row>
    <row r="38" spans="1:13" x14ac:dyDescent="0.25">
      <c r="A38" s="56">
        <v>158</v>
      </c>
      <c r="C38" s="56" t="s">
        <v>86</v>
      </c>
      <c r="D38">
        <v>158</v>
      </c>
      <c r="J38" s="56"/>
    </row>
    <row r="39" spans="1:13" x14ac:dyDescent="0.25">
      <c r="A39" s="56">
        <v>158</v>
      </c>
      <c r="C39" s="56" t="s">
        <v>87</v>
      </c>
      <c r="D39">
        <v>87</v>
      </c>
      <c r="J39" s="56"/>
    </row>
    <row r="40" spans="1:13" x14ac:dyDescent="0.25">
      <c r="A40" s="56">
        <v>160</v>
      </c>
      <c r="C40" s="56" t="s">
        <v>88</v>
      </c>
      <c r="D40">
        <v>245</v>
      </c>
      <c r="J40" s="56"/>
    </row>
    <row r="41" spans="1:13" x14ac:dyDescent="0.25">
      <c r="A41" s="56">
        <v>160</v>
      </c>
      <c r="C41" s="56" t="s">
        <v>89</v>
      </c>
      <c r="D41">
        <v>12937</v>
      </c>
      <c r="J41" s="56"/>
    </row>
    <row r="42" spans="1:13" x14ac:dyDescent="0.25">
      <c r="A42" s="56">
        <v>160</v>
      </c>
      <c r="C42" s="56" t="s">
        <v>90</v>
      </c>
      <c r="D42">
        <v>79</v>
      </c>
      <c r="J42" s="56"/>
    </row>
    <row r="43" spans="1:13" x14ac:dyDescent="0.25">
      <c r="A43" s="56">
        <v>163</v>
      </c>
      <c r="C43" s="56" t="s">
        <v>91</v>
      </c>
      <c r="D43">
        <v>245</v>
      </c>
      <c r="J43" s="56"/>
    </row>
    <row r="44" spans="1:13" x14ac:dyDescent="0.25">
      <c r="A44" s="56">
        <v>163</v>
      </c>
      <c r="C44" s="56" t="s">
        <v>92</v>
      </c>
      <c r="D44">
        <v>87</v>
      </c>
      <c r="J44" s="56"/>
    </row>
    <row r="45" spans="1:13" x14ac:dyDescent="0.25">
      <c r="A45" s="56">
        <v>165</v>
      </c>
      <c r="C45" s="56" t="s">
        <v>93</v>
      </c>
      <c r="D45">
        <v>9.6613461321761065</v>
      </c>
      <c r="J45" s="56"/>
    </row>
    <row r="46" spans="1:13" x14ac:dyDescent="0.25">
      <c r="A46" s="56">
        <v>167</v>
      </c>
      <c r="J46" s="56"/>
    </row>
    <row r="47" spans="1:13" x14ac:dyDescent="0.25">
      <c r="A47" s="56">
        <v>167</v>
      </c>
      <c r="J47" s="56"/>
    </row>
    <row r="48" spans="1:13" x14ac:dyDescent="0.25">
      <c r="A48" s="56">
        <v>168</v>
      </c>
      <c r="J48" s="56"/>
    </row>
    <row r="49" spans="1:10" x14ac:dyDescent="0.25">
      <c r="A49" s="56">
        <v>169</v>
      </c>
      <c r="J49" s="56"/>
    </row>
    <row r="50" spans="1:10" x14ac:dyDescent="0.25">
      <c r="A50" s="56">
        <v>170</v>
      </c>
      <c r="J50" s="56"/>
    </row>
    <row r="51" spans="1:10" x14ac:dyDescent="0.25">
      <c r="A51" s="56">
        <v>171</v>
      </c>
      <c r="J51" s="56"/>
    </row>
    <row r="52" spans="1:10" x14ac:dyDescent="0.25">
      <c r="A52" s="56">
        <v>171</v>
      </c>
      <c r="J52" s="56"/>
    </row>
    <row r="53" spans="1:10" x14ac:dyDescent="0.25">
      <c r="A53" s="56">
        <v>172</v>
      </c>
      <c r="J53" s="56"/>
    </row>
    <row r="54" spans="1:10" x14ac:dyDescent="0.25">
      <c r="A54" s="56">
        <v>174</v>
      </c>
      <c r="J54" s="56"/>
    </row>
    <row r="55" spans="1:10" x14ac:dyDescent="0.25">
      <c r="A55" s="56">
        <v>174</v>
      </c>
      <c r="J55" s="56"/>
    </row>
    <row r="56" spans="1:10" x14ac:dyDescent="0.25">
      <c r="A56" s="56">
        <v>175</v>
      </c>
      <c r="J56" s="56"/>
    </row>
    <row r="57" spans="1:10" x14ac:dyDescent="0.25">
      <c r="A57" s="56">
        <v>176</v>
      </c>
      <c r="J57" s="56"/>
    </row>
    <row r="58" spans="1:10" x14ac:dyDescent="0.25">
      <c r="A58" s="56">
        <v>176</v>
      </c>
      <c r="J58" s="56"/>
    </row>
    <row r="59" spans="1:10" x14ac:dyDescent="0.25">
      <c r="A59" s="56">
        <v>178</v>
      </c>
      <c r="J59" s="56"/>
    </row>
    <row r="60" spans="1:10" x14ac:dyDescent="0.25">
      <c r="A60" s="56">
        <v>180</v>
      </c>
      <c r="J60" s="56"/>
    </row>
    <row r="61" spans="1:10" x14ac:dyDescent="0.25">
      <c r="A61" s="56">
        <v>180</v>
      </c>
      <c r="J61" s="56"/>
    </row>
    <row r="62" spans="1:10" x14ac:dyDescent="0.25">
      <c r="A62" s="56">
        <v>181</v>
      </c>
      <c r="J62" s="56"/>
    </row>
    <row r="63" spans="1:10" x14ac:dyDescent="0.25">
      <c r="A63" s="56">
        <v>181</v>
      </c>
      <c r="J63" s="56"/>
    </row>
    <row r="64" spans="1:10" x14ac:dyDescent="0.25">
      <c r="A64" s="56">
        <v>183</v>
      </c>
      <c r="J64" s="56"/>
    </row>
    <row r="65" spans="1:10" x14ac:dyDescent="0.25">
      <c r="A65" s="56">
        <v>184</v>
      </c>
      <c r="J65" s="56"/>
    </row>
    <row r="66" spans="1:10" x14ac:dyDescent="0.25">
      <c r="A66" s="56">
        <v>186</v>
      </c>
      <c r="J66" s="56"/>
    </row>
    <row r="67" spans="1:10" x14ac:dyDescent="0.25">
      <c r="A67" s="56">
        <v>190</v>
      </c>
      <c r="J67" s="56"/>
    </row>
    <row r="68" spans="1:10" x14ac:dyDescent="0.25">
      <c r="A68" s="56">
        <v>193</v>
      </c>
      <c r="J68" s="56"/>
    </row>
    <row r="69" spans="1:10" x14ac:dyDescent="0.25">
      <c r="A69" s="56">
        <v>194</v>
      </c>
      <c r="J69" s="56"/>
    </row>
    <row r="70" spans="1:10" x14ac:dyDescent="0.25">
      <c r="A70" s="56">
        <v>196</v>
      </c>
      <c r="J70" s="56"/>
    </row>
    <row r="71" spans="1:10" x14ac:dyDescent="0.25">
      <c r="A71" s="56">
        <v>199</v>
      </c>
      <c r="J71" s="56"/>
    </row>
    <row r="72" spans="1:10" x14ac:dyDescent="0.25">
      <c r="A72" s="56">
        <v>199</v>
      </c>
      <c r="J72" s="56"/>
    </row>
    <row r="73" spans="1:10" x14ac:dyDescent="0.25">
      <c r="A73" s="56">
        <v>200</v>
      </c>
      <c r="J73" s="56"/>
    </row>
    <row r="74" spans="1:10" x14ac:dyDescent="0.25">
      <c r="A74" s="56">
        <v>201</v>
      </c>
      <c r="J74" s="56"/>
    </row>
    <row r="75" spans="1:10" x14ac:dyDescent="0.25">
      <c r="A75" s="56">
        <v>207</v>
      </c>
      <c r="J75" s="56"/>
    </row>
    <row r="76" spans="1:10" x14ac:dyDescent="0.25">
      <c r="A76" s="56">
        <v>208</v>
      </c>
      <c r="J76" s="56"/>
    </row>
    <row r="77" spans="1:10" x14ac:dyDescent="0.25">
      <c r="A77" s="56">
        <v>218</v>
      </c>
      <c r="J77" s="56"/>
    </row>
    <row r="78" spans="1:10" x14ac:dyDescent="0.25">
      <c r="A78" s="56">
        <v>221</v>
      </c>
      <c r="J78" s="56"/>
    </row>
    <row r="79" spans="1:10" x14ac:dyDescent="0.25">
      <c r="A79" s="56">
        <v>228</v>
      </c>
      <c r="J79" s="56"/>
    </row>
    <row r="80" spans="1:10" x14ac:dyDescent="0.25">
      <c r="A80" s="56">
        <v>229</v>
      </c>
      <c r="J80" s="56"/>
    </row>
    <row r="81" spans="1:10" x14ac:dyDescent="0.25">
      <c r="A81" s="56">
        <v>237</v>
      </c>
      <c r="J81" s="56"/>
    </row>
    <row r="82" spans="1:10" x14ac:dyDescent="0.25">
      <c r="A82" s="56">
        <v>245</v>
      </c>
      <c r="J82" s="56"/>
    </row>
    <row r="83" spans="1:10" x14ac:dyDescent="0.25">
      <c r="J83" s="56"/>
    </row>
    <row r="84" spans="1:10" x14ac:dyDescent="0.25">
      <c r="J84" s="56"/>
    </row>
    <row r="85" spans="1:10" x14ac:dyDescent="0.25">
      <c r="J85" s="56"/>
    </row>
    <row r="86" spans="1:10" x14ac:dyDescent="0.25">
      <c r="J86" s="56"/>
    </row>
    <row r="87" spans="1:10" x14ac:dyDescent="0.25">
      <c r="J87" s="56"/>
    </row>
    <row r="88" spans="1:10" x14ac:dyDescent="0.25">
      <c r="J88" s="56"/>
    </row>
    <row r="89" spans="1:10" x14ac:dyDescent="0.25">
      <c r="J89" s="56"/>
    </row>
    <row r="90" spans="1:10" x14ac:dyDescent="0.25">
      <c r="J90" s="56"/>
    </row>
  </sheetData>
  <autoFilter ref="A2:A82" xr:uid="{E4B3B2F8-9879-4762-9F1F-84E9C26514DF}">
    <sortState xmlns:xlrd2="http://schemas.microsoft.com/office/spreadsheetml/2017/richdata2" ref="A3:A82">
      <sortCondition ref="A2:A82"/>
    </sortState>
  </autoFilter>
  <mergeCells count="6">
    <mergeCell ref="A1:E1"/>
    <mergeCell ref="J1:U1"/>
    <mergeCell ref="M2:O6"/>
    <mergeCell ref="J10:K10"/>
    <mergeCell ref="M26:O30"/>
    <mergeCell ref="P27:R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80data(Ungroup)</vt:lpstr>
      <vt:lpstr>80data(Group)</vt:lpstr>
      <vt:lpstr>80data(Group)drft</vt:lpstr>
      <vt:lpstr>100data(Group)</vt:lpstr>
      <vt:lpstr>100data(Ungroup)</vt:lpstr>
      <vt:lpstr>Sheet5</vt:lpstr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Taniegra</dc:creator>
  <cp:lastModifiedBy>Mark Taniegra</cp:lastModifiedBy>
  <dcterms:created xsi:type="dcterms:W3CDTF">2024-12-18T05:02:00Z</dcterms:created>
  <dcterms:modified xsi:type="dcterms:W3CDTF">2024-12-21T08:23:21Z</dcterms:modified>
</cp:coreProperties>
</file>