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myhz.sharepoint.com/teams/Group06Project/Shared Documents/General/Organized/01 Den Doelder Files/"/>
    </mc:Choice>
  </mc:AlternateContent>
  <xr:revisionPtr revIDLastSave="1318" documentId="101_{ABAF18CD-16BD-4AA4-A7FB-78AF59640520}" xr6:coauthVersionLast="47" xr6:coauthVersionMax="47" xr10:uidLastSave="{E891D5DA-3E55-4969-8185-6A25276FE72A}"/>
  <bookViews>
    <workbookView minimized="1" xWindow="1716" yWindow="1716" windowWidth="17280" windowHeight="8880" xr2:uid="{00000000-000D-0000-FFFF-FFFF00000000}"/>
  </bookViews>
  <sheets>
    <sheet name="berekening" sheetId="4" r:id="rId1"/>
    <sheet name="cape1" sheetId="6" r:id="rId2"/>
    <sheet name="cape2" sheetId="7" r:id="rId3"/>
    <sheet name="cape 5" sheetId="9" r:id="rId4"/>
    <sheet name="grafiek" sheetId="8" r:id="rId5"/>
  </sheets>
  <externalReferences>
    <externalReference r:id="rId6"/>
  </externalReferences>
  <definedNames>
    <definedName name="cape1">[1]cape2!$A$30:$A$48</definedName>
    <definedName name="pallets">cape1!$A$30:$A$61</definedName>
    <definedName name="_xlnm.Print_Area" localSheetId="0">berekening!$A$1:$S$41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0" i="4" l="1"/>
  <c r="D19" i="4"/>
  <c r="D29" i="4"/>
  <c r="D16" i="4"/>
  <c r="D27" i="4"/>
  <c r="D26" i="4"/>
  <c r="K42" i="4"/>
  <c r="K41" i="4"/>
  <c r="K40" i="4"/>
  <c r="K39" i="4"/>
  <c r="K38" i="4"/>
  <c r="K37" i="4"/>
  <c r="K43" i="4" s="1"/>
  <c r="K31" i="4"/>
  <c r="K30" i="4"/>
  <c r="K29" i="4"/>
  <c r="K20" i="4"/>
  <c r="K4" i="4"/>
  <c r="K19" i="4"/>
  <c r="K18" i="4"/>
  <c r="K28" i="4"/>
  <c r="Q10" i="4"/>
  <c r="K27" i="4"/>
  <c r="K15" i="4"/>
  <c r="B8" i="6"/>
  <c r="L16" i="4"/>
  <c r="K16" i="4"/>
  <c r="K17" i="4"/>
  <c r="B2" i="7"/>
  <c r="C2" i="7"/>
  <c r="D2" i="7"/>
  <c r="E2" i="7"/>
  <c r="F2" i="7"/>
  <c r="G2" i="7"/>
  <c r="B3" i="7"/>
  <c r="B4" i="7"/>
  <c r="B5" i="7"/>
  <c r="B8" i="7"/>
  <c r="B7" i="7"/>
  <c r="B9" i="7"/>
  <c r="B14" i="7"/>
  <c r="B19" i="7"/>
  <c r="B24" i="7"/>
  <c r="B25" i="7"/>
  <c r="C3" i="7"/>
  <c r="C4" i="7"/>
  <c r="C5" i="7"/>
  <c r="C8" i="7"/>
  <c r="C14" i="7"/>
  <c r="C19" i="7"/>
  <c r="C24" i="7"/>
  <c r="D3" i="7"/>
  <c r="D4" i="7"/>
  <c r="D5" i="7"/>
  <c r="D7" i="7"/>
  <c r="D8" i="7"/>
  <c r="D14" i="7"/>
  <c r="D19" i="7"/>
  <c r="D24" i="7"/>
  <c r="E3" i="7"/>
  <c r="E4" i="7"/>
  <c r="E5" i="7"/>
  <c r="E7" i="7"/>
  <c r="F3" i="7"/>
  <c r="F4" i="7"/>
  <c r="F5" i="7"/>
  <c r="G3" i="7"/>
  <c r="G4" i="7"/>
  <c r="G5" i="7"/>
  <c r="G25" i="7"/>
  <c r="K26" i="4"/>
  <c r="E2" i="6"/>
  <c r="E3" i="6"/>
  <c r="E4" i="6"/>
  <c r="E5" i="6"/>
  <c r="K7" i="4"/>
  <c r="E8" i="6"/>
  <c r="E14" i="6"/>
  <c r="E19" i="6"/>
  <c r="E24" i="6"/>
  <c r="G3" i="9"/>
  <c r="F3" i="9"/>
  <c r="E3" i="9"/>
  <c r="D3" i="9"/>
  <c r="C3" i="9"/>
  <c r="B3" i="9"/>
  <c r="L4" i="4"/>
  <c r="L5" i="4"/>
  <c r="L6" i="4"/>
  <c r="L7" i="4"/>
  <c r="L8" i="4"/>
  <c r="L9" i="4"/>
  <c r="K6" i="4"/>
  <c r="D8" i="6"/>
  <c r="K8" i="4"/>
  <c r="F8" i="6"/>
  <c r="K9" i="4"/>
  <c r="K5" i="4"/>
  <c r="C8" i="6"/>
  <c r="R10" i="4"/>
  <c r="K10" i="4"/>
  <c r="O2" i="4"/>
  <c r="B4" i="4"/>
  <c r="B15" i="4" s="1"/>
  <c r="B37" i="4" s="1"/>
  <c r="C8" i="9"/>
  <c r="D8" i="9"/>
  <c r="E8" i="9"/>
  <c r="G2" i="9"/>
  <c r="F2" i="9"/>
  <c r="E2" i="9"/>
  <c r="R21" i="4"/>
  <c r="AB21" i="4"/>
  <c r="AB26" i="4"/>
  <c r="AB27" i="4"/>
  <c r="AB28" i="4"/>
  <c r="AB29" i="4"/>
  <c r="AB30" i="4"/>
  <c r="AB31" i="4"/>
  <c r="R32" i="4"/>
  <c r="AB32" i="4"/>
  <c r="D2" i="9"/>
  <c r="C2" i="9"/>
  <c r="C4" i="9"/>
  <c r="C5" i="9"/>
  <c r="B2" i="9"/>
  <c r="G24" i="9"/>
  <c r="F24" i="9"/>
  <c r="E24" i="9"/>
  <c r="D24" i="9"/>
  <c r="C24" i="9"/>
  <c r="B24" i="9"/>
  <c r="G22" i="9"/>
  <c r="F22" i="9"/>
  <c r="E22" i="9"/>
  <c r="D22" i="9"/>
  <c r="C22" i="9"/>
  <c r="B22" i="9"/>
  <c r="G19" i="9"/>
  <c r="F19" i="9"/>
  <c r="E19" i="9"/>
  <c r="D19" i="9"/>
  <c r="C19" i="9"/>
  <c r="B19" i="9"/>
  <c r="G17" i="9"/>
  <c r="F17" i="9"/>
  <c r="E17" i="9"/>
  <c r="D17" i="9"/>
  <c r="C17" i="9"/>
  <c r="B17" i="9"/>
  <c r="G14" i="9"/>
  <c r="F14" i="9"/>
  <c r="E14" i="9"/>
  <c r="D14" i="9"/>
  <c r="C14" i="9"/>
  <c r="B14" i="9"/>
  <c r="G12" i="9"/>
  <c r="F12" i="9"/>
  <c r="E12" i="9"/>
  <c r="D12" i="9"/>
  <c r="C12" i="9"/>
  <c r="B12" i="9"/>
  <c r="G8" i="7"/>
  <c r="F8" i="7"/>
  <c r="F4" i="9"/>
  <c r="F5" i="9"/>
  <c r="G4" i="9"/>
  <c r="E4" i="9"/>
  <c r="D4" i="9"/>
  <c r="B4" i="9"/>
  <c r="Q32" i="4"/>
  <c r="N32" i="4"/>
  <c r="M32" i="4"/>
  <c r="L31" i="4"/>
  <c r="G8" i="9"/>
  <c r="L30" i="4"/>
  <c r="F8" i="9"/>
  <c r="L29" i="4"/>
  <c r="L28" i="4"/>
  <c r="L27" i="4"/>
  <c r="L26" i="4"/>
  <c r="B2" i="6"/>
  <c r="B3" i="6"/>
  <c r="B4" i="6"/>
  <c r="B5" i="6"/>
  <c r="AB4" i="4"/>
  <c r="AB5" i="4"/>
  <c r="AB6" i="4"/>
  <c r="AB7" i="4"/>
  <c r="AB8" i="4"/>
  <c r="G8" i="6"/>
  <c r="AB9" i="4"/>
  <c r="M10" i="4"/>
  <c r="N10" i="4"/>
  <c r="AB15" i="4"/>
  <c r="AB16" i="4"/>
  <c r="L17" i="4"/>
  <c r="AB17" i="4"/>
  <c r="L18" i="4"/>
  <c r="L15" i="4"/>
  <c r="L19" i="4"/>
  <c r="L20" i="4"/>
  <c r="L21" i="4"/>
  <c r="L32" i="4"/>
  <c r="AB18" i="4"/>
  <c r="AB19" i="4"/>
  <c r="AB20" i="4"/>
  <c r="M21" i="4"/>
  <c r="N21" i="4"/>
  <c r="Q21" i="4"/>
  <c r="C2" i="6"/>
  <c r="C3" i="6"/>
  <c r="C4" i="6"/>
  <c r="D2" i="6"/>
  <c r="D4" i="6"/>
  <c r="F2" i="6"/>
  <c r="G2" i="6"/>
  <c r="I2" i="6"/>
  <c r="I3" i="6"/>
  <c r="I5" i="6"/>
  <c r="J2" i="6"/>
  <c r="J3" i="6"/>
  <c r="J5" i="6"/>
  <c r="K2" i="6"/>
  <c r="L2" i="6"/>
  <c r="L3" i="6"/>
  <c r="L5" i="6"/>
  <c r="M2" i="6"/>
  <c r="N2" i="6"/>
  <c r="D3" i="6"/>
  <c r="D5" i="6"/>
  <c r="F3" i="6"/>
  <c r="G3" i="6"/>
  <c r="K3" i="6"/>
  <c r="M3" i="6"/>
  <c r="M5" i="6"/>
  <c r="N3" i="6"/>
  <c r="N5" i="6"/>
  <c r="F4" i="6"/>
  <c r="G4" i="6"/>
  <c r="I8" i="6"/>
  <c r="B12" i="6"/>
  <c r="C12" i="6"/>
  <c r="D12" i="6"/>
  <c r="E12" i="6"/>
  <c r="F12" i="6"/>
  <c r="G12" i="6"/>
  <c r="I12" i="6"/>
  <c r="J12" i="6"/>
  <c r="K12" i="6"/>
  <c r="L12" i="6"/>
  <c r="M12" i="6"/>
  <c r="N12" i="6"/>
  <c r="B14" i="6"/>
  <c r="C14" i="6"/>
  <c r="D14" i="6"/>
  <c r="F14" i="6"/>
  <c r="G14" i="6"/>
  <c r="I14" i="6"/>
  <c r="J14" i="6"/>
  <c r="K14" i="6"/>
  <c r="L14" i="6"/>
  <c r="M14" i="6"/>
  <c r="N14" i="6"/>
  <c r="B17" i="6"/>
  <c r="C17" i="6"/>
  <c r="D17" i="6"/>
  <c r="E17" i="6"/>
  <c r="F17" i="6"/>
  <c r="G17" i="6"/>
  <c r="I17" i="6"/>
  <c r="J17" i="6"/>
  <c r="K17" i="6"/>
  <c r="L17" i="6"/>
  <c r="M17" i="6"/>
  <c r="N17" i="6"/>
  <c r="B19" i="6"/>
  <c r="C19" i="6"/>
  <c r="D19" i="6"/>
  <c r="F19" i="6"/>
  <c r="G19" i="6"/>
  <c r="I19" i="6"/>
  <c r="J19" i="6"/>
  <c r="K19" i="6"/>
  <c r="L19" i="6"/>
  <c r="M19" i="6"/>
  <c r="N19" i="6"/>
  <c r="B22" i="6"/>
  <c r="C22" i="6"/>
  <c r="D22" i="6"/>
  <c r="E22" i="6"/>
  <c r="F22" i="6"/>
  <c r="G22" i="6"/>
  <c r="I22" i="6"/>
  <c r="J22" i="6"/>
  <c r="K22" i="6"/>
  <c r="L22" i="6"/>
  <c r="M22" i="6"/>
  <c r="N22" i="6"/>
  <c r="B24" i="6"/>
  <c r="C24" i="6"/>
  <c r="D24" i="6"/>
  <c r="F24" i="6"/>
  <c r="G24" i="6"/>
  <c r="I24" i="6"/>
  <c r="J24" i="6"/>
  <c r="K24" i="6"/>
  <c r="L24" i="6"/>
  <c r="M24" i="6"/>
  <c r="N24" i="6"/>
  <c r="J2" i="7"/>
  <c r="K2" i="7"/>
  <c r="K3" i="7"/>
  <c r="K5" i="7"/>
  <c r="K7" i="7"/>
  <c r="L2" i="7"/>
  <c r="L5" i="7"/>
  <c r="L7" i="7"/>
  <c r="M2" i="7"/>
  <c r="N2" i="7"/>
  <c r="N5" i="7"/>
  <c r="N25" i="7"/>
  <c r="O2" i="7"/>
  <c r="J3" i="7"/>
  <c r="J5" i="7"/>
  <c r="M3" i="7"/>
  <c r="O3" i="7"/>
  <c r="O5" i="7"/>
  <c r="J8" i="7"/>
  <c r="K8" i="7"/>
  <c r="L8" i="7"/>
  <c r="M8" i="7"/>
  <c r="N8" i="7"/>
  <c r="O8" i="7"/>
  <c r="B12" i="7"/>
  <c r="C12" i="7"/>
  <c r="D12" i="7"/>
  <c r="E12" i="7"/>
  <c r="F12" i="7"/>
  <c r="G12" i="7"/>
  <c r="J12" i="7"/>
  <c r="K12" i="7"/>
  <c r="L12" i="7"/>
  <c r="M12" i="7"/>
  <c r="N12" i="7"/>
  <c r="O12" i="7"/>
  <c r="E14" i="7"/>
  <c r="F14" i="7"/>
  <c r="G14" i="7"/>
  <c r="J14" i="7"/>
  <c r="K14" i="7"/>
  <c r="L14" i="7"/>
  <c r="M14" i="7"/>
  <c r="N14" i="7"/>
  <c r="O14" i="7"/>
  <c r="B17" i="7"/>
  <c r="C17" i="7"/>
  <c r="D17" i="7"/>
  <c r="E17" i="7"/>
  <c r="F17" i="7"/>
  <c r="G17" i="7"/>
  <c r="J17" i="7"/>
  <c r="K17" i="7"/>
  <c r="L17" i="7"/>
  <c r="M17" i="7"/>
  <c r="N17" i="7"/>
  <c r="O17" i="7"/>
  <c r="E19" i="7"/>
  <c r="F19" i="7"/>
  <c r="G19" i="7"/>
  <c r="J19" i="7"/>
  <c r="K19" i="7"/>
  <c r="L19" i="7"/>
  <c r="M19" i="7"/>
  <c r="N19" i="7"/>
  <c r="O19" i="7"/>
  <c r="B22" i="7"/>
  <c r="C22" i="7"/>
  <c r="D22" i="7"/>
  <c r="E22" i="7"/>
  <c r="F22" i="7"/>
  <c r="G22" i="7"/>
  <c r="J22" i="7"/>
  <c r="K22" i="7"/>
  <c r="L22" i="7"/>
  <c r="M22" i="7"/>
  <c r="N22" i="7"/>
  <c r="O22" i="7"/>
  <c r="E24" i="7"/>
  <c r="F24" i="7"/>
  <c r="G24" i="7"/>
  <c r="J24" i="7"/>
  <c r="K24" i="7"/>
  <c r="L24" i="7"/>
  <c r="M24" i="7"/>
  <c r="N24" i="7"/>
  <c r="O24" i="7"/>
  <c r="B7" i="6"/>
  <c r="N9" i="7"/>
  <c r="B5" i="9"/>
  <c r="B7" i="9"/>
  <c r="B8" i="9"/>
  <c r="M5" i="7"/>
  <c r="G7" i="7"/>
  <c r="G9" i="7"/>
  <c r="S20" i="4"/>
  <c r="L25" i="7"/>
  <c r="K5" i="6"/>
  <c r="K7" i="6"/>
  <c r="N7" i="7"/>
  <c r="L7" i="6"/>
  <c r="F7" i="9"/>
  <c r="F9" i="9" s="1"/>
  <c r="F25" i="9" s="1"/>
  <c r="S30" i="4" s="1"/>
  <c r="I7" i="6"/>
  <c r="I9" i="6"/>
  <c r="I25" i="6"/>
  <c r="M9" i="6"/>
  <c r="M25" i="6"/>
  <c r="M7" i="6"/>
  <c r="O7" i="7"/>
  <c r="O9" i="7"/>
  <c r="O25" i="7"/>
  <c r="F7" i="7"/>
  <c r="F9" i="7"/>
  <c r="F25" i="7"/>
  <c r="S19" i="4"/>
  <c r="J7" i="6"/>
  <c r="N7" i="6"/>
  <c r="N25" i="6"/>
  <c r="N9" i="6"/>
  <c r="C7" i="9"/>
  <c r="C9" i="9" s="1"/>
  <c r="C25" i="9" s="1"/>
  <c r="S27" i="4" s="1"/>
  <c r="D7" i="6"/>
  <c r="D9" i="6"/>
  <c r="D25" i="6"/>
  <c r="S6" i="4"/>
  <c r="K8" i="6"/>
  <c r="K9" i="6"/>
  <c r="K25" i="6"/>
  <c r="E5" i="9"/>
  <c r="M7" i="7"/>
  <c r="M9" i="7"/>
  <c r="M25" i="7"/>
  <c r="I27" i="6"/>
  <c r="J7" i="7"/>
  <c r="J9" i="7"/>
  <c r="J25" i="7"/>
  <c r="L9" i="7"/>
  <c r="E7" i="9"/>
  <c r="E9" i="9" s="1"/>
  <c r="E25" i="9" s="1"/>
  <c r="S29" i="4" s="1"/>
  <c r="J27" i="7"/>
  <c r="D5" i="9"/>
  <c r="G5" i="9"/>
  <c r="K32" i="4"/>
  <c r="O24" i="4"/>
  <c r="E7" i="6"/>
  <c r="E9" i="6"/>
  <c r="L9" i="6"/>
  <c r="L25" i="6"/>
  <c r="G7" i="9"/>
  <c r="G9" i="9"/>
  <c r="G25" i="9"/>
  <c r="S31" i="4" s="1"/>
  <c r="D7" i="9"/>
  <c r="D9" i="9" s="1"/>
  <c r="D25" i="9" s="1"/>
  <c r="S28" i="4" s="1"/>
  <c r="E8" i="7"/>
  <c r="E9" i="7"/>
  <c r="E25" i="7"/>
  <c r="S18" i="4"/>
  <c r="S15" i="4"/>
  <c r="K21" i="4"/>
  <c r="O13" i="4"/>
  <c r="C7" i="7"/>
  <c r="C9" i="7"/>
  <c r="C25" i="7"/>
  <c r="K9" i="7"/>
  <c r="K25" i="7"/>
  <c r="S16" i="4"/>
  <c r="D9" i="7"/>
  <c r="D25" i="7"/>
  <c r="S17" i="4"/>
  <c r="B27" i="7"/>
  <c r="S21" i="4"/>
  <c r="L10" i="4"/>
  <c r="H47" i="4"/>
  <c r="C5" i="6"/>
  <c r="C7" i="6"/>
  <c r="C9" i="6"/>
  <c r="C25" i="6"/>
  <c r="S5" i="4"/>
  <c r="J8" i="6"/>
  <c r="J9" i="6"/>
  <c r="J25" i="6"/>
  <c r="B9" i="6"/>
  <c r="B25" i="6"/>
  <c r="S4" i="4"/>
  <c r="F5" i="6"/>
  <c r="G5" i="6"/>
  <c r="G7" i="6"/>
  <c r="G9" i="6"/>
  <c r="G25" i="6"/>
  <c r="S9" i="4"/>
  <c r="N8" i="6"/>
  <c r="F7" i="6"/>
  <c r="F9" i="6"/>
  <c r="F25" i="6" s="1"/>
  <c r="S8" i="4"/>
  <c r="M8" i="6"/>
  <c r="C47" i="4" l="1"/>
  <c r="B9" i="9"/>
  <c r="B25" i="9" s="1"/>
  <c r="B5" i="4"/>
  <c r="B26" i="4"/>
  <c r="B6" i="4"/>
  <c r="S26" i="4"/>
  <c r="B27" i="9"/>
  <c r="S32" i="4" s="1"/>
  <c r="E25" i="6"/>
  <c r="B27" i="4" l="1"/>
  <c r="B16" i="4"/>
  <c r="B38" i="4" s="1"/>
  <c r="B28" i="4"/>
  <c r="B17" i="4"/>
  <c r="B39" i="4" s="1"/>
  <c r="B7" i="4"/>
  <c r="S7" i="4"/>
  <c r="L8" i="6" s="1"/>
  <c r="B27" i="6"/>
  <c r="S10" i="4" s="1"/>
  <c r="B18" i="4" l="1"/>
  <c r="B40" i="4" s="1"/>
  <c r="B8" i="4"/>
  <c r="B29" i="4"/>
  <c r="B30" i="4" l="1"/>
  <c r="B9" i="4"/>
  <c r="B19" i="4"/>
  <c r="B41" i="4" s="1"/>
  <c r="B31" i="4" l="1"/>
  <c r="B20" i="4"/>
  <c r="B42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leon van Bavinchoven</author>
    <author>lvb</author>
  </authors>
  <commentList>
    <comment ref="C3" authorId="0" shapeId="0" xr:uid="{B92B2943-8DF3-4141-AE18-44476B4B3C77}">
      <text>
        <r>
          <rPr>
            <b/>
            <sz val="9"/>
            <color indexed="81"/>
            <rFont val="Tahoma"/>
            <family val="2"/>
          </rPr>
          <t>leon van Bavinchoven:vulk hier te maken product in</t>
        </r>
      </text>
    </comment>
    <comment ref="P3" authorId="1" shapeId="0" xr:uid="{00000000-0006-0000-0000-000001000000}">
      <text>
        <r>
          <rPr>
            <b/>
            <sz val="9"/>
            <color indexed="81"/>
            <rFont val="Tahoma"/>
            <family val="2"/>
          </rPr>
          <t>lvb:</t>
        </r>
        <r>
          <rPr>
            <sz val="9"/>
            <color indexed="81"/>
            <rFont val="Tahoma"/>
            <family val="2"/>
          </rPr>
          <t xml:space="preserve">
wisselhout</t>
        </r>
      </text>
    </comment>
    <comment ref="B4" authorId="0" shapeId="0" xr:uid="{A76DEFBD-18F6-4495-BC97-36DA7191944F}">
      <text>
        <r>
          <rPr>
            <b/>
            <sz val="9"/>
            <color indexed="81"/>
            <rFont val="Tahoma"/>
            <family val="2"/>
          </rPr>
          <t>leon van Bavinchoven:</t>
        </r>
        <r>
          <rPr>
            <sz val="9"/>
            <color indexed="81"/>
            <rFont val="Tahoma"/>
            <family val="2"/>
          </rPr>
          <t xml:space="preserve">
datum</t>
        </r>
      </text>
    </comment>
    <comment ref="D4" authorId="0" shapeId="0" xr:uid="{1624DC65-0F25-4E8C-87BA-A68874B1B77A}">
      <text>
        <r>
          <rPr>
            <b/>
            <sz val="9"/>
            <color indexed="81"/>
            <rFont val="Tahoma"/>
            <family val="2"/>
          </rPr>
          <t>leon van Bavinchoven:</t>
        </r>
        <r>
          <rPr>
            <sz val="9"/>
            <color indexed="81"/>
            <rFont val="Tahoma"/>
            <family val="2"/>
          </rPr>
          <t xml:space="preserve">
stuk geproduceerd eerste keus </t>
        </r>
      </text>
    </comment>
    <comment ref="O4" authorId="0" shapeId="0" xr:uid="{09A1F4B5-B350-4440-8511-990C3CD362DE}">
      <text>
        <r>
          <rPr>
            <b/>
            <sz val="9"/>
            <color indexed="81"/>
            <rFont val="Tahoma"/>
            <family val="2"/>
          </rPr>
          <t>leon van Bavinchoven:</t>
        </r>
        <r>
          <rPr>
            <sz val="9"/>
            <color indexed="81"/>
            <rFont val="Tahoma"/>
            <family val="2"/>
          </rPr>
          <t xml:space="preserve">
aantal keer in vullen hoevaak je wisseld van productsoort</t>
        </r>
      </text>
    </comment>
    <comment ref="R4" authorId="0" shapeId="0" xr:uid="{4988F145-F74F-4D8A-BA93-63EBC0D967C8}">
      <text>
        <r>
          <rPr>
            <b/>
            <sz val="9"/>
            <color indexed="81"/>
            <rFont val="Tahoma"/>
            <family val="2"/>
          </rPr>
          <t>leon van Bavinchoven:</t>
        </r>
        <r>
          <rPr>
            <sz val="9"/>
            <color indexed="81"/>
            <rFont val="Tahoma"/>
            <family val="2"/>
          </rPr>
          <t xml:space="preserve">
Machine tijd
ploegen of dagdienst</t>
        </r>
      </text>
    </comment>
    <comment ref="P14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lvb:</t>
        </r>
        <r>
          <rPr>
            <sz val="9"/>
            <color indexed="81"/>
            <rFont val="Tahoma"/>
            <family val="2"/>
          </rPr>
          <t xml:space="preserve">
wisselhout</t>
        </r>
      </text>
    </comment>
    <comment ref="P2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lvb:</t>
        </r>
        <r>
          <rPr>
            <sz val="9"/>
            <color indexed="81"/>
            <rFont val="Tahoma"/>
            <family val="2"/>
          </rPr>
          <t xml:space="preserve">
wisselhout</t>
        </r>
      </text>
    </comment>
  </commentList>
</comments>
</file>

<file path=xl/sharedStrings.xml><?xml version="1.0" encoding="utf-8"?>
<sst xmlns="http://schemas.openxmlformats.org/spreadsheetml/2006/main" count="308" uniqueCount="129">
  <si>
    <t>Cape 1</t>
  </si>
  <si>
    <t>datum</t>
  </si>
  <si>
    <t>cape1</t>
  </si>
  <si>
    <t>invoer</t>
  </si>
  <si>
    <t>dekken</t>
  </si>
  <si>
    <t>gem/pu</t>
  </si>
  <si>
    <t>extra w</t>
  </si>
  <si>
    <t>250 p/uur</t>
  </si>
  <si>
    <t>230p/u</t>
  </si>
  <si>
    <t>230 p/u</t>
  </si>
  <si>
    <t>product</t>
  </si>
  <si>
    <t>stuks</t>
  </si>
  <si>
    <t>wissel</t>
  </si>
  <si>
    <t>w/h</t>
  </si>
  <si>
    <t>uren</t>
  </si>
  <si>
    <t>Uren</t>
  </si>
  <si>
    <t>rendement</t>
  </si>
  <si>
    <t>ma</t>
  </si>
  <si>
    <t>Cp7 ht</t>
  </si>
  <si>
    <t>di</t>
  </si>
  <si>
    <t>wo</t>
  </si>
  <si>
    <t>do</t>
  </si>
  <si>
    <t>vr</t>
  </si>
  <si>
    <t>za</t>
  </si>
  <si>
    <t>Cp7 Ht spaan</t>
  </si>
  <si>
    <t>Cape 2</t>
  </si>
  <si>
    <t>cape2</t>
  </si>
  <si>
    <t>265 p/uur</t>
  </si>
  <si>
    <t>265p/u</t>
  </si>
  <si>
    <t>265 p/u</t>
  </si>
  <si>
    <t>Wissel</t>
  </si>
  <si>
    <t xml:space="preserve">uren </t>
  </si>
  <si>
    <t>Vyncolite</t>
  </si>
  <si>
    <t>KTN 12/10</t>
  </si>
  <si>
    <t>Nutrilac</t>
  </si>
  <si>
    <t>Compo 11/11</t>
  </si>
  <si>
    <t>BC0898 (14)</t>
  </si>
  <si>
    <t>BC 0898</t>
  </si>
  <si>
    <t>Sidaplax Din</t>
  </si>
  <si>
    <t>A&amp;R</t>
  </si>
  <si>
    <t xml:space="preserve">VLS </t>
  </si>
  <si>
    <t>Arteco 12/12</t>
  </si>
  <si>
    <t xml:space="preserve">Art 010 </t>
  </si>
  <si>
    <t>Cp9 ht Hout</t>
  </si>
  <si>
    <t>IVC</t>
  </si>
  <si>
    <t>Cape 5</t>
  </si>
  <si>
    <t>cape5</t>
  </si>
  <si>
    <t>280 p/uur</t>
  </si>
  <si>
    <t>Cp9 ht/kd</t>
  </si>
  <si>
    <t>Sidaplax</t>
  </si>
  <si>
    <t>E2SE+E2SE80/80</t>
  </si>
  <si>
    <t>JBF Global 11/11</t>
  </si>
  <si>
    <t>JBF GL</t>
  </si>
  <si>
    <t>Artois 14/10</t>
  </si>
  <si>
    <t>SGD PH</t>
  </si>
  <si>
    <t>Cp6 Ht/Kd</t>
  </si>
  <si>
    <t>Cp6 ht/kd</t>
  </si>
  <si>
    <t>cp6 ht</t>
  </si>
  <si>
    <t>vd Putte</t>
  </si>
  <si>
    <t>VDPutte</t>
  </si>
  <si>
    <t>Duvel 12/9</t>
  </si>
  <si>
    <t>Duvel 12/10</t>
  </si>
  <si>
    <t>DAX C5</t>
  </si>
  <si>
    <t>.Ward Eelen</t>
  </si>
  <si>
    <t>Cp9 o.dek</t>
  </si>
  <si>
    <t>Op9 o.dek</t>
  </si>
  <si>
    <t>\\Ddp01\d$\DATA\AXEL\Productie\voorraadtotaal 2007.xls</t>
  </si>
  <si>
    <t xml:space="preserve">totaal </t>
  </si>
  <si>
    <t>pallets</t>
  </si>
  <si>
    <t>totaal aan vrachten</t>
  </si>
  <si>
    <t>dag</t>
  </si>
  <si>
    <t>officieel aantal uren productie (8 of 16)</t>
  </si>
  <si>
    <t>aantal wissels (240min)</t>
  </si>
  <si>
    <t>wissel houtsoort (20min)</t>
  </si>
  <si>
    <t>productietijd 1 (min)</t>
  </si>
  <si>
    <t>standaard cyclustijd 1 (sec)</t>
  </si>
  <si>
    <t>max aantal te produceren pallets 1</t>
  </si>
  <si>
    <t>aantal 1e keuze pallets 1</t>
  </si>
  <si>
    <t>rendement 1 (%)</t>
  </si>
  <si>
    <t>productietijd 2 (min)</t>
  </si>
  <si>
    <t>standaard cyclustijd 2 (sec)</t>
  </si>
  <si>
    <t>max aantal te produceren pallets 2</t>
  </si>
  <si>
    <t>aantal 1e keuze pallets 2</t>
  </si>
  <si>
    <t>rendement 2 (%)</t>
  </si>
  <si>
    <t>productietijd 3 (min)</t>
  </si>
  <si>
    <t xml:space="preserve"> </t>
  </si>
  <si>
    <t>standaard cyclustijd 3 (sec)</t>
  </si>
  <si>
    <t>max aantal te produceren pallets 3</t>
  </si>
  <si>
    <t>aantal 1e keuze pallets 3</t>
  </si>
  <si>
    <t>rendement 3 (%)</t>
  </si>
  <si>
    <t>productietijd 4 (min)</t>
  </si>
  <si>
    <t>standaard cyclustijd 4 (sec)</t>
  </si>
  <si>
    <t>max aantal te produceren pallets 4</t>
  </si>
  <si>
    <t>aantal 1e keuze pallets 4</t>
  </si>
  <si>
    <t>rendement 4 (%)</t>
  </si>
  <si>
    <t>dagrendement (%)</t>
  </si>
  <si>
    <t>weekrendement (%)</t>
  </si>
  <si>
    <t>berekening pallets per uur</t>
  </si>
  <si>
    <t xml:space="preserve">235 per uur </t>
  </si>
  <si>
    <t>cp9 ht</t>
  </si>
  <si>
    <t>3600/15.2</t>
  </si>
  <si>
    <t>cp1 ht</t>
  </si>
  <si>
    <t>cp3</t>
  </si>
  <si>
    <t>cp3 ht</t>
  </si>
  <si>
    <t>Arcelor</t>
  </si>
  <si>
    <t>cp6</t>
  </si>
  <si>
    <t>PVG</t>
  </si>
  <si>
    <t>v/d Jagt</t>
  </si>
  <si>
    <t>cp7</t>
  </si>
  <si>
    <t>cp7 ht</t>
  </si>
  <si>
    <t>prs7</t>
  </si>
  <si>
    <t>prs7 ht</t>
  </si>
  <si>
    <t>DSM nutr</t>
  </si>
  <si>
    <t>DSM citr</t>
  </si>
  <si>
    <t>P20</t>
  </si>
  <si>
    <t>eastmz ht</t>
  </si>
  <si>
    <t>eastmv ht</t>
  </si>
  <si>
    <t>zuidch ht</t>
  </si>
  <si>
    <t>c80</t>
  </si>
  <si>
    <t>c100</t>
  </si>
  <si>
    <t>c100 ht</t>
  </si>
  <si>
    <t>c105</t>
  </si>
  <si>
    <t>bro120</t>
  </si>
  <si>
    <t>bro116</t>
  </si>
  <si>
    <t>cp5</t>
  </si>
  <si>
    <t>cp5 ht</t>
  </si>
  <si>
    <t>aantal wissels (75min)</t>
  </si>
  <si>
    <t>aantal wissels (60min)</t>
  </si>
  <si>
    <t>wissel houtsoort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</si>
</sst>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0"/>
      <name val="Arial"/>
    </font>
    <font>
      <b/>
      <sz val="12"/>
      <name val="Arial"/>
      <family val="2"/>
    </font>
    <font>
      <sz val="10"/>
      <color indexed="57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u/>
      <sz val="12"/>
      <color indexed="10"/>
      <name val="Arial"/>
      <family val="2"/>
    </font>
    <font>
      <u/>
      <sz val="10"/>
      <color indexed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Arial"/>
      <family val="2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i/>
      <sz val="10"/>
      <name val="Arial"/>
      <family val="2"/>
    </font>
    <font>
      <b/>
      <sz val="10"/>
      <color indexed="9"/>
      <name val="Arial"/>
      <family val="2"/>
    </font>
    <font>
      <b/>
      <sz val="10"/>
      <color rgb="FFFF0000"/>
      <name val="Arial"/>
      <family val="2"/>
    </font>
    <font>
      <b/>
      <sz val="10"/>
      <color rgb="FF9C6500"/>
      <name val="Calibri"/>
      <family val="2"/>
      <scheme val="minor"/>
    </font>
    <font>
      <b/>
      <u/>
      <sz val="11"/>
      <color indexed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E69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/>
  </cellStyleXfs>
  <cellXfs count="6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hidden="1"/>
    </xf>
    <xf numFmtId="0" fontId="3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1" fillId="0" borderId="0" xfId="0" applyFont="1"/>
    <xf numFmtId="1" fontId="1" fillId="0" borderId="0" xfId="0" applyNumberFormat="1" applyFont="1"/>
    <xf numFmtId="2" fontId="2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1" applyAlignment="1" applyProtection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9" fillId="0" borderId="1" xfId="0" applyFont="1" applyBorder="1" applyAlignment="1">
      <alignment horizontal="right"/>
    </xf>
    <xf numFmtId="0" fontId="9" fillId="2" borderId="1" xfId="0" applyFont="1" applyFill="1" applyBorder="1"/>
    <xf numFmtId="14" fontId="9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11" fillId="0" borderId="1" xfId="0" applyFont="1" applyBorder="1"/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/>
    <xf numFmtId="1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164" fontId="11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164" fontId="11" fillId="0" borderId="1" xfId="0" applyNumberFormat="1" applyFont="1" applyBorder="1"/>
    <xf numFmtId="0" fontId="9" fillId="4" borderId="1" xfId="0" applyFont="1" applyFill="1" applyBorder="1" applyAlignment="1">
      <alignment horizontal="center"/>
    </xf>
    <xf numFmtId="1" fontId="16" fillId="0" borderId="1" xfId="0" applyNumberFormat="1" applyFont="1" applyBorder="1" applyAlignment="1">
      <alignment horizontal="center"/>
    </xf>
    <xf numFmtId="0" fontId="17" fillId="3" borderId="3" xfId="2" applyFont="1" applyBorder="1"/>
    <xf numFmtId="0" fontId="17" fillId="3" borderId="3" xfId="2" applyFont="1" applyBorder="1" applyAlignment="1">
      <alignment horizontal="center"/>
    </xf>
    <xf numFmtId="0" fontId="17" fillId="3" borderId="3" xfId="2" applyFont="1" applyBorder="1" applyAlignment="1">
      <alignment horizontal="right"/>
    </xf>
    <xf numFmtId="1" fontId="17" fillId="3" borderId="3" xfId="2" applyNumberFormat="1" applyFont="1" applyBorder="1" applyAlignment="1">
      <alignment horizontal="center"/>
    </xf>
    <xf numFmtId="164" fontId="17" fillId="3" borderId="3" xfId="2" applyNumberFormat="1" applyFont="1" applyBorder="1" applyAlignment="1">
      <alignment horizontal="center"/>
    </xf>
    <xf numFmtId="2" fontId="17" fillId="3" borderId="3" xfId="2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164" fontId="9" fillId="0" borderId="3" xfId="0" applyNumberFormat="1" applyFont="1" applyBorder="1"/>
    <xf numFmtId="0" fontId="17" fillId="3" borderId="0" xfId="2" applyFont="1" applyAlignment="1">
      <alignment horizontal="center"/>
    </xf>
    <xf numFmtId="1" fontId="17" fillId="3" borderId="3" xfId="2" applyNumberFormat="1" applyFont="1" applyBorder="1"/>
    <xf numFmtId="164" fontId="17" fillId="3" borderId="3" xfId="2" applyNumberFormat="1" applyFont="1" applyBorder="1"/>
    <xf numFmtId="164" fontId="11" fillId="0" borderId="6" xfId="0" applyNumberFormat="1" applyFont="1" applyBorder="1" applyAlignment="1">
      <alignment horizontal="center"/>
    </xf>
    <xf numFmtId="164" fontId="9" fillId="0" borderId="5" xfId="0" applyNumberFormat="1" applyFont="1" applyBorder="1" applyAlignment="1">
      <alignment horizontal="center"/>
    </xf>
    <xf numFmtId="164" fontId="9" fillId="0" borderId="7" xfId="0" applyNumberFormat="1" applyFont="1" applyBorder="1"/>
    <xf numFmtId="164" fontId="9" fillId="0" borderId="4" xfId="0" applyNumberFormat="1" applyFont="1" applyBorder="1"/>
    <xf numFmtId="0" fontId="9" fillId="0" borderId="8" xfId="0" applyFont="1" applyBorder="1"/>
    <xf numFmtId="0" fontId="13" fillId="0" borderId="0" xfId="0" applyFont="1"/>
    <xf numFmtId="16" fontId="9" fillId="0" borderId="1" xfId="0" applyNumberFormat="1" applyFont="1" applyBorder="1" applyAlignment="1">
      <alignment horizontal="center"/>
    </xf>
    <xf numFmtId="16" fontId="9" fillId="4" borderId="1" xfId="0" applyNumberFormat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1" fontId="18" fillId="0" borderId="0" xfId="0" applyNumberFormat="1" applyFont="1" applyAlignment="1">
      <alignment horizontal="center"/>
    </xf>
    <xf numFmtId="0" fontId="13" fillId="0" borderId="0" xfId="0" applyFont="1" applyAlignment="1">
      <alignment horizontal="right"/>
    </xf>
    <xf numFmtId="164" fontId="18" fillId="0" borderId="0" xfId="0" applyNumberFormat="1" applyFont="1" applyAlignment="1">
      <alignment horizontal="center"/>
    </xf>
    <xf numFmtId="0" fontId="11" fillId="6" borderId="0" xfId="0" applyFont="1" applyFill="1" applyAlignment="1">
      <alignment horizontal="center"/>
    </xf>
    <xf numFmtId="1" fontId="11" fillId="6" borderId="0" xfId="0" applyNumberFormat="1" applyFont="1" applyFill="1" applyAlignment="1">
      <alignment horizontal="center"/>
    </xf>
    <xf numFmtId="0" fontId="11" fillId="0" borderId="0" xfId="0" applyFont="1" applyAlignment="1">
      <alignment horizontal="center"/>
    </xf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68315428988652"/>
          <c:y val="5.1682722639067806E-2"/>
          <c:w val="0.67204785739028705"/>
          <c:h val="0.79687546766748729"/>
        </c:manualLayout>
      </c:layout>
      <c:barChart>
        <c:barDir val="col"/>
        <c:grouping val="clustered"/>
        <c:varyColors val="0"/>
        <c:ser>
          <c:idx val="1"/>
          <c:order val="0"/>
          <c:tx>
            <c:v>aantal pallets cape 1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berekening!$A$4:$A$9</c:f>
              <c:strCache>
                <c:ptCount val="6"/>
                <c:pt idx="0">
                  <c:v>ma</c:v>
                </c:pt>
                <c:pt idx="1">
                  <c:v>di</c:v>
                </c:pt>
                <c:pt idx="2">
                  <c:v>wo</c:v>
                </c:pt>
                <c:pt idx="3">
                  <c:v>do</c:v>
                </c:pt>
                <c:pt idx="4">
                  <c:v>vr</c:v>
                </c:pt>
                <c:pt idx="5">
                  <c:v>za</c:v>
                </c:pt>
              </c:strCache>
            </c:strRef>
          </c:cat>
          <c:val>
            <c:numRef>
              <c:f>cape1!$B$8:$G$8</c:f>
              <c:numCache>
                <c:formatCode>General</c:formatCode>
                <c:ptCount val="6"/>
                <c:pt idx="0">
                  <c:v>1400</c:v>
                </c:pt>
                <c:pt idx="1">
                  <c:v>0</c:v>
                </c:pt>
                <c:pt idx="2">
                  <c:v>0</c:v>
                </c:pt>
                <c:pt idx="3">
                  <c:v>1320</c:v>
                </c:pt>
                <c:pt idx="4">
                  <c:v>0</c:v>
                </c:pt>
                <c:pt idx="5">
                  <c:v>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49-4211-85BC-08A72AF00032}"/>
            </c:ext>
          </c:extLst>
        </c:ser>
        <c:ser>
          <c:idx val="0"/>
          <c:order val="1"/>
          <c:tx>
            <c:v>aantal pallets cape 2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cape2!$B$8:$G$8</c:f>
              <c:numCache>
                <c:formatCode>General</c:formatCode>
                <c:ptCount val="6"/>
                <c:pt idx="0">
                  <c:v>1745</c:v>
                </c:pt>
                <c:pt idx="1">
                  <c:v>2724</c:v>
                </c:pt>
                <c:pt idx="2">
                  <c:v>2888</c:v>
                </c:pt>
                <c:pt idx="3">
                  <c:v>918</c:v>
                </c:pt>
                <c:pt idx="4">
                  <c:v>2994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49-4211-85BC-08A72AF00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5506360"/>
        <c:axId val="1"/>
      </c:barChart>
      <c:lineChart>
        <c:grouping val="standard"/>
        <c:varyColors val="0"/>
        <c:ser>
          <c:idx val="4"/>
          <c:order val="2"/>
          <c:tx>
            <c:v>aantal pallets cape 5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val>
            <c:numRef>
              <c:f>'cape 5'!$B$8:$G$8</c:f>
              <c:numCache>
                <c:formatCode>0</c:formatCode>
                <c:ptCount val="6"/>
                <c:pt idx="0">
                  <c:v>3859</c:v>
                </c:pt>
                <c:pt idx="1">
                  <c:v>3513</c:v>
                </c:pt>
                <c:pt idx="2">
                  <c:v>4233</c:v>
                </c:pt>
                <c:pt idx="3">
                  <c:v>3715</c:v>
                </c:pt>
                <c:pt idx="4">
                  <c:v>3657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B9-4DC1-B453-99ACA68606D3}"/>
            </c:ext>
          </c:extLst>
        </c:ser>
        <c:ser>
          <c:idx val="2"/>
          <c:order val="3"/>
          <c:tx>
            <c:v>rendement cape 1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berekening!$A$4:$A$9</c:f>
              <c:strCache>
                <c:ptCount val="6"/>
                <c:pt idx="0">
                  <c:v>ma</c:v>
                </c:pt>
                <c:pt idx="1">
                  <c:v>di</c:v>
                </c:pt>
                <c:pt idx="2">
                  <c:v>wo</c:v>
                </c:pt>
                <c:pt idx="3">
                  <c:v>do</c:v>
                </c:pt>
                <c:pt idx="4">
                  <c:v>vr</c:v>
                </c:pt>
                <c:pt idx="5">
                  <c:v>za</c:v>
                </c:pt>
              </c:strCache>
            </c:strRef>
          </c:cat>
          <c:val>
            <c:numRef>
              <c:f>cape1!$B$9:$G$9</c:f>
              <c:numCache>
                <c:formatCode>General</c:formatCode>
                <c:ptCount val="6"/>
                <c:pt idx="0">
                  <c:v>73.900000000000006</c:v>
                </c:pt>
                <c:pt idx="1">
                  <c:v>0</c:v>
                </c:pt>
                <c:pt idx="2">
                  <c:v>0</c:v>
                </c:pt>
                <c:pt idx="3">
                  <c:v>69.699999999999989</c:v>
                </c:pt>
                <c:pt idx="4">
                  <c:v>0</c:v>
                </c:pt>
                <c:pt idx="5">
                  <c:v>69.8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49-4211-85BC-08A72AF00032}"/>
            </c:ext>
          </c:extLst>
        </c:ser>
        <c:ser>
          <c:idx val="3"/>
          <c:order val="4"/>
          <c:tx>
            <c:v>rendement cape 2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berekening!$A$4:$A$9</c:f>
              <c:strCache>
                <c:ptCount val="6"/>
                <c:pt idx="0">
                  <c:v>ma</c:v>
                </c:pt>
                <c:pt idx="1">
                  <c:v>di</c:v>
                </c:pt>
                <c:pt idx="2">
                  <c:v>wo</c:v>
                </c:pt>
                <c:pt idx="3">
                  <c:v>do</c:v>
                </c:pt>
                <c:pt idx="4">
                  <c:v>vr</c:v>
                </c:pt>
                <c:pt idx="5">
                  <c:v>za</c:v>
                </c:pt>
              </c:strCache>
            </c:strRef>
          </c:cat>
          <c:val>
            <c:numRef>
              <c:f>cape2!$B$9:$G$9</c:f>
              <c:numCache>
                <c:formatCode>General</c:formatCode>
                <c:ptCount val="6"/>
                <c:pt idx="0">
                  <c:v>97.6</c:v>
                </c:pt>
                <c:pt idx="1">
                  <c:v>84</c:v>
                </c:pt>
                <c:pt idx="2">
                  <c:v>80.800000000000011</c:v>
                </c:pt>
                <c:pt idx="3">
                  <c:v>63</c:v>
                </c:pt>
                <c:pt idx="4">
                  <c:v>83.8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49-4211-85BC-08A72AF00032}"/>
            </c:ext>
          </c:extLst>
        </c:ser>
        <c:ser>
          <c:idx val="5"/>
          <c:order val="5"/>
          <c:tx>
            <c:v>Rendement cape 5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val>
            <c:numRef>
              <c:f>berekening!$S$26:$S$31</c:f>
              <c:numCache>
                <c:formatCode>0.00</c:formatCode>
                <c:ptCount val="6"/>
                <c:pt idx="0">
                  <c:v>107.2</c:v>
                </c:pt>
                <c:pt idx="1">
                  <c:v>90.1</c:v>
                </c:pt>
                <c:pt idx="2">
                  <c:v>94.1</c:v>
                </c:pt>
                <c:pt idx="3">
                  <c:v>82.6</c:v>
                </c:pt>
                <c:pt idx="4">
                  <c:v>93.8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B9-4DC1-B453-99ACA6860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655506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"/>
        <c:crosses val="autoZero"/>
        <c:auto val="0"/>
        <c:lblAlgn val="ctr"/>
        <c:lblOffset val="100"/>
        <c:tickMarkSkip val="1"/>
        <c:noMultiLvlLbl val="0"/>
      </c:catAx>
      <c:valAx>
        <c:axId val="1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55506360"/>
        <c:crosses val="autoZero"/>
        <c:crossBetween val="between"/>
        <c:majorUnit val="20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"/>
        <c:crossesAt val="0"/>
        <c:auto val="0"/>
        <c:lblAlgn val="ctr"/>
        <c:lblOffset val="100"/>
        <c:noMultiLvlLbl val="0"/>
      </c:catAx>
      <c:valAx>
        <c:axId val="4"/>
        <c:scaling>
          <c:orientation val="minMax"/>
          <c:max val="100"/>
        </c:scaling>
        <c:delete val="0"/>
        <c:axPos val="r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"/>
        <c:crosses val="max"/>
        <c:crossBetween val="between"/>
        <c:majorUnit val="10"/>
        <c:minorUnit val="0.2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LID4096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paperSize="9"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47626</xdr:colOff>
      <xdr:row>0</xdr:row>
      <xdr:rowOff>0</xdr:rowOff>
    </xdr:from>
    <xdr:to>
      <xdr:col>22</xdr:col>
      <xdr:colOff>285751</xdr:colOff>
      <xdr:row>48</xdr:row>
      <xdr:rowOff>155575</xdr:rowOff>
    </xdr:to>
    <xdr:graphicFrame macro="">
      <xdr:nvGraphicFramePr>
        <xdr:cNvPr id="2053" name="Chart 1">
          <a:extLst>
            <a:ext uri="{FF2B5EF4-FFF2-40B4-BE49-F238E27FC236}">
              <a16:creationId xmlns:a16="http://schemas.microsoft.com/office/drawing/2014/main" id="{5093424C-A65D-4C45-954B-0AFB0F567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0.39837</cdr:x>
      <cdr:y>0.0144</cdr:y>
    </cdr:from>
    <cdr:to>
      <cdr:x>0.52181</cdr:x>
      <cdr:y>0.03836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73067" y="117432"/>
          <a:ext cx="1385087" cy="1900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ackup\download\Documents%20and%20Settings\vb\Desktop\week%2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ltec"/>
      <sheetName val="cape1"/>
      <sheetName val="cape2"/>
      <sheetName val="berekenig"/>
      <sheetName val="Grafiek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file:///\\ddp01\d$\DATA\AXEL\Productie\voorraadtotaal%202007.xls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7"/>
  <sheetViews>
    <sheetView tabSelected="1" zoomScaleNormal="100" workbookViewId="0">
      <selection activeCell="E11" sqref="E11"/>
    </sheetView>
  </sheetViews>
  <sheetFormatPr defaultColWidth="9.109375" defaultRowHeight="15.6" x14ac:dyDescent="0.3"/>
  <cols>
    <col min="1" max="2" width="9.109375" style="13"/>
    <col min="3" max="3" width="13.88671875" style="16" bestFit="1" customWidth="1"/>
    <col min="4" max="4" width="7.109375" style="13" customWidth="1"/>
    <col min="5" max="5" width="14.88671875" style="13" bestFit="1" customWidth="1"/>
    <col min="6" max="6" width="5.6640625" style="13" bestFit="1" customWidth="1"/>
    <col min="7" max="7" width="22.44140625" style="13" bestFit="1" customWidth="1"/>
    <col min="8" max="8" width="5.6640625" style="13" bestFit="1" customWidth="1"/>
    <col min="9" max="9" width="17.33203125" style="13" customWidth="1"/>
    <col min="10" max="10" width="5.44140625" style="13" customWidth="1"/>
    <col min="11" max="11" width="8.33203125" style="14" bestFit="1" customWidth="1"/>
    <col min="12" max="12" width="7.88671875" style="13" customWidth="1"/>
    <col min="13" max="13" width="8.6640625" style="13" customWidth="1"/>
    <col min="14" max="14" width="9.33203125" style="13" bestFit="1" customWidth="1"/>
    <col min="15" max="15" width="11.6640625" style="13" customWidth="1"/>
    <col min="16" max="16" width="7.44140625" style="13" customWidth="1"/>
    <col min="17" max="17" width="7" style="13" customWidth="1"/>
    <col min="18" max="18" width="8.44140625" style="13" customWidth="1"/>
    <col min="19" max="19" width="18.5546875" style="13" customWidth="1"/>
    <col min="20" max="16384" width="9.109375" style="13"/>
  </cols>
  <sheetData>
    <row r="1" spans="1:28" x14ac:dyDescent="0.3">
      <c r="A1" s="18" t="s">
        <v>0</v>
      </c>
      <c r="B1" s="18" t="s">
        <v>1</v>
      </c>
      <c r="C1" s="22">
        <v>44648</v>
      </c>
      <c r="D1" s="18">
        <v>13</v>
      </c>
      <c r="E1" s="18">
        <v>2022</v>
      </c>
      <c r="F1" s="18"/>
      <c r="G1" s="18"/>
      <c r="H1" s="19"/>
      <c r="I1" s="19"/>
      <c r="J1" s="19"/>
      <c r="K1" s="29" t="s">
        <v>2</v>
      </c>
      <c r="L1" s="18"/>
      <c r="M1" s="18" t="s">
        <v>3</v>
      </c>
      <c r="N1" s="30" t="s">
        <v>4</v>
      </c>
      <c r="O1" s="18" t="s">
        <v>5</v>
      </c>
      <c r="P1" s="18"/>
      <c r="Q1" s="30" t="s">
        <v>6</v>
      </c>
      <c r="R1" s="19"/>
      <c r="S1" s="31" t="s">
        <v>7</v>
      </c>
    </row>
    <row r="2" spans="1:28" x14ac:dyDescent="0.3">
      <c r="A2" s="18"/>
      <c r="B2" s="18"/>
      <c r="C2" s="18"/>
      <c r="D2" s="18"/>
      <c r="E2" s="18"/>
      <c r="F2" s="18"/>
      <c r="G2" s="18"/>
      <c r="H2" s="19"/>
      <c r="I2" s="19"/>
      <c r="J2" s="19"/>
      <c r="K2" s="29"/>
      <c r="L2" s="18"/>
      <c r="M2" s="18" t="s">
        <v>8</v>
      </c>
      <c r="N2" s="18" t="s">
        <v>9</v>
      </c>
      <c r="O2" s="18">
        <f>K10/R10</f>
        <v>168.72727272727272</v>
      </c>
      <c r="P2" s="18"/>
      <c r="Q2" s="18"/>
      <c r="R2" s="19"/>
      <c r="S2" s="31"/>
    </row>
    <row r="3" spans="1:28" x14ac:dyDescent="0.3">
      <c r="A3" s="32"/>
      <c r="B3" s="18"/>
      <c r="C3" s="18" t="s">
        <v>10</v>
      </c>
      <c r="D3" s="18" t="s">
        <v>11</v>
      </c>
      <c r="E3" s="18" t="s">
        <v>10</v>
      </c>
      <c r="F3" s="18" t="s">
        <v>11</v>
      </c>
      <c r="G3" s="18" t="s">
        <v>10</v>
      </c>
      <c r="H3" s="18" t="s">
        <v>11</v>
      </c>
      <c r="I3" s="18" t="s">
        <v>10</v>
      </c>
      <c r="J3" s="18" t="s">
        <v>11</v>
      </c>
      <c r="K3" s="29"/>
      <c r="L3" s="18"/>
      <c r="M3" s="18"/>
      <c r="N3" s="18"/>
      <c r="O3" s="30" t="s">
        <v>12</v>
      </c>
      <c r="P3" s="30" t="s">
        <v>13</v>
      </c>
      <c r="Q3" s="18" t="s">
        <v>14</v>
      </c>
      <c r="R3" s="18" t="s">
        <v>15</v>
      </c>
      <c r="S3" s="18" t="s">
        <v>16</v>
      </c>
    </row>
    <row r="4" spans="1:28" x14ac:dyDescent="0.3">
      <c r="A4" s="33" t="s">
        <v>17</v>
      </c>
      <c r="B4" s="58">
        <f>C1</f>
        <v>44648</v>
      </c>
      <c r="C4" s="23" t="s">
        <v>18</v>
      </c>
      <c r="D4" s="23">
        <v>1400</v>
      </c>
      <c r="E4" s="23"/>
      <c r="F4" s="27"/>
      <c r="G4" s="23"/>
      <c r="H4" s="28"/>
      <c r="I4" s="23"/>
      <c r="J4" s="19"/>
      <c r="K4" s="29">
        <f>D4+F4+H4+J4+M4</f>
        <v>1400</v>
      </c>
      <c r="L4" s="34">
        <f>(D4/500)+F4/500</f>
        <v>2.8</v>
      </c>
      <c r="M4" s="35"/>
      <c r="N4" s="35"/>
      <c r="O4" s="36"/>
      <c r="P4" s="36"/>
      <c r="Q4" s="23"/>
      <c r="R4" s="23">
        <v>8</v>
      </c>
      <c r="S4" s="37">
        <f>cape1!B25</f>
        <v>73.900000000000006</v>
      </c>
      <c r="AB4" s="14">
        <f t="shared" ref="AB4:AB9" si="0">R4-O4</f>
        <v>8</v>
      </c>
    </row>
    <row r="5" spans="1:28" x14ac:dyDescent="0.3">
      <c r="A5" s="18" t="s">
        <v>19</v>
      </c>
      <c r="B5" s="58">
        <f>B4+1</f>
        <v>44649</v>
      </c>
      <c r="C5" s="23"/>
      <c r="D5" s="23"/>
      <c r="E5" s="23"/>
      <c r="F5" s="27"/>
      <c r="G5" s="23"/>
      <c r="H5" s="28"/>
      <c r="I5" s="23"/>
      <c r="J5" s="19"/>
      <c r="K5" s="29">
        <f>F5+D5+H5+M5+J5</f>
        <v>0</v>
      </c>
      <c r="L5" s="34">
        <f>(D5/540)+F5/540</f>
        <v>0</v>
      </c>
      <c r="M5" s="35"/>
      <c r="N5" s="35"/>
      <c r="O5" s="36"/>
      <c r="P5" s="36"/>
      <c r="Q5" s="23"/>
      <c r="R5" s="23">
        <v>0</v>
      </c>
      <c r="S5" s="37">
        <f>cape1!C25</f>
        <v>0</v>
      </c>
      <c r="AB5" s="14">
        <f t="shared" si="0"/>
        <v>0</v>
      </c>
    </row>
    <row r="6" spans="1:28" x14ac:dyDescent="0.3">
      <c r="A6" s="18" t="s">
        <v>20</v>
      </c>
      <c r="B6" s="58">
        <f t="shared" ref="B6:B9" si="1">B5+1</f>
        <v>44650</v>
      </c>
      <c r="C6" s="23"/>
      <c r="D6" s="23"/>
      <c r="E6" s="23"/>
      <c r="F6" s="27"/>
      <c r="G6" s="23"/>
      <c r="H6" s="28"/>
      <c r="I6" s="23"/>
      <c r="J6" s="19"/>
      <c r="K6" s="29">
        <f t="shared" ref="K6:K9" si="2">F6+D6+H6+M6+J6</f>
        <v>0</v>
      </c>
      <c r="L6" s="34">
        <f>(D6/540)+F6/540</f>
        <v>0</v>
      </c>
      <c r="M6" s="35"/>
      <c r="N6" s="35"/>
      <c r="O6" s="36"/>
      <c r="P6" s="36"/>
      <c r="Q6" s="23"/>
      <c r="R6" s="23">
        <v>0</v>
      </c>
      <c r="S6" s="37">
        <f>cape1!D25</f>
        <v>0</v>
      </c>
      <c r="AB6" s="14">
        <f t="shared" si="0"/>
        <v>0</v>
      </c>
    </row>
    <row r="7" spans="1:28" x14ac:dyDescent="0.3">
      <c r="A7" s="18" t="s">
        <v>21</v>
      </c>
      <c r="B7" s="58">
        <f t="shared" si="1"/>
        <v>44651</v>
      </c>
      <c r="C7" s="23" t="s">
        <v>18</v>
      </c>
      <c r="D7" s="23">
        <v>1320</v>
      </c>
      <c r="E7" s="23"/>
      <c r="F7" s="27"/>
      <c r="G7" s="23"/>
      <c r="H7" s="28"/>
      <c r="I7" s="23"/>
      <c r="J7" s="21"/>
      <c r="K7" s="29">
        <f t="shared" si="2"/>
        <v>1320</v>
      </c>
      <c r="L7" s="34">
        <f>(D7/540)+F7/540</f>
        <v>2.4444444444444446</v>
      </c>
      <c r="M7" s="35"/>
      <c r="N7" s="38"/>
      <c r="O7" s="36"/>
      <c r="P7" s="36"/>
      <c r="Q7" s="23"/>
      <c r="R7" s="23">
        <v>8</v>
      </c>
      <c r="S7" s="37">
        <f>cape1!E25</f>
        <v>69.7</v>
      </c>
      <c r="AB7" s="14">
        <f t="shared" si="0"/>
        <v>8</v>
      </c>
    </row>
    <row r="8" spans="1:28" x14ac:dyDescent="0.3">
      <c r="A8" s="18" t="s">
        <v>22</v>
      </c>
      <c r="B8" s="58">
        <f t="shared" si="1"/>
        <v>44652</v>
      </c>
      <c r="C8" s="23"/>
      <c r="D8" s="23"/>
      <c r="E8" s="23"/>
      <c r="F8" s="27"/>
      <c r="G8" s="23"/>
      <c r="H8" s="28"/>
      <c r="I8" s="23"/>
      <c r="J8" s="21"/>
      <c r="K8" s="29">
        <f t="shared" si="2"/>
        <v>0</v>
      </c>
      <c r="L8" s="34">
        <f>(D8/540)+F8/540</f>
        <v>0</v>
      </c>
      <c r="M8" s="35"/>
      <c r="N8" s="35"/>
      <c r="O8" s="36"/>
      <c r="P8" s="36"/>
      <c r="Q8" s="23"/>
      <c r="R8" s="23">
        <v>0</v>
      </c>
      <c r="S8" s="37">
        <f>cape1!F25</f>
        <v>0</v>
      </c>
      <c r="AB8" s="14">
        <f t="shared" si="0"/>
        <v>0</v>
      </c>
    </row>
    <row r="9" spans="1:28" x14ac:dyDescent="0.3">
      <c r="A9" s="39" t="s">
        <v>23</v>
      </c>
      <c r="B9" s="59">
        <f t="shared" si="1"/>
        <v>44653</v>
      </c>
      <c r="C9" s="23" t="s">
        <v>24</v>
      </c>
      <c r="D9" s="23">
        <v>992</v>
      </c>
      <c r="E9" s="23"/>
      <c r="F9" s="23"/>
      <c r="G9" s="23"/>
      <c r="H9" s="26"/>
      <c r="I9" s="23"/>
      <c r="J9" s="19"/>
      <c r="K9" s="29">
        <f t="shared" si="2"/>
        <v>992</v>
      </c>
      <c r="L9" s="34">
        <f>(D9/540)+F9/540</f>
        <v>1.837037037037037</v>
      </c>
      <c r="M9" s="35"/>
      <c r="N9" s="35"/>
      <c r="O9" s="36"/>
      <c r="P9" s="36"/>
      <c r="Q9" s="23"/>
      <c r="R9" s="23">
        <v>6</v>
      </c>
      <c r="S9" s="37">
        <f>cape1!G25</f>
        <v>69.8</v>
      </c>
      <c r="AB9" s="14">
        <f t="shared" si="0"/>
        <v>6</v>
      </c>
    </row>
    <row r="10" spans="1:28" x14ac:dyDescent="0.3">
      <c r="A10" s="19"/>
      <c r="B10" s="18"/>
      <c r="C10" s="18"/>
      <c r="D10" s="19"/>
      <c r="E10" s="19"/>
      <c r="F10" s="20"/>
      <c r="G10" s="20"/>
      <c r="H10" s="19"/>
      <c r="I10" s="19"/>
      <c r="J10" s="19"/>
      <c r="K10" s="40">
        <f>SUM(K4:K9)</f>
        <v>3712</v>
      </c>
      <c r="L10" s="34">
        <f>SUM(L4:L9)</f>
        <v>7.0814814814814815</v>
      </c>
      <c r="M10" s="34">
        <f>SUM(M4:M9)</f>
        <v>0</v>
      </c>
      <c r="N10" s="34">
        <f>SUM(N4:N9)</f>
        <v>0</v>
      </c>
      <c r="O10" s="19"/>
      <c r="P10" s="19"/>
      <c r="Q10" s="18">
        <f>SUM(Q4:Q9)</f>
        <v>0</v>
      </c>
      <c r="R10" s="18">
        <f>SUM(R4:R9)</f>
        <v>22</v>
      </c>
      <c r="S10" s="37">
        <f>cape1!B27</f>
        <v>71.3</v>
      </c>
      <c r="AB10" s="14"/>
    </row>
    <row r="11" spans="1:28" x14ac:dyDescent="0.3">
      <c r="A11" s="41"/>
      <c r="B11" s="42"/>
      <c r="C11" s="42"/>
      <c r="D11" s="41"/>
      <c r="E11" s="41"/>
      <c r="F11" s="43"/>
      <c r="G11" s="43"/>
      <c r="H11" s="41"/>
      <c r="I11" s="41"/>
      <c r="J11" s="41"/>
      <c r="K11" s="44"/>
      <c r="L11" s="45"/>
      <c r="M11" s="45"/>
      <c r="N11" s="45"/>
      <c r="O11" s="41"/>
      <c r="P11" s="41"/>
      <c r="Q11" s="41"/>
      <c r="R11" s="41"/>
      <c r="S11" s="46"/>
      <c r="AB11" s="14"/>
    </row>
    <row r="12" spans="1:28" x14ac:dyDescent="0.3">
      <c r="A12" s="18" t="s">
        <v>25</v>
      </c>
      <c r="B12" s="18" t="s">
        <v>1</v>
      </c>
      <c r="C12" s="18"/>
      <c r="D12" s="18"/>
      <c r="E12" s="18"/>
      <c r="F12" s="18"/>
      <c r="G12" s="18"/>
      <c r="H12" s="19"/>
      <c r="I12" s="19"/>
      <c r="J12" s="19"/>
      <c r="K12" s="29" t="s">
        <v>26</v>
      </c>
      <c r="L12" s="18"/>
      <c r="M12" s="18" t="s">
        <v>3</v>
      </c>
      <c r="N12" s="18" t="s">
        <v>4</v>
      </c>
      <c r="O12" s="18" t="s">
        <v>5</v>
      </c>
      <c r="P12" s="18"/>
      <c r="Q12" s="18" t="s">
        <v>6</v>
      </c>
      <c r="R12" s="18"/>
      <c r="S12" s="31" t="s">
        <v>27</v>
      </c>
    </row>
    <row r="13" spans="1:28" x14ac:dyDescent="0.3">
      <c r="A13" s="18"/>
      <c r="B13" s="18"/>
      <c r="C13" s="18"/>
      <c r="D13" s="18"/>
      <c r="E13" s="18"/>
      <c r="F13" s="18"/>
      <c r="G13" s="18"/>
      <c r="H13" s="19"/>
      <c r="I13" s="19"/>
      <c r="J13" s="19"/>
      <c r="K13" s="29"/>
      <c r="L13" s="18"/>
      <c r="M13" s="18" t="s">
        <v>28</v>
      </c>
      <c r="N13" s="18" t="s">
        <v>29</v>
      </c>
      <c r="O13" s="18">
        <f>K21/R21</f>
        <v>176.078125</v>
      </c>
      <c r="P13" s="18"/>
      <c r="Q13" s="18"/>
      <c r="R13" s="18"/>
      <c r="S13" s="31"/>
    </row>
    <row r="14" spans="1:28" x14ac:dyDescent="0.3">
      <c r="A14" s="18"/>
      <c r="B14" s="18"/>
      <c r="C14" s="18" t="s">
        <v>10</v>
      </c>
      <c r="D14" s="18" t="s">
        <v>11</v>
      </c>
      <c r="E14" s="18" t="s">
        <v>10</v>
      </c>
      <c r="F14" s="18" t="s">
        <v>11</v>
      </c>
      <c r="G14" s="18" t="s">
        <v>10</v>
      </c>
      <c r="H14" s="18" t="s">
        <v>11</v>
      </c>
      <c r="I14" s="18" t="s">
        <v>10</v>
      </c>
      <c r="J14" s="18" t="s">
        <v>11</v>
      </c>
      <c r="K14" s="29"/>
      <c r="L14" s="18"/>
      <c r="M14" s="18"/>
      <c r="N14" s="18"/>
      <c r="O14" s="18" t="s">
        <v>30</v>
      </c>
      <c r="P14" s="30" t="s">
        <v>13</v>
      </c>
      <c r="Q14" s="18" t="s">
        <v>31</v>
      </c>
      <c r="R14" s="18" t="s">
        <v>15</v>
      </c>
      <c r="S14" s="18" t="s">
        <v>16</v>
      </c>
      <c r="V14" s="25"/>
    </row>
    <row r="15" spans="1:28" x14ac:dyDescent="0.3">
      <c r="A15" s="33" t="s">
        <v>17</v>
      </c>
      <c r="B15" s="58">
        <f>B4</f>
        <v>44648</v>
      </c>
      <c r="C15" s="23" t="s">
        <v>32</v>
      </c>
      <c r="D15" s="23">
        <v>1056</v>
      </c>
      <c r="E15" s="23" t="s">
        <v>33</v>
      </c>
      <c r="F15" s="23">
        <v>689</v>
      </c>
      <c r="G15" s="23"/>
      <c r="H15" s="28"/>
      <c r="I15" s="23"/>
      <c r="J15" s="21"/>
      <c r="K15" s="29">
        <f>F15+D15+H15+M15+J15</f>
        <v>1745</v>
      </c>
      <c r="L15" s="34">
        <f>((F15/500)+(D15/500)+(H15/500))</f>
        <v>3.49</v>
      </c>
      <c r="M15" s="35"/>
      <c r="N15" s="35"/>
      <c r="O15" s="36">
        <v>1</v>
      </c>
      <c r="P15" s="36"/>
      <c r="Q15" s="23"/>
      <c r="R15" s="23">
        <v>8</v>
      </c>
      <c r="S15" s="37">
        <f>cape2!B25</f>
        <v>97.6</v>
      </c>
      <c r="AB15" s="14">
        <f t="shared" ref="AB15:AB32" si="3">R15-O15</f>
        <v>7</v>
      </c>
    </row>
    <row r="16" spans="1:28" x14ac:dyDescent="0.3">
      <c r="A16" s="18" t="s">
        <v>19</v>
      </c>
      <c r="B16" s="58">
        <f t="shared" ref="B16:B20" si="4">B5</f>
        <v>44649</v>
      </c>
      <c r="C16" s="23" t="s">
        <v>33</v>
      </c>
      <c r="D16" s="23">
        <f>1165-F15</f>
        <v>476</v>
      </c>
      <c r="E16" s="23" t="s">
        <v>34</v>
      </c>
      <c r="F16" s="23">
        <v>1275</v>
      </c>
      <c r="G16" s="23" t="s">
        <v>35</v>
      </c>
      <c r="H16" s="28">
        <v>963</v>
      </c>
      <c r="I16" s="23" t="s">
        <v>36</v>
      </c>
      <c r="J16" s="21">
        <v>10</v>
      </c>
      <c r="K16" s="29">
        <f>F16+D16+H16+M16+J16</f>
        <v>2724</v>
      </c>
      <c r="L16" s="34">
        <f>((F16/500)+(D16/500)+(H16/500)+(J16/500))</f>
        <v>5.4479999999999995</v>
      </c>
      <c r="M16" s="35"/>
      <c r="N16" s="35"/>
      <c r="O16" s="36">
        <v>3</v>
      </c>
      <c r="P16" s="36"/>
      <c r="Q16" s="23"/>
      <c r="R16" s="23">
        <v>16</v>
      </c>
      <c r="S16" s="37">
        <f>cape2!C25</f>
        <v>84</v>
      </c>
      <c r="AB16" s="14">
        <f t="shared" si="3"/>
        <v>13</v>
      </c>
    </row>
    <row r="17" spans="1:28" x14ac:dyDescent="0.3">
      <c r="A17" s="18" t="s">
        <v>20</v>
      </c>
      <c r="B17" s="58">
        <f t="shared" si="4"/>
        <v>44650</v>
      </c>
      <c r="C17" s="23" t="s">
        <v>37</v>
      </c>
      <c r="D17" s="23">
        <v>1020</v>
      </c>
      <c r="E17" s="23" t="s">
        <v>38</v>
      </c>
      <c r="F17" s="23">
        <v>1190</v>
      </c>
      <c r="G17" s="66" t="s">
        <v>39</v>
      </c>
      <c r="H17" s="28">
        <v>678</v>
      </c>
      <c r="I17" s="23"/>
      <c r="J17" s="21"/>
      <c r="K17" s="29">
        <f>F17+D17+H17+M17+J17</f>
        <v>2888</v>
      </c>
      <c r="L17" s="34">
        <f>((F17/500)+(D17/500)+(H17/500))</f>
        <v>5.7759999999999998</v>
      </c>
      <c r="M17" s="35"/>
      <c r="N17" s="35"/>
      <c r="O17" s="36">
        <v>2</v>
      </c>
      <c r="P17" s="36"/>
      <c r="Q17" s="23"/>
      <c r="R17" s="23">
        <v>16</v>
      </c>
      <c r="S17" s="37">
        <f>cape2!D25</f>
        <v>80.8</v>
      </c>
      <c r="AB17" s="14">
        <f t="shared" si="3"/>
        <v>14</v>
      </c>
    </row>
    <row r="18" spans="1:28" x14ac:dyDescent="0.3">
      <c r="A18" s="18" t="s">
        <v>21</v>
      </c>
      <c r="B18" s="58">
        <f t="shared" si="4"/>
        <v>44651</v>
      </c>
      <c r="C18" s="23" t="s">
        <v>39</v>
      </c>
      <c r="D18" s="23">
        <v>18</v>
      </c>
      <c r="E18" s="23" t="s">
        <v>40</v>
      </c>
      <c r="F18" s="23">
        <v>330</v>
      </c>
      <c r="G18" s="23" t="s">
        <v>41</v>
      </c>
      <c r="H18" s="28">
        <v>570</v>
      </c>
      <c r="I18" s="23"/>
      <c r="J18" s="21"/>
      <c r="K18" s="29">
        <f>F18+D18+H18+M18+J18</f>
        <v>918</v>
      </c>
      <c r="L18" s="34">
        <f>((F18/500)+(D18/500)+(H18/500))</f>
        <v>1.8359999999999999</v>
      </c>
      <c r="M18" s="35"/>
      <c r="N18" s="35"/>
      <c r="O18" s="36">
        <v>2</v>
      </c>
      <c r="P18" s="36"/>
      <c r="Q18" s="23"/>
      <c r="R18" s="23">
        <v>8</v>
      </c>
      <c r="S18" s="37">
        <f>cape2!E25</f>
        <v>63</v>
      </c>
      <c r="AB18" s="14">
        <f t="shared" si="3"/>
        <v>6</v>
      </c>
    </row>
    <row r="19" spans="1:28" x14ac:dyDescent="0.3">
      <c r="A19" s="18" t="s">
        <v>22</v>
      </c>
      <c r="B19" s="58">
        <f t="shared" si="4"/>
        <v>44652</v>
      </c>
      <c r="C19" s="23" t="s">
        <v>42</v>
      </c>
      <c r="D19" s="23">
        <f>1427-H18</f>
        <v>857</v>
      </c>
      <c r="E19" s="23" t="s">
        <v>43</v>
      </c>
      <c r="F19" s="23">
        <v>973</v>
      </c>
      <c r="G19" s="23" t="s">
        <v>44</v>
      </c>
      <c r="H19" s="28">
        <v>1164</v>
      </c>
      <c r="I19" s="23"/>
      <c r="J19" s="21"/>
      <c r="K19" s="29">
        <f>F19+D19+H19+M19+J19</f>
        <v>2994</v>
      </c>
      <c r="L19" s="34">
        <f>((F19/500)+(D19/500)+(H19/500))</f>
        <v>5.9879999999999995</v>
      </c>
      <c r="M19" s="35"/>
      <c r="N19" s="35"/>
      <c r="O19" s="36">
        <v>2</v>
      </c>
      <c r="P19" s="36"/>
      <c r="Q19" s="23"/>
      <c r="R19" s="23">
        <v>16</v>
      </c>
      <c r="S19" s="37">
        <f>cape2!F25</f>
        <v>83.8</v>
      </c>
      <c r="AB19" s="14">
        <f t="shared" si="3"/>
        <v>14</v>
      </c>
    </row>
    <row r="20" spans="1:28" x14ac:dyDescent="0.3">
      <c r="A20" s="39" t="s">
        <v>23</v>
      </c>
      <c r="B20" s="59">
        <f t="shared" si="4"/>
        <v>44653</v>
      </c>
      <c r="C20" s="23"/>
      <c r="D20" s="23"/>
      <c r="E20" s="23"/>
      <c r="F20" s="23"/>
      <c r="G20" s="23"/>
      <c r="H20" s="26"/>
      <c r="I20" s="23"/>
      <c r="J20" s="19"/>
      <c r="K20" s="29">
        <f>D20+F20+H20+J20+M20</f>
        <v>0</v>
      </c>
      <c r="L20" s="34">
        <f>((F20/570)+(D20/494)+(H20/494))</f>
        <v>0</v>
      </c>
      <c r="M20" s="35"/>
      <c r="N20" s="35"/>
      <c r="O20" s="36"/>
      <c r="P20" s="36"/>
      <c r="Q20" s="23"/>
      <c r="R20" s="23"/>
      <c r="S20" s="37">
        <f>cape2!G25</f>
        <v>0</v>
      </c>
      <c r="AB20" s="14">
        <f t="shared" si="3"/>
        <v>0</v>
      </c>
    </row>
    <row r="21" spans="1:28" x14ac:dyDescent="0.3">
      <c r="A21" s="19"/>
      <c r="B21" s="18"/>
      <c r="C21" s="18"/>
      <c r="D21" s="19"/>
      <c r="E21" s="19"/>
      <c r="F21" s="20"/>
      <c r="G21" s="20"/>
      <c r="H21" s="19"/>
      <c r="I21" s="19"/>
      <c r="J21" s="19"/>
      <c r="K21" s="47">
        <f>SUM(K15:K20)</f>
        <v>11269</v>
      </c>
      <c r="L21" s="34">
        <f>SUM(L15:L20)</f>
        <v>22.537999999999997</v>
      </c>
      <c r="M21" s="48">
        <f>SUM(M14:M19)</f>
        <v>0</v>
      </c>
      <c r="N21" s="48">
        <f>SUM(N14:N19)</f>
        <v>0</v>
      </c>
      <c r="O21" s="19"/>
      <c r="P21" s="29"/>
      <c r="Q21" s="18">
        <f>SUM(Q15:Q20)</f>
        <v>0</v>
      </c>
      <c r="R21" s="18">
        <f>SUM(R15:R20)</f>
        <v>64</v>
      </c>
      <c r="S21" s="37">
        <f>cape2!B27</f>
        <v>82.2</v>
      </c>
      <c r="U21" s="14"/>
      <c r="AB21" s="14">
        <f t="shared" si="3"/>
        <v>64</v>
      </c>
    </row>
    <row r="22" spans="1:28" x14ac:dyDescent="0.3">
      <c r="A22" s="41"/>
      <c r="B22" s="42"/>
      <c r="C22" s="49"/>
      <c r="D22" s="41"/>
      <c r="E22" s="41"/>
      <c r="F22" s="41"/>
      <c r="G22" s="41"/>
      <c r="H22" s="41"/>
      <c r="I22" s="41"/>
      <c r="J22" s="41"/>
      <c r="K22" s="50"/>
      <c r="L22" s="41"/>
      <c r="M22" s="51"/>
      <c r="N22" s="41"/>
      <c r="O22" s="41"/>
      <c r="P22" s="41"/>
      <c r="Q22" s="41"/>
      <c r="R22" s="41"/>
      <c r="S22" s="41"/>
      <c r="AB22" s="14"/>
    </row>
    <row r="23" spans="1:28" x14ac:dyDescent="0.3">
      <c r="A23" s="18" t="s">
        <v>45</v>
      </c>
      <c r="B23" s="18" t="s">
        <v>1</v>
      </c>
      <c r="C23" s="18"/>
      <c r="D23" s="18"/>
      <c r="E23" s="18"/>
      <c r="F23" s="18"/>
      <c r="G23" s="18"/>
      <c r="H23" s="19"/>
      <c r="I23" s="19"/>
      <c r="J23" s="19"/>
      <c r="K23" s="29" t="s">
        <v>46</v>
      </c>
      <c r="L23" s="18"/>
      <c r="M23" s="18" t="s">
        <v>3</v>
      </c>
      <c r="N23" s="18" t="s">
        <v>4</v>
      </c>
      <c r="O23" s="18" t="s">
        <v>5</v>
      </c>
      <c r="P23" s="18"/>
      <c r="Q23" s="18" t="s">
        <v>6</v>
      </c>
      <c r="R23" s="18"/>
      <c r="S23" s="31" t="s">
        <v>47</v>
      </c>
      <c r="AB23" s="14"/>
    </row>
    <row r="24" spans="1:28" x14ac:dyDescent="0.3">
      <c r="A24" s="18"/>
      <c r="B24" s="18"/>
      <c r="C24" s="18"/>
      <c r="D24" s="18"/>
      <c r="E24" s="18"/>
      <c r="F24" s="18"/>
      <c r="G24" s="18"/>
      <c r="H24" s="19"/>
      <c r="I24" s="19"/>
      <c r="J24" s="19"/>
      <c r="K24" s="29"/>
      <c r="L24" s="18"/>
      <c r="M24" s="18">
        <v>300</v>
      </c>
      <c r="N24" s="18">
        <v>265</v>
      </c>
      <c r="O24" s="18">
        <f>K32/R32</f>
        <v>237.21250000000001</v>
      </c>
      <c r="P24" s="18"/>
      <c r="Q24" s="18"/>
      <c r="R24" s="18"/>
      <c r="S24" s="31"/>
      <c r="AB24" s="14"/>
    </row>
    <row r="25" spans="1:28" x14ac:dyDescent="0.3">
      <c r="A25" s="18"/>
      <c r="B25" s="18"/>
      <c r="C25" s="18" t="s">
        <v>10</v>
      </c>
      <c r="D25" s="18" t="s">
        <v>11</v>
      </c>
      <c r="E25" s="18" t="s">
        <v>10</v>
      </c>
      <c r="F25" s="18" t="s">
        <v>11</v>
      </c>
      <c r="G25" s="18" t="s">
        <v>10</v>
      </c>
      <c r="H25" s="18" t="s">
        <v>11</v>
      </c>
      <c r="I25" s="18" t="s">
        <v>10</v>
      </c>
      <c r="J25" s="18" t="s">
        <v>11</v>
      </c>
      <c r="K25" s="29"/>
      <c r="L25" s="18"/>
      <c r="M25" s="18"/>
      <c r="N25" s="18"/>
      <c r="O25" s="18" t="s">
        <v>12</v>
      </c>
      <c r="P25" s="30" t="s">
        <v>13</v>
      </c>
      <c r="Q25" s="18" t="s">
        <v>31</v>
      </c>
      <c r="R25" s="18" t="s">
        <v>15</v>
      </c>
      <c r="S25" s="18" t="s">
        <v>16</v>
      </c>
      <c r="AB25" s="14"/>
    </row>
    <row r="26" spans="1:28" x14ac:dyDescent="0.3">
      <c r="A26" s="33" t="s">
        <v>17</v>
      </c>
      <c r="B26" s="58">
        <f>B4</f>
        <v>44648</v>
      </c>
      <c r="C26" s="23" t="s">
        <v>48</v>
      </c>
      <c r="D26" s="23">
        <f>5650-4330</f>
        <v>1320</v>
      </c>
      <c r="E26" s="23" t="s">
        <v>49</v>
      </c>
      <c r="F26" s="23">
        <v>423</v>
      </c>
      <c r="G26" s="23" t="s">
        <v>50</v>
      </c>
      <c r="H26" s="28">
        <v>1073</v>
      </c>
      <c r="I26" s="23" t="s">
        <v>51</v>
      </c>
      <c r="J26" s="28">
        <v>1043</v>
      </c>
      <c r="K26" s="29">
        <f>D26+F26+H26+J26+M26</f>
        <v>3859</v>
      </c>
      <c r="L26" s="34">
        <f>((F26/500)+(D26/500)+(H26/500))</f>
        <v>5.6319999999999997</v>
      </c>
      <c r="M26" s="35"/>
      <c r="N26" s="35"/>
      <c r="O26" s="36">
        <v>4</v>
      </c>
      <c r="P26" s="36"/>
      <c r="Q26" s="23"/>
      <c r="R26" s="23">
        <v>16</v>
      </c>
      <c r="S26" s="37">
        <f>'cape 5'!B25</f>
        <v>107.2</v>
      </c>
      <c r="AB26" s="14">
        <f t="shared" si="3"/>
        <v>12</v>
      </c>
    </row>
    <row r="27" spans="1:28" x14ac:dyDescent="0.3">
      <c r="A27" s="18" t="s">
        <v>19</v>
      </c>
      <c r="B27" s="58">
        <f t="shared" ref="B27:B31" si="5">B5</f>
        <v>44649</v>
      </c>
      <c r="C27" s="23" t="s">
        <v>52</v>
      </c>
      <c r="D27" s="23">
        <f>1190-J26</f>
        <v>147</v>
      </c>
      <c r="E27" s="23" t="s">
        <v>53</v>
      </c>
      <c r="F27" s="23">
        <v>974</v>
      </c>
      <c r="G27" s="23" t="s">
        <v>54</v>
      </c>
      <c r="H27" s="28">
        <v>1714</v>
      </c>
      <c r="I27" s="23" t="s">
        <v>55</v>
      </c>
      <c r="J27" s="28">
        <v>678</v>
      </c>
      <c r="K27" s="29">
        <f>F27+D27+H27+M27+J27</f>
        <v>3513</v>
      </c>
      <c r="L27" s="34">
        <f>((F27/500)+(D27/500)+(H27/500))</f>
        <v>5.67</v>
      </c>
      <c r="M27" s="35"/>
      <c r="N27" s="35"/>
      <c r="O27" s="36">
        <v>3</v>
      </c>
      <c r="P27" s="36"/>
      <c r="Q27" s="23"/>
      <c r="R27" s="23">
        <v>16</v>
      </c>
      <c r="S27" s="37">
        <f>'cape 5'!C25</f>
        <v>90.1</v>
      </c>
      <c r="AB27" s="14">
        <f t="shared" si="3"/>
        <v>13</v>
      </c>
    </row>
    <row r="28" spans="1:28" x14ac:dyDescent="0.3">
      <c r="A28" s="18" t="s">
        <v>20</v>
      </c>
      <c r="B28" s="58">
        <f t="shared" si="5"/>
        <v>44650</v>
      </c>
      <c r="C28" s="23" t="s">
        <v>56</v>
      </c>
      <c r="D28" s="23">
        <v>2544</v>
      </c>
      <c r="E28" s="23" t="s">
        <v>57</v>
      </c>
      <c r="F28" s="23">
        <v>990</v>
      </c>
      <c r="G28" s="23" t="s">
        <v>58</v>
      </c>
      <c r="H28" s="28">
        <v>699</v>
      </c>
      <c r="I28" s="23"/>
      <c r="J28" s="28"/>
      <c r="K28" s="29">
        <f>F28+D28+H28+M28+J28</f>
        <v>4233</v>
      </c>
      <c r="L28" s="34">
        <f>((F28/500)+(D28/500)+(H28/500))</f>
        <v>8.4659999999999993</v>
      </c>
      <c r="M28" s="35"/>
      <c r="N28" s="35"/>
      <c r="O28" s="36">
        <v>1</v>
      </c>
      <c r="P28" s="36"/>
      <c r="Q28" s="23"/>
      <c r="R28" s="23">
        <v>16</v>
      </c>
      <c r="S28" s="37">
        <f>'cape 5'!D25</f>
        <v>94.1</v>
      </c>
      <c r="T28" s="25"/>
      <c r="AB28" s="14">
        <f t="shared" si="3"/>
        <v>15</v>
      </c>
    </row>
    <row r="29" spans="1:28" x14ac:dyDescent="0.3">
      <c r="A29" s="18" t="s">
        <v>21</v>
      </c>
      <c r="B29" s="58">
        <f t="shared" si="5"/>
        <v>44651</v>
      </c>
      <c r="C29" s="23" t="s">
        <v>59</v>
      </c>
      <c r="D29" s="23">
        <f>1214-H28</f>
        <v>515</v>
      </c>
      <c r="E29" s="23" t="s">
        <v>48</v>
      </c>
      <c r="F29" s="23">
        <v>3200</v>
      </c>
      <c r="G29" s="23"/>
      <c r="H29" s="28"/>
      <c r="I29" s="23"/>
      <c r="J29" s="28"/>
      <c r="K29" s="29">
        <f>F29+D29+H29+M29+J29</f>
        <v>3715</v>
      </c>
      <c r="L29" s="34">
        <f>((F29/500)+(D29/500)+(H29/500))</f>
        <v>7.4300000000000006</v>
      </c>
      <c r="M29" s="35"/>
      <c r="N29" s="35"/>
      <c r="O29" s="36">
        <v>1</v>
      </c>
      <c r="P29" s="36"/>
      <c r="Q29" s="23"/>
      <c r="R29" s="23">
        <v>16</v>
      </c>
      <c r="S29" s="37">
        <f>'cape 5'!E25</f>
        <v>82.6</v>
      </c>
      <c r="AB29" s="14">
        <f t="shared" si="3"/>
        <v>15</v>
      </c>
    </row>
    <row r="30" spans="1:28" x14ac:dyDescent="0.3">
      <c r="A30" s="18" t="s">
        <v>22</v>
      </c>
      <c r="B30" s="58">
        <f t="shared" si="5"/>
        <v>44652</v>
      </c>
      <c r="C30" s="23" t="s">
        <v>48</v>
      </c>
      <c r="D30" s="23">
        <f>5090-F29</f>
        <v>1890</v>
      </c>
      <c r="E30" s="23" t="s">
        <v>60</v>
      </c>
      <c r="F30" s="23">
        <v>1008</v>
      </c>
      <c r="G30" s="23" t="s">
        <v>61</v>
      </c>
      <c r="H30" s="28">
        <v>636</v>
      </c>
      <c r="I30" s="23" t="s">
        <v>49</v>
      </c>
      <c r="J30" s="28">
        <v>123</v>
      </c>
      <c r="K30" s="29">
        <f>F30+D30+H30+M30+J30</f>
        <v>3657</v>
      </c>
      <c r="L30" s="34">
        <f>((F30/500)+(D30/500)+(H30/500))</f>
        <v>7.0679999999999996</v>
      </c>
      <c r="M30" s="35"/>
      <c r="N30" s="35"/>
      <c r="O30" s="36">
        <v>3</v>
      </c>
      <c r="P30" s="36"/>
      <c r="Q30" s="23"/>
      <c r="R30" s="23">
        <v>16</v>
      </c>
      <c r="S30" s="37">
        <f>'cape 5'!F25</f>
        <v>93.8</v>
      </c>
      <c r="AB30" s="14">
        <f t="shared" si="3"/>
        <v>13</v>
      </c>
    </row>
    <row r="31" spans="1:28" x14ac:dyDescent="0.3">
      <c r="A31" s="39" t="s">
        <v>23</v>
      </c>
      <c r="B31" s="59">
        <f t="shared" si="5"/>
        <v>44653</v>
      </c>
      <c r="C31" s="23"/>
      <c r="D31" s="23"/>
      <c r="E31" s="23"/>
      <c r="F31" s="23"/>
      <c r="G31" s="23"/>
      <c r="H31" s="26"/>
      <c r="I31" s="23"/>
      <c r="J31" s="26"/>
      <c r="K31" s="29">
        <f>F31+D31+H31+J31+M31</f>
        <v>0</v>
      </c>
      <c r="L31" s="34">
        <f>((F31/570)+(D31/494)+(H31/494))</f>
        <v>0</v>
      </c>
      <c r="M31" s="52"/>
      <c r="N31" s="52"/>
      <c r="O31" s="36"/>
      <c r="P31" s="36"/>
      <c r="Q31" s="23"/>
      <c r="R31" s="23"/>
      <c r="S31" s="37">
        <f>'cape 5'!G25</f>
        <v>0</v>
      </c>
      <c r="AB31" s="14">
        <f t="shared" si="3"/>
        <v>0</v>
      </c>
    </row>
    <row r="32" spans="1:28" x14ac:dyDescent="0.3">
      <c r="A32" s="19"/>
      <c r="B32" s="19"/>
      <c r="C32" s="18"/>
      <c r="D32" s="19"/>
      <c r="E32" s="19"/>
      <c r="F32" s="20"/>
      <c r="G32" s="20"/>
      <c r="H32" s="19"/>
      <c r="I32" s="19"/>
      <c r="J32" s="19"/>
      <c r="K32" s="47">
        <f>SUM(K26:K31)</f>
        <v>18977</v>
      </c>
      <c r="L32" s="53">
        <f>SUM(L26:L31)</f>
        <v>34.265999999999998</v>
      </c>
      <c r="M32" s="54">
        <f>SUM(M25:M30)</f>
        <v>0</v>
      </c>
      <c r="N32" s="55">
        <f>SUM(N25:N30)</f>
        <v>0</v>
      </c>
      <c r="O32" s="56"/>
      <c r="P32" s="29"/>
      <c r="Q32" s="18">
        <f>SUM(Q26:Q31)</f>
        <v>0</v>
      </c>
      <c r="R32" s="18">
        <f>SUM(R26:R31)</f>
        <v>80</v>
      </c>
      <c r="S32" s="37">
        <f>'cape 5'!B27</f>
        <v>93.6</v>
      </c>
      <c r="AB32" s="14">
        <f t="shared" si="3"/>
        <v>80</v>
      </c>
    </row>
    <row r="33" spans="1:19" x14ac:dyDescent="0.3">
      <c r="A33" s="64"/>
      <c r="B33" s="64"/>
      <c r="C33" s="64"/>
      <c r="D33" s="64"/>
      <c r="E33" s="64"/>
      <c r="F33" s="64"/>
      <c r="G33" s="64"/>
      <c r="H33" s="64"/>
      <c r="I33" s="64"/>
      <c r="J33" s="64"/>
      <c r="K33" s="65"/>
      <c r="L33" s="64"/>
      <c r="M33" s="64"/>
      <c r="N33" s="64"/>
      <c r="O33" s="64"/>
      <c r="P33" s="64"/>
      <c r="Q33" s="64"/>
      <c r="R33" s="64"/>
      <c r="S33" s="64"/>
    </row>
    <row r="34" spans="1:19" x14ac:dyDescent="0.3">
      <c r="A34" s="18" t="s">
        <v>62</v>
      </c>
      <c r="B34" s="18" t="s">
        <v>1</v>
      </c>
      <c r="C34" s="18"/>
      <c r="D34" s="18"/>
      <c r="E34" s="18"/>
      <c r="F34" s="18"/>
      <c r="G34" s="18"/>
      <c r="H34" s="19"/>
      <c r="I34" s="19"/>
      <c r="J34" s="19"/>
      <c r="K34" s="29" t="s">
        <v>62</v>
      </c>
      <c r="L34" s="24"/>
      <c r="M34" s="24"/>
      <c r="N34" s="24"/>
      <c r="O34" s="24"/>
      <c r="P34" s="24"/>
      <c r="Q34" s="24"/>
      <c r="R34" s="24"/>
      <c r="S34" s="24"/>
    </row>
    <row r="35" spans="1:19" x14ac:dyDescent="0.3">
      <c r="A35" s="18"/>
      <c r="B35" s="18"/>
      <c r="C35" s="18"/>
      <c r="D35" s="18"/>
      <c r="E35" s="18"/>
      <c r="F35" s="18"/>
      <c r="G35" s="18"/>
      <c r="H35" s="19"/>
      <c r="I35" s="19"/>
      <c r="J35" s="19"/>
      <c r="K35" s="29"/>
      <c r="L35" s="24"/>
      <c r="M35" s="24"/>
      <c r="N35" s="24"/>
      <c r="O35" s="24"/>
      <c r="P35" s="24"/>
      <c r="Q35" s="24"/>
      <c r="R35" s="24"/>
      <c r="S35" s="24"/>
    </row>
    <row r="36" spans="1:19" x14ac:dyDescent="0.3">
      <c r="A36" s="18"/>
      <c r="B36" s="18"/>
      <c r="C36" s="18" t="s">
        <v>10</v>
      </c>
      <c r="D36" s="18" t="s">
        <v>11</v>
      </c>
      <c r="E36" s="18" t="s">
        <v>10</v>
      </c>
      <c r="F36" s="18" t="s">
        <v>11</v>
      </c>
      <c r="G36" s="18" t="s">
        <v>10</v>
      </c>
      <c r="H36" s="18" t="s">
        <v>11</v>
      </c>
      <c r="I36" s="18" t="s">
        <v>10</v>
      </c>
      <c r="J36" s="18" t="s">
        <v>11</v>
      </c>
      <c r="K36" s="29"/>
      <c r="L36" s="24"/>
      <c r="M36" s="24"/>
      <c r="N36" s="24"/>
      <c r="O36" s="24"/>
      <c r="P36" s="24"/>
      <c r="Q36" s="24"/>
      <c r="R36" s="24"/>
      <c r="S36" s="24"/>
    </row>
    <row r="37" spans="1:19" x14ac:dyDescent="0.3">
      <c r="A37" s="33" t="s">
        <v>17</v>
      </c>
      <c r="B37" s="58">
        <f>B15</f>
        <v>44648</v>
      </c>
      <c r="C37" s="23"/>
      <c r="D37" s="23"/>
      <c r="E37" s="23"/>
      <c r="F37" s="23"/>
      <c r="G37" s="23"/>
      <c r="H37" s="28"/>
      <c r="I37" s="23"/>
      <c r="J37" s="28"/>
      <c r="K37" s="29">
        <f>D37+F37+H37+J37+M37</f>
        <v>0</v>
      </c>
      <c r="L37" s="24"/>
      <c r="M37" s="24"/>
      <c r="N37" s="24"/>
      <c r="O37" s="24"/>
      <c r="P37" s="24"/>
      <c r="Q37" s="24"/>
      <c r="R37" s="24"/>
      <c r="S37" s="24"/>
    </row>
    <row r="38" spans="1:19" x14ac:dyDescent="0.3">
      <c r="A38" s="18" t="s">
        <v>19</v>
      </c>
      <c r="B38" s="58">
        <f t="shared" ref="B38:B42" si="6">B16</f>
        <v>44649</v>
      </c>
      <c r="C38" s="23" t="s">
        <v>63</v>
      </c>
      <c r="D38" s="23">
        <v>792</v>
      </c>
      <c r="E38" s="23"/>
      <c r="F38" s="23"/>
      <c r="G38" s="23"/>
      <c r="H38" s="28"/>
      <c r="I38" s="23"/>
      <c r="J38" s="28"/>
      <c r="K38" s="29">
        <f>F38+D38+H38+M38+J38</f>
        <v>792</v>
      </c>
      <c r="L38" s="24"/>
      <c r="M38" s="24"/>
      <c r="N38" s="24"/>
      <c r="O38" s="24"/>
      <c r="P38" s="24"/>
      <c r="Q38" s="24"/>
      <c r="R38" s="24"/>
      <c r="S38" s="24"/>
    </row>
    <row r="39" spans="1:19" x14ac:dyDescent="0.3">
      <c r="A39" s="18" t="s">
        <v>20</v>
      </c>
      <c r="B39" s="58">
        <f t="shared" si="6"/>
        <v>44650</v>
      </c>
      <c r="C39" s="23"/>
      <c r="D39" s="23"/>
      <c r="E39" s="23"/>
      <c r="F39" s="23"/>
      <c r="G39" s="23"/>
      <c r="H39" s="28"/>
      <c r="I39" s="23"/>
      <c r="J39" s="28"/>
      <c r="K39" s="29">
        <f>F39+D39+H39+M39+J39</f>
        <v>0</v>
      </c>
    </row>
    <row r="40" spans="1:19" x14ac:dyDescent="0.3">
      <c r="A40" s="18" t="s">
        <v>21</v>
      </c>
      <c r="B40" s="58">
        <f t="shared" si="6"/>
        <v>44651</v>
      </c>
      <c r="C40" s="23"/>
      <c r="D40" s="23"/>
      <c r="E40" s="23"/>
      <c r="F40" s="23"/>
      <c r="G40" s="23"/>
      <c r="H40" s="28"/>
      <c r="I40" s="23"/>
      <c r="J40" s="28"/>
      <c r="K40" s="29">
        <f>F40+D40+H40+M40+J40</f>
        <v>0</v>
      </c>
    </row>
    <row r="41" spans="1:19" x14ac:dyDescent="0.3">
      <c r="A41" s="18" t="s">
        <v>22</v>
      </c>
      <c r="B41" s="58">
        <f t="shared" si="6"/>
        <v>44652</v>
      </c>
      <c r="C41" s="23" t="s">
        <v>64</v>
      </c>
      <c r="D41" s="23">
        <v>200</v>
      </c>
      <c r="E41" s="23" t="s">
        <v>65</v>
      </c>
      <c r="F41" s="23">
        <v>900</v>
      </c>
      <c r="G41" s="23"/>
      <c r="H41" s="28"/>
      <c r="I41" s="23"/>
      <c r="J41" s="28"/>
      <c r="K41" s="29">
        <f>F41+D41+H41+M41+J41</f>
        <v>1100</v>
      </c>
      <c r="L41" s="11"/>
      <c r="M41" s="11"/>
      <c r="N41" s="11"/>
    </row>
    <row r="42" spans="1:19" x14ac:dyDescent="0.3">
      <c r="A42" s="39" t="s">
        <v>23</v>
      </c>
      <c r="B42" s="59">
        <f t="shared" si="6"/>
        <v>44653</v>
      </c>
      <c r="C42" s="23"/>
      <c r="D42" s="23"/>
      <c r="E42" s="23"/>
      <c r="F42" s="23"/>
      <c r="G42" s="23"/>
      <c r="H42" s="26"/>
      <c r="I42" s="23"/>
      <c r="J42" s="26"/>
      <c r="K42" s="29">
        <f>F42+D42+H42+J42+M42</f>
        <v>0</v>
      </c>
    </row>
    <row r="43" spans="1:19" x14ac:dyDescent="0.3">
      <c r="A43" s="19"/>
      <c r="B43" s="19"/>
      <c r="C43" s="18"/>
      <c r="D43" s="19"/>
      <c r="E43" s="19"/>
      <c r="F43" s="20"/>
      <c r="G43" s="20"/>
      <c r="H43" s="19"/>
      <c r="I43" s="19"/>
      <c r="J43" s="19"/>
      <c r="K43" s="47">
        <f>SUM(K37:K42)</f>
        <v>1892</v>
      </c>
    </row>
    <row r="44" spans="1:19" x14ac:dyDescent="0.3">
      <c r="L44" s="57"/>
    </row>
    <row r="46" spans="1:19" x14ac:dyDescent="0.3">
      <c r="S46" s="17" t="s">
        <v>66</v>
      </c>
    </row>
    <row r="47" spans="1:19" x14ac:dyDescent="0.3">
      <c r="B47" s="60" t="s">
        <v>67</v>
      </c>
      <c r="C47" s="61">
        <f>K21+K10+K32+K43</f>
        <v>35850</v>
      </c>
      <c r="D47" s="57" t="s">
        <v>68</v>
      </c>
      <c r="G47" s="62" t="s">
        <v>69</v>
      </c>
      <c r="H47" s="63">
        <f>L21+L10+L32</f>
        <v>63.885481481481477</v>
      </c>
    </row>
  </sheetData>
  <phoneticPr fontId="0" type="noConversion"/>
  <dataValidations count="3">
    <dataValidation type="whole" errorStyle="information" operator="greaterThan" allowBlank="1" showInputMessage="1" showErrorMessage="1" errorTitle="extra werk" sqref="M15:N15 M26:N26" xr:uid="{00000000-0002-0000-0000-000000000000}">
      <formula1>K15</formula1>
    </dataValidation>
    <dataValidation type="list" allowBlank="1" showInputMessage="1" showErrorMessage="1" sqref="I4:I9 I15:I20 C15:C20 I26:I31 G4:G9 G15:G16 E26:E31 C26:C31 E15:E20 G18:G20 G26:G31 I37:I42 E37:E42 C37:C42 G37:G42" xr:uid="{00000000-0002-0000-0000-000001000000}">
      <formula1>pallets</formula1>
    </dataValidation>
    <dataValidation type="whole" errorStyle="information" operator="greaterThan" allowBlank="1" showInputMessage="1" showErrorMessage="1" errorTitle="extra werk" sqref="M16:N20 M27:N31" xr:uid="{00000000-0002-0000-0000-000003000000}">
      <formula1>0</formula1>
    </dataValidation>
  </dataValidations>
  <hyperlinks>
    <hyperlink ref="S46" r:id="rId1" xr:uid="{00000000-0004-0000-0000-000000000000}"/>
  </hyperlinks>
  <pageMargins left="0" right="0" top="0.48" bottom="0.16" header="0.5" footer="0.16"/>
  <pageSetup paperSize="9" scale="82" orientation="landscape" r:id="rId2"/>
  <headerFooter alignWithMargins="0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8"/>
  <sheetViews>
    <sheetView workbookViewId="0">
      <selection activeCell="E25" sqref="E25"/>
    </sheetView>
  </sheetViews>
  <sheetFormatPr defaultRowHeight="13.2" outlineLevelRow="1" x14ac:dyDescent="0.25"/>
  <cols>
    <col min="1" max="1" width="32.33203125" bestFit="1" customWidth="1"/>
    <col min="2" max="2" width="7.6640625" style="8" customWidth="1"/>
    <col min="3" max="3" width="8" style="8" customWidth="1"/>
    <col min="4" max="4" width="6.109375" style="8" customWidth="1"/>
    <col min="5" max="5" width="8.33203125" style="8" customWidth="1"/>
    <col min="6" max="6" width="6.109375" style="8" customWidth="1"/>
    <col min="9" max="10" width="8" style="8" customWidth="1"/>
    <col min="11" max="11" width="6.109375" style="8" customWidth="1"/>
    <col min="12" max="12" width="8.33203125" style="8" customWidth="1"/>
    <col min="13" max="13" width="6.109375" style="8" customWidth="1"/>
  </cols>
  <sheetData>
    <row r="1" spans="1:14" x14ac:dyDescent="0.25">
      <c r="A1" s="1" t="s">
        <v>70</v>
      </c>
      <c r="B1" s="2" t="s">
        <v>17</v>
      </c>
      <c r="C1" s="2" t="s">
        <v>19</v>
      </c>
      <c r="D1" s="2" t="s">
        <v>20</v>
      </c>
      <c r="E1" s="2" t="s">
        <v>21</v>
      </c>
      <c r="F1" s="2" t="s">
        <v>22</v>
      </c>
      <c r="G1" s="2" t="s">
        <v>23</v>
      </c>
      <c r="I1" s="2" t="s">
        <v>17</v>
      </c>
      <c r="J1" s="2" t="s">
        <v>19</v>
      </c>
      <c r="K1" s="2" t="s">
        <v>20</v>
      </c>
      <c r="L1" s="2" t="s">
        <v>21</v>
      </c>
      <c r="M1" s="2" t="s">
        <v>22</v>
      </c>
      <c r="N1" s="2" t="s">
        <v>23</v>
      </c>
    </row>
    <row r="2" spans="1:14" x14ac:dyDescent="0.25">
      <c r="A2" s="1" t="s">
        <v>71</v>
      </c>
      <c r="B2" s="3">
        <f>berekening!R4</f>
        <v>8</v>
      </c>
      <c r="C2" s="12">
        <f>berekening!R5</f>
        <v>0</v>
      </c>
      <c r="D2" s="3">
        <f>berekening!R6</f>
        <v>0</v>
      </c>
      <c r="E2" s="12">
        <f>berekening!R7</f>
        <v>8</v>
      </c>
      <c r="F2" s="12">
        <f>berekening!R8</f>
        <v>0</v>
      </c>
      <c r="G2" s="3">
        <f>berekening!R9</f>
        <v>6</v>
      </c>
      <c r="I2" s="3">
        <f>berekening!Q4</f>
        <v>0</v>
      </c>
      <c r="J2" s="12">
        <f>berekening!Q5</f>
        <v>0</v>
      </c>
      <c r="K2" s="3">
        <f>berekening!Q6</f>
        <v>0</v>
      </c>
      <c r="L2" s="12">
        <f>berekening!Q7</f>
        <v>0</v>
      </c>
      <c r="M2" s="12">
        <f>berekening!Q8</f>
        <v>0</v>
      </c>
      <c r="N2" s="3">
        <f>berekening!Q9</f>
        <v>0</v>
      </c>
    </row>
    <row r="3" spans="1:14" x14ac:dyDescent="0.25">
      <c r="A3" s="1" t="s">
        <v>72</v>
      </c>
      <c r="B3" s="12">
        <f>berekening!$O4</f>
        <v>0</v>
      </c>
      <c r="C3" s="12">
        <f>berekening!$O5</f>
        <v>0</v>
      </c>
      <c r="D3" s="12">
        <f>berekening!$O6</f>
        <v>0</v>
      </c>
      <c r="E3" s="12">
        <f>berekening!$O7</f>
        <v>0</v>
      </c>
      <c r="F3" s="12">
        <f>berekening!$O8</f>
        <v>0</v>
      </c>
      <c r="G3" s="12">
        <f>berekening!$O9</f>
        <v>0</v>
      </c>
      <c r="I3" s="12">
        <f>berekening!$O4</f>
        <v>0</v>
      </c>
      <c r="J3" s="12">
        <f>berekening!$O5</f>
        <v>0</v>
      </c>
      <c r="K3" s="12">
        <f>berekening!$O6</f>
        <v>0</v>
      </c>
      <c r="L3" s="12">
        <f>berekening!$O7</f>
        <v>0</v>
      </c>
      <c r="M3" s="12">
        <f>berekening!$O8</f>
        <v>0</v>
      </c>
      <c r="N3" s="12">
        <f>berekening!$O9</f>
        <v>0</v>
      </c>
    </row>
    <row r="4" spans="1:14" x14ac:dyDescent="0.25">
      <c r="A4" s="1" t="s">
        <v>73</v>
      </c>
      <c r="B4" s="12">
        <f>berekening!P4</f>
        <v>0</v>
      </c>
      <c r="C4" s="12">
        <f>berekening!P5</f>
        <v>0</v>
      </c>
      <c r="D4" s="12">
        <f>berekening!P6</f>
        <v>0</v>
      </c>
      <c r="E4" s="12">
        <f>berekening!P7</f>
        <v>0</v>
      </c>
      <c r="F4" s="12">
        <f>berekening!P8</f>
        <v>0</v>
      </c>
      <c r="G4" s="12">
        <f>berekening!P9</f>
        <v>0</v>
      </c>
      <c r="I4" s="12"/>
      <c r="J4" s="12"/>
      <c r="K4" s="12"/>
      <c r="L4" s="12"/>
      <c r="M4" s="12"/>
      <c r="N4" s="12"/>
    </row>
    <row r="5" spans="1:14" x14ac:dyDescent="0.25">
      <c r="A5" s="1" t="s">
        <v>74</v>
      </c>
      <c r="B5" s="3">
        <f t="shared" ref="B5:G5" si="0">(B2*60)-(B3*240)-(B4*20)</f>
        <v>480</v>
      </c>
      <c r="C5" s="3">
        <f t="shared" si="0"/>
        <v>0</v>
      </c>
      <c r="D5" s="3">
        <f t="shared" si="0"/>
        <v>0</v>
      </c>
      <c r="E5" s="3">
        <f t="shared" si="0"/>
        <v>480</v>
      </c>
      <c r="F5" s="3">
        <f t="shared" si="0"/>
        <v>0</v>
      </c>
      <c r="G5" s="3">
        <f t="shared" si="0"/>
        <v>360</v>
      </c>
      <c r="I5" s="3">
        <f>(I2*60)-(I3*240)</f>
        <v>0</v>
      </c>
      <c r="J5" s="3">
        <f>(J2*60)-(J3*250)</f>
        <v>0</v>
      </c>
      <c r="K5" s="3">
        <f>(K2*60)-(K3*240)</f>
        <v>0</v>
      </c>
      <c r="L5" s="3">
        <f>(L2*60)-(L3*240)</f>
        <v>0</v>
      </c>
      <c r="M5" s="3">
        <f>(M2*60)-(M3*240)</f>
        <v>0</v>
      </c>
      <c r="N5" s="3">
        <f>(N2*60)-(N3*240)</f>
        <v>0</v>
      </c>
    </row>
    <row r="6" spans="1:14" x14ac:dyDescent="0.25">
      <c r="A6" s="1" t="s">
        <v>75</v>
      </c>
      <c r="B6" s="3">
        <v>15.2</v>
      </c>
      <c r="C6" s="3">
        <v>15.2</v>
      </c>
      <c r="D6" s="3">
        <v>15.2</v>
      </c>
      <c r="E6" s="3">
        <v>15.2</v>
      </c>
      <c r="F6" s="3">
        <v>15.2</v>
      </c>
      <c r="G6" s="3">
        <v>15.2</v>
      </c>
      <c r="I6" s="3">
        <v>14.39</v>
      </c>
      <c r="J6" s="3">
        <v>14.39</v>
      </c>
      <c r="K6" s="3">
        <v>14.39</v>
      </c>
      <c r="L6" s="3">
        <v>14.39</v>
      </c>
      <c r="M6" s="3">
        <v>14.39</v>
      </c>
      <c r="N6" s="3">
        <v>14.39</v>
      </c>
    </row>
    <row r="7" spans="1:14" x14ac:dyDescent="0.25">
      <c r="A7" s="1" t="s">
        <v>76</v>
      </c>
      <c r="B7" s="4">
        <f t="shared" ref="B7:G7" si="1">IF(B5=0,0,ROUND((B5*60)/B6,0))</f>
        <v>1895</v>
      </c>
      <c r="C7" s="4">
        <f t="shared" si="1"/>
        <v>0</v>
      </c>
      <c r="D7" s="4">
        <f t="shared" si="1"/>
        <v>0</v>
      </c>
      <c r="E7" s="4">
        <f t="shared" si="1"/>
        <v>1895</v>
      </c>
      <c r="F7" s="4">
        <f t="shared" si="1"/>
        <v>0</v>
      </c>
      <c r="G7" s="4">
        <f t="shared" si="1"/>
        <v>1421</v>
      </c>
      <c r="I7" s="4">
        <f t="shared" ref="I7:N7" si="2">IF(I5=0,0,ROUND((I5*60)/I6,0))</f>
        <v>0</v>
      </c>
      <c r="J7" s="4">
        <f t="shared" si="2"/>
        <v>0</v>
      </c>
      <c r="K7" s="4">
        <f t="shared" si="2"/>
        <v>0</v>
      </c>
      <c r="L7" s="4">
        <f t="shared" si="2"/>
        <v>0</v>
      </c>
      <c r="M7" s="4">
        <f t="shared" si="2"/>
        <v>0</v>
      </c>
      <c r="N7" s="4">
        <f t="shared" si="2"/>
        <v>0</v>
      </c>
    </row>
    <row r="8" spans="1:14" x14ac:dyDescent="0.25">
      <c r="A8" s="1" t="s">
        <v>77</v>
      </c>
      <c r="B8" s="3">
        <f>berekening!K4</f>
        <v>1400</v>
      </c>
      <c r="C8" s="3">
        <f>berekening!K5</f>
        <v>0</v>
      </c>
      <c r="D8" s="3">
        <f>berekening!K6</f>
        <v>0</v>
      </c>
      <c r="E8" s="3">
        <f>berekening!K7</f>
        <v>1320</v>
      </c>
      <c r="F8" s="3">
        <f>berekening!K8</f>
        <v>0</v>
      </c>
      <c r="G8" s="3">
        <f>berekening!K9</f>
        <v>992</v>
      </c>
      <c r="I8" s="15">
        <f>berekening!N4</f>
        <v>0</v>
      </c>
      <c r="J8" s="3">
        <f>berekening!S5</f>
        <v>0</v>
      </c>
      <c r="K8" s="3">
        <f>berekening!S6</f>
        <v>0</v>
      </c>
      <c r="L8" s="3">
        <f>berekening!S7</f>
        <v>69.7</v>
      </c>
      <c r="M8" s="3">
        <f>berekening!S8</f>
        <v>0</v>
      </c>
      <c r="N8" s="3">
        <f>berekening!S9</f>
        <v>69.8</v>
      </c>
    </row>
    <row r="9" spans="1:14" x14ac:dyDescent="0.25">
      <c r="A9" s="1" t="s">
        <v>78</v>
      </c>
      <c r="B9" s="5">
        <f t="shared" ref="B9:G9" si="3">IF(B5=0,0,ROUND(B8/B7,3)*100)</f>
        <v>73.900000000000006</v>
      </c>
      <c r="C9" s="5">
        <f t="shared" si="3"/>
        <v>0</v>
      </c>
      <c r="D9" s="5">
        <f t="shared" si="3"/>
        <v>0</v>
      </c>
      <c r="E9" s="5">
        <f t="shared" si="3"/>
        <v>69.699999999999989</v>
      </c>
      <c r="F9" s="5">
        <f t="shared" si="3"/>
        <v>0</v>
      </c>
      <c r="G9" s="5">
        <f t="shared" si="3"/>
        <v>69.8</v>
      </c>
      <c r="I9" s="5">
        <f t="shared" ref="I9:N9" si="4">IF(I5=0,0,ROUND(I8/I7,3)*100)</f>
        <v>0</v>
      </c>
      <c r="J9" s="5">
        <f t="shared" si="4"/>
        <v>0</v>
      </c>
      <c r="K9" s="5">
        <f t="shared" si="4"/>
        <v>0</v>
      </c>
      <c r="L9" s="5">
        <f t="shared" si="4"/>
        <v>0</v>
      </c>
      <c r="M9" s="5">
        <f t="shared" si="4"/>
        <v>0</v>
      </c>
      <c r="N9" s="5">
        <f t="shared" si="4"/>
        <v>0</v>
      </c>
    </row>
    <row r="10" spans="1:14" x14ac:dyDescent="0.25">
      <c r="A10" s="1" t="s">
        <v>79</v>
      </c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</row>
    <row r="11" spans="1:14" x14ac:dyDescent="0.25">
      <c r="A11" s="1" t="s">
        <v>80</v>
      </c>
      <c r="B11" s="3"/>
      <c r="C11" s="3"/>
      <c r="D11" s="3"/>
      <c r="E11" s="3"/>
      <c r="F11" s="3"/>
      <c r="G11" s="3"/>
      <c r="I11" s="3"/>
      <c r="J11" s="3"/>
      <c r="K11" s="3"/>
      <c r="L11" s="3"/>
      <c r="M11" s="3"/>
      <c r="N11" s="3"/>
    </row>
    <row r="12" spans="1:14" x14ac:dyDescent="0.25">
      <c r="A12" s="1" t="s">
        <v>81</v>
      </c>
      <c r="B12" s="5">
        <f t="shared" ref="B12:G12" si="5">IF(B10=0,0,ROUND((B10*60)/B11,0))</f>
        <v>0</v>
      </c>
      <c r="C12" s="5">
        <f t="shared" si="5"/>
        <v>0</v>
      </c>
      <c r="D12" s="5">
        <f t="shared" si="5"/>
        <v>0</v>
      </c>
      <c r="E12" s="5">
        <f t="shared" si="5"/>
        <v>0</v>
      </c>
      <c r="F12" s="5">
        <f t="shared" si="5"/>
        <v>0</v>
      </c>
      <c r="G12" s="5">
        <f t="shared" si="5"/>
        <v>0</v>
      </c>
      <c r="I12" s="5">
        <f t="shared" ref="I12:N12" si="6">IF(I10=0,0,ROUND((I10*60)/I11,0))</f>
        <v>0</v>
      </c>
      <c r="J12" s="5">
        <f t="shared" si="6"/>
        <v>0</v>
      </c>
      <c r="K12" s="5">
        <f t="shared" si="6"/>
        <v>0</v>
      </c>
      <c r="L12" s="5">
        <f t="shared" si="6"/>
        <v>0</v>
      </c>
      <c r="M12" s="5">
        <f t="shared" si="6"/>
        <v>0</v>
      </c>
      <c r="N12" s="5">
        <f t="shared" si="6"/>
        <v>0</v>
      </c>
    </row>
    <row r="13" spans="1:14" x14ac:dyDescent="0.25">
      <c r="A13" s="1" t="s">
        <v>82</v>
      </c>
      <c r="B13" s="3"/>
      <c r="C13" s="3"/>
      <c r="D13" s="3"/>
      <c r="E13" s="3"/>
      <c r="F13" s="3"/>
      <c r="G13" s="3"/>
      <c r="I13" s="3"/>
      <c r="J13" s="3"/>
      <c r="K13" s="3"/>
      <c r="L13" s="3"/>
      <c r="M13" s="3"/>
      <c r="N13" s="3"/>
    </row>
    <row r="14" spans="1:14" x14ac:dyDescent="0.25">
      <c r="A14" s="1" t="s">
        <v>83</v>
      </c>
      <c r="B14" s="5">
        <f t="shared" ref="B14:G14" si="7">IF(B10=0,0,ROUND(B13/B12,3)*100)</f>
        <v>0</v>
      </c>
      <c r="C14" s="5">
        <f t="shared" si="7"/>
        <v>0</v>
      </c>
      <c r="D14" s="5">
        <f t="shared" si="7"/>
        <v>0</v>
      </c>
      <c r="E14" s="5">
        <f t="shared" si="7"/>
        <v>0</v>
      </c>
      <c r="F14" s="5">
        <f t="shared" si="7"/>
        <v>0</v>
      </c>
      <c r="G14" s="5">
        <f t="shared" si="7"/>
        <v>0</v>
      </c>
      <c r="I14" s="5">
        <f t="shared" ref="I14:N14" si="8">IF(I10=0,0,ROUND(I13/I12,3)*100)</f>
        <v>0</v>
      </c>
      <c r="J14" s="5">
        <f t="shared" si="8"/>
        <v>0</v>
      </c>
      <c r="K14" s="5">
        <f t="shared" si="8"/>
        <v>0</v>
      </c>
      <c r="L14" s="5">
        <f t="shared" si="8"/>
        <v>0</v>
      </c>
      <c r="M14" s="5">
        <f t="shared" si="8"/>
        <v>0</v>
      </c>
      <c r="N14" s="5">
        <f t="shared" si="8"/>
        <v>0</v>
      </c>
    </row>
    <row r="15" spans="1:14" outlineLevel="1" x14ac:dyDescent="0.25">
      <c r="A15" s="1" t="s">
        <v>84</v>
      </c>
      <c r="B15" s="3"/>
      <c r="C15" s="3"/>
      <c r="D15" s="3"/>
      <c r="E15" s="3"/>
      <c r="F15" s="3"/>
      <c r="G15" s="3"/>
      <c r="H15" t="s">
        <v>85</v>
      </c>
      <c r="I15" s="3"/>
      <c r="J15" s="3"/>
      <c r="K15" s="3"/>
      <c r="L15" s="3"/>
      <c r="M15" s="3"/>
      <c r="N15" s="3"/>
    </row>
    <row r="16" spans="1:14" outlineLevel="1" x14ac:dyDescent="0.25">
      <c r="A16" s="1" t="s">
        <v>86</v>
      </c>
      <c r="B16" s="3"/>
      <c r="C16" s="3"/>
      <c r="D16" s="3"/>
      <c r="E16" s="3"/>
      <c r="F16" s="3"/>
      <c r="G16" s="3"/>
      <c r="I16" s="3"/>
      <c r="J16" s="3"/>
      <c r="K16" s="3"/>
      <c r="L16" s="3"/>
      <c r="M16" s="3"/>
      <c r="N16" s="3"/>
    </row>
    <row r="17" spans="1:14" outlineLevel="1" x14ac:dyDescent="0.25">
      <c r="A17" s="1" t="s">
        <v>87</v>
      </c>
      <c r="B17" s="5">
        <f t="shared" ref="B17:G17" si="9">IF(B15=0,0,ROUND((B15*60)/B16,0))</f>
        <v>0</v>
      </c>
      <c r="C17" s="5">
        <f t="shared" si="9"/>
        <v>0</v>
      </c>
      <c r="D17" s="5">
        <f t="shared" si="9"/>
        <v>0</v>
      </c>
      <c r="E17" s="5">
        <f t="shared" si="9"/>
        <v>0</v>
      </c>
      <c r="F17" s="5">
        <f t="shared" si="9"/>
        <v>0</v>
      </c>
      <c r="G17" s="5">
        <f t="shared" si="9"/>
        <v>0</v>
      </c>
      <c r="I17" s="5">
        <f t="shared" ref="I17:N17" si="10">IF(I15=0,0,ROUND((I15*60)/I16,0))</f>
        <v>0</v>
      </c>
      <c r="J17" s="5">
        <f t="shared" si="10"/>
        <v>0</v>
      </c>
      <c r="K17" s="5">
        <f t="shared" si="10"/>
        <v>0</v>
      </c>
      <c r="L17" s="5">
        <f t="shared" si="10"/>
        <v>0</v>
      </c>
      <c r="M17" s="5">
        <f t="shared" si="10"/>
        <v>0</v>
      </c>
      <c r="N17" s="5">
        <f t="shared" si="10"/>
        <v>0</v>
      </c>
    </row>
    <row r="18" spans="1:14" outlineLevel="1" x14ac:dyDescent="0.25">
      <c r="A18" s="1" t="s">
        <v>88</v>
      </c>
      <c r="B18" s="3"/>
      <c r="C18" s="3"/>
      <c r="D18" s="3"/>
      <c r="E18" s="3"/>
      <c r="F18" s="3"/>
      <c r="G18" s="3"/>
      <c r="I18" s="3"/>
      <c r="J18" s="3"/>
      <c r="K18" s="3"/>
      <c r="L18" s="3"/>
      <c r="M18" s="3"/>
      <c r="N18" s="3"/>
    </row>
    <row r="19" spans="1:14" outlineLevel="1" x14ac:dyDescent="0.25">
      <c r="A19" s="1" t="s">
        <v>89</v>
      </c>
      <c r="B19" s="5">
        <f t="shared" ref="B19:G19" si="11">IF(B15=0,0,ROUND(B18/B17,3)*100)</f>
        <v>0</v>
      </c>
      <c r="C19" s="5">
        <f t="shared" si="11"/>
        <v>0</v>
      </c>
      <c r="D19" s="5">
        <f t="shared" si="11"/>
        <v>0</v>
      </c>
      <c r="E19" s="5">
        <f t="shared" si="11"/>
        <v>0</v>
      </c>
      <c r="F19" s="5">
        <f t="shared" si="11"/>
        <v>0</v>
      </c>
      <c r="G19" s="5">
        <f t="shared" si="11"/>
        <v>0</v>
      </c>
      <c r="I19" s="5">
        <f t="shared" ref="I19:N19" si="12">IF(I15=0,0,ROUND(I18/I17,3)*100)</f>
        <v>0</v>
      </c>
      <c r="J19" s="5">
        <f t="shared" si="12"/>
        <v>0</v>
      </c>
      <c r="K19" s="5">
        <f t="shared" si="12"/>
        <v>0</v>
      </c>
      <c r="L19" s="5">
        <f t="shared" si="12"/>
        <v>0</v>
      </c>
      <c r="M19" s="5">
        <f t="shared" si="12"/>
        <v>0</v>
      </c>
      <c r="N19" s="5">
        <f t="shared" si="12"/>
        <v>0</v>
      </c>
    </row>
    <row r="20" spans="1:14" outlineLevel="1" x14ac:dyDescent="0.25">
      <c r="A20" s="1" t="s">
        <v>90</v>
      </c>
      <c r="B20" s="3"/>
      <c r="C20" s="3"/>
      <c r="D20" s="3"/>
      <c r="E20" s="3"/>
      <c r="F20" s="3"/>
      <c r="G20" s="3"/>
      <c r="I20" s="3"/>
      <c r="J20" s="3"/>
      <c r="K20" s="3"/>
      <c r="L20" s="3"/>
      <c r="M20" s="3"/>
      <c r="N20" s="3"/>
    </row>
    <row r="21" spans="1:14" outlineLevel="1" x14ac:dyDescent="0.25">
      <c r="A21" s="1" t="s">
        <v>91</v>
      </c>
      <c r="B21" s="3"/>
      <c r="C21" s="3"/>
      <c r="D21" s="3"/>
      <c r="E21" s="3"/>
      <c r="F21" s="3"/>
      <c r="G21" s="3"/>
      <c r="I21" s="3"/>
      <c r="J21" s="3"/>
      <c r="K21" s="3"/>
      <c r="L21" s="3"/>
      <c r="M21" s="3"/>
      <c r="N21" s="3"/>
    </row>
    <row r="22" spans="1:14" outlineLevel="1" x14ac:dyDescent="0.25">
      <c r="A22" s="1" t="s">
        <v>92</v>
      </c>
      <c r="B22" s="5">
        <f t="shared" ref="B22:G22" si="13">IF(B20=0,0,ROUND((B20*60)/B21,0))</f>
        <v>0</v>
      </c>
      <c r="C22" s="5">
        <f t="shared" si="13"/>
        <v>0</v>
      </c>
      <c r="D22" s="5">
        <f t="shared" si="13"/>
        <v>0</v>
      </c>
      <c r="E22" s="5">
        <f t="shared" si="13"/>
        <v>0</v>
      </c>
      <c r="F22" s="5">
        <f t="shared" si="13"/>
        <v>0</v>
      </c>
      <c r="G22" s="5">
        <f t="shared" si="13"/>
        <v>0</v>
      </c>
      <c r="I22" s="5">
        <f t="shared" ref="I22:N22" si="14">IF(I20=0,0,ROUND((I20*60)/I21,0))</f>
        <v>0</v>
      </c>
      <c r="J22" s="5">
        <f t="shared" si="14"/>
        <v>0</v>
      </c>
      <c r="K22" s="5">
        <f t="shared" si="14"/>
        <v>0</v>
      </c>
      <c r="L22" s="5">
        <f t="shared" si="14"/>
        <v>0</v>
      </c>
      <c r="M22" s="5">
        <f t="shared" si="14"/>
        <v>0</v>
      </c>
      <c r="N22" s="5">
        <f t="shared" si="14"/>
        <v>0</v>
      </c>
    </row>
    <row r="23" spans="1:14" outlineLevel="1" x14ac:dyDescent="0.25">
      <c r="A23" s="1" t="s">
        <v>93</v>
      </c>
      <c r="B23" s="3"/>
      <c r="C23" s="3"/>
      <c r="D23" s="3"/>
      <c r="E23" s="3"/>
      <c r="F23" s="3"/>
      <c r="G23" s="3"/>
      <c r="I23" s="3"/>
      <c r="J23" s="3"/>
      <c r="K23" s="3"/>
      <c r="L23" s="3"/>
      <c r="M23" s="3"/>
      <c r="N23" s="3"/>
    </row>
    <row r="24" spans="1:14" outlineLevel="1" x14ac:dyDescent="0.25">
      <c r="A24" s="1" t="s">
        <v>94</v>
      </c>
      <c r="B24" s="5">
        <f t="shared" ref="B24:G24" si="15">IF(B20=0,0,ROUND(B23/B22,3)*100)</f>
        <v>0</v>
      </c>
      <c r="C24" s="5">
        <f t="shared" si="15"/>
        <v>0</v>
      </c>
      <c r="D24" s="5">
        <f t="shared" si="15"/>
        <v>0</v>
      </c>
      <c r="E24" s="5">
        <f t="shared" si="15"/>
        <v>0</v>
      </c>
      <c r="F24" s="5">
        <f t="shared" si="15"/>
        <v>0</v>
      </c>
      <c r="G24" s="5">
        <f t="shared" si="15"/>
        <v>0</v>
      </c>
      <c r="I24" s="5">
        <f t="shared" ref="I24:N24" si="16">IF(I20=0,0,ROUND(I23/I22,3)*100)</f>
        <v>0</v>
      </c>
      <c r="J24" s="5">
        <f t="shared" si="16"/>
        <v>0</v>
      </c>
      <c r="K24" s="5">
        <f t="shared" si="16"/>
        <v>0</v>
      </c>
      <c r="L24" s="5">
        <f t="shared" si="16"/>
        <v>0</v>
      </c>
      <c r="M24" s="5">
        <f t="shared" si="16"/>
        <v>0</v>
      </c>
      <c r="N24" s="5">
        <f t="shared" si="16"/>
        <v>0</v>
      </c>
    </row>
    <row r="25" spans="1:14" x14ac:dyDescent="0.25">
      <c r="A25" s="1" t="s">
        <v>95</v>
      </c>
      <c r="B25" s="6">
        <f>IF(B5+B10+B15+B20=0,0,ROUND((B5*B9+B10*B14+B15*B19+B20*B24)/(B5+B10+B15+B20),1)*(IF((B2*60)-(B3*240)-(B4*20)=B5+B10+B15+B20,1,0)))</f>
        <v>73.900000000000006</v>
      </c>
      <c r="C25" s="6">
        <f>IF(C5+C10+C15+C20=0,0,ROUND((C5*C9+C10*C14+C15*C19+C20*C24)/(C5+C10+C15+C20),1)*(IF((C2*60)-(C3*240)-(C4*20)=C5+C10+C15+C20,1,0)))</f>
        <v>0</v>
      </c>
      <c r="D25" s="6">
        <f>IF(D5+D10+D15+D20=0,0,ROUND((D5*D9+D10*D14+D15*D19+D20*D24)/(D5+D10+D15+D20),1)*(IF((D2*60)-(D3*240)-(D4*20)=D5+D10+D15+D20,1,0)))</f>
        <v>0</v>
      </c>
      <c r="E25" s="6">
        <f>IF(E5+E10+E15+E20=0,0,ROUND((E5*E9+E10*E14+E15*E19+E20*E24)/(E5+E10+E15+E20),1)*(IF((E2*60)-(E3*240)-(E4*20)=E5+E10+E15+E20,1,0)))</f>
        <v>69.7</v>
      </c>
      <c r="F25" s="6">
        <f>IF(F5+F10+F15+F20=0,0,ROUND((F5*F9+F10*F14+F15*F19+F20*F24)/(F5+F10+F15+F20),1)*(IF((F2*60)-(F3*240)-(F4*20)=F5+F10+F15+F20,1,0)))</f>
        <v>0</v>
      </c>
      <c r="G25" s="6">
        <f>IF(G5+G10+G15+G20=0,0,ROUND((G5*G9+G10*G14+G15*G19+G20*G24)/(G5+G10+G15+G20),1)*(IF((G2*60)-(G3*240-(G4*20))=G5+G10+G15+G20,1,0)))</f>
        <v>69.8</v>
      </c>
      <c r="H25" s="7"/>
      <c r="I25" s="6">
        <f t="shared" ref="I25:N25" si="17">IF(I5+I10+I15+I20=0,0,ROUND((I5*I9+I10*I14+I15*I19+I20*I24)/(I5+I10+I15+I20),1)*(IF((I2*60)-(I3*240)=I5+I10+I15+I20,1,0)))</f>
        <v>0</v>
      </c>
      <c r="J25" s="6">
        <f t="shared" si="17"/>
        <v>0</v>
      </c>
      <c r="K25" s="6">
        <f t="shared" si="17"/>
        <v>0</v>
      </c>
      <c r="L25" s="6">
        <f t="shared" si="17"/>
        <v>0</v>
      </c>
      <c r="M25" s="6">
        <f t="shared" si="17"/>
        <v>0</v>
      </c>
      <c r="N25" s="6">
        <f t="shared" si="17"/>
        <v>0</v>
      </c>
    </row>
    <row r="26" spans="1:14" x14ac:dyDescent="0.25">
      <c r="G26" s="9"/>
      <c r="N26" s="9"/>
    </row>
    <row r="27" spans="1:14" x14ac:dyDescent="0.25">
      <c r="A27" t="s">
        <v>96</v>
      </c>
      <c r="B27" s="10">
        <f>IF((B2+C2+D2+E2+F2+G2)=0,0,ROUND((B25*B2+C25*C2+D25*D2+E25*E2+F25*F2+G25*G2)/(B2+C2+D2+E2+F2+G2),1))</f>
        <v>71.3</v>
      </c>
      <c r="G27" s="9"/>
      <c r="I27" s="10">
        <f>IF((I2+J2+K2+L2+M2+N2)=0,0,ROUND((I25*I2+J25*J2+K25*K2+L25*L2+M25*M2+N25*N2)/(I2+J2+K2+L2+M2+N2),1))</f>
        <v>0</v>
      </c>
      <c r="N27" s="9"/>
    </row>
    <row r="28" spans="1:14" x14ac:dyDescent="0.25">
      <c r="G28" s="9"/>
      <c r="M28" s="8" t="s">
        <v>97</v>
      </c>
      <c r="N28" s="9"/>
    </row>
    <row r="29" spans="1:14" x14ac:dyDescent="0.25">
      <c r="G29" s="9"/>
      <c r="M29" s="8" t="s">
        <v>98</v>
      </c>
      <c r="N29" s="9"/>
    </row>
    <row r="30" spans="1:14" x14ac:dyDescent="0.25">
      <c r="A30" t="s">
        <v>99</v>
      </c>
      <c r="G30" s="9"/>
      <c r="L30" s="8" t="s">
        <v>100</v>
      </c>
      <c r="N30" s="9"/>
    </row>
    <row r="31" spans="1:14" x14ac:dyDescent="0.25">
      <c r="A31" t="s">
        <v>101</v>
      </c>
      <c r="G31" s="9"/>
      <c r="N31" s="9"/>
    </row>
    <row r="32" spans="1:14" x14ac:dyDescent="0.25">
      <c r="A32" t="s">
        <v>102</v>
      </c>
      <c r="G32" s="9"/>
      <c r="N32" s="9"/>
    </row>
    <row r="33" spans="1:14" x14ac:dyDescent="0.25">
      <c r="A33" t="s">
        <v>103</v>
      </c>
      <c r="G33" s="9"/>
      <c r="N33" s="9"/>
    </row>
    <row r="34" spans="1:14" x14ac:dyDescent="0.25">
      <c r="A34" t="s">
        <v>104</v>
      </c>
      <c r="G34" s="9"/>
      <c r="N34" s="9"/>
    </row>
    <row r="35" spans="1:14" x14ac:dyDescent="0.25">
      <c r="A35" t="s">
        <v>105</v>
      </c>
      <c r="G35" s="9"/>
      <c r="N35" s="9"/>
    </row>
    <row r="36" spans="1:14" x14ac:dyDescent="0.25">
      <c r="A36" t="s">
        <v>57</v>
      </c>
    </row>
    <row r="37" spans="1:14" x14ac:dyDescent="0.25">
      <c r="A37" t="s">
        <v>106</v>
      </c>
    </row>
    <row r="38" spans="1:14" x14ac:dyDescent="0.25">
      <c r="A38" t="s">
        <v>107</v>
      </c>
    </row>
    <row r="39" spans="1:14" x14ac:dyDescent="0.25">
      <c r="A39" t="s">
        <v>108</v>
      </c>
    </row>
    <row r="40" spans="1:14" x14ac:dyDescent="0.25">
      <c r="A40" t="s">
        <v>109</v>
      </c>
    </row>
    <row r="41" spans="1:14" x14ac:dyDescent="0.25">
      <c r="A41" t="s">
        <v>110</v>
      </c>
    </row>
    <row r="42" spans="1:14" x14ac:dyDescent="0.25">
      <c r="A42" t="s">
        <v>111</v>
      </c>
    </row>
    <row r="43" spans="1:14" x14ac:dyDescent="0.25">
      <c r="A43" t="s">
        <v>112</v>
      </c>
    </row>
    <row r="45" spans="1:14" x14ac:dyDescent="0.25">
      <c r="A45" t="s">
        <v>113</v>
      </c>
    </row>
    <row r="47" spans="1:14" x14ac:dyDescent="0.25">
      <c r="A47" t="s">
        <v>114</v>
      </c>
    </row>
    <row r="48" spans="1:14" x14ac:dyDescent="0.25">
      <c r="A48" t="s">
        <v>115</v>
      </c>
    </row>
    <row r="49" spans="1:1" x14ac:dyDescent="0.25">
      <c r="A49" t="s">
        <v>116</v>
      </c>
    </row>
    <row r="50" spans="1:1" x14ac:dyDescent="0.25">
      <c r="A50" t="s">
        <v>117</v>
      </c>
    </row>
    <row r="51" spans="1:1" x14ac:dyDescent="0.25">
      <c r="A51" t="s">
        <v>118</v>
      </c>
    </row>
    <row r="52" spans="1:1" x14ac:dyDescent="0.25">
      <c r="A52" t="s">
        <v>119</v>
      </c>
    </row>
    <row r="53" spans="1:1" x14ac:dyDescent="0.25">
      <c r="A53" t="s">
        <v>120</v>
      </c>
    </row>
    <row r="54" spans="1:1" x14ac:dyDescent="0.25">
      <c r="A54" t="s">
        <v>121</v>
      </c>
    </row>
    <row r="55" spans="1:1" x14ac:dyDescent="0.25">
      <c r="A55" t="s">
        <v>122</v>
      </c>
    </row>
    <row r="56" spans="1:1" x14ac:dyDescent="0.25">
      <c r="A56" t="s">
        <v>123</v>
      </c>
    </row>
    <row r="57" spans="1:1" x14ac:dyDescent="0.25">
      <c r="A57" t="s">
        <v>124</v>
      </c>
    </row>
    <row r="58" spans="1:1" x14ac:dyDescent="0.25">
      <c r="A58" t="s">
        <v>125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4"/>
  <sheetViews>
    <sheetView topLeftCell="A2" workbookViewId="0">
      <selection activeCell="D25" sqref="D25"/>
    </sheetView>
  </sheetViews>
  <sheetFormatPr defaultRowHeight="13.2" outlineLevelRow="1" x14ac:dyDescent="0.25"/>
  <cols>
    <col min="1" max="1" width="32.33203125" bestFit="1" customWidth="1"/>
    <col min="2" max="2" width="7.6640625" style="8" customWidth="1"/>
    <col min="3" max="3" width="8" style="8" customWidth="1"/>
    <col min="4" max="4" width="6.6640625" style="8" customWidth="1"/>
    <col min="5" max="5" width="8.33203125" style="8" customWidth="1"/>
    <col min="6" max="6" width="7.109375" style="8" customWidth="1"/>
    <col min="9" max="9" width="33" bestFit="1" customWidth="1"/>
  </cols>
  <sheetData>
    <row r="1" spans="1:15" x14ac:dyDescent="0.25">
      <c r="A1" s="1" t="s">
        <v>70</v>
      </c>
      <c r="B1" s="2" t="s">
        <v>17</v>
      </c>
      <c r="C1" s="2" t="s">
        <v>19</v>
      </c>
      <c r="D1" s="2" t="s">
        <v>20</v>
      </c>
      <c r="E1" s="2" t="s">
        <v>21</v>
      </c>
      <c r="F1" s="2" t="s">
        <v>22</v>
      </c>
      <c r="G1" s="2" t="s">
        <v>23</v>
      </c>
      <c r="I1" s="1" t="s">
        <v>70</v>
      </c>
      <c r="J1" s="2" t="s">
        <v>17</v>
      </c>
      <c r="K1" s="2" t="s">
        <v>19</v>
      </c>
      <c r="L1" s="2" t="s">
        <v>20</v>
      </c>
      <c r="M1" s="2" t="s">
        <v>21</v>
      </c>
      <c r="N1" s="2" t="s">
        <v>22</v>
      </c>
      <c r="O1" s="2" t="s">
        <v>23</v>
      </c>
    </row>
    <row r="2" spans="1:15" x14ac:dyDescent="0.25">
      <c r="A2" s="1" t="s">
        <v>71</v>
      </c>
      <c r="B2" s="3">
        <f>berekening!$R$15</f>
        <v>8</v>
      </c>
      <c r="C2" s="3">
        <f>berekening!$R$16</f>
        <v>16</v>
      </c>
      <c r="D2" s="3">
        <f>berekening!$R$17</f>
        <v>16</v>
      </c>
      <c r="E2" s="12">
        <f>berekening!$R$18</f>
        <v>8</v>
      </c>
      <c r="F2" s="3">
        <f>berekening!$R$19</f>
        <v>16</v>
      </c>
      <c r="G2" s="3">
        <f>berekening!$R$20</f>
        <v>0</v>
      </c>
      <c r="I2" s="1" t="s">
        <v>71</v>
      </c>
      <c r="J2" s="3">
        <f>berekening!Q15</f>
        <v>0</v>
      </c>
      <c r="K2" s="3">
        <f>berekening!Q16</f>
        <v>0</v>
      </c>
      <c r="L2" s="3">
        <f>berekening!Q17</f>
        <v>0</v>
      </c>
      <c r="M2" s="12">
        <f>berekening!Q18</f>
        <v>0</v>
      </c>
      <c r="N2" s="3">
        <f>berekening!Q19</f>
        <v>0</v>
      </c>
      <c r="O2" s="3">
        <f>berekening!Q20</f>
        <v>0</v>
      </c>
    </row>
    <row r="3" spans="1:15" x14ac:dyDescent="0.25">
      <c r="A3" s="1" t="s">
        <v>126</v>
      </c>
      <c r="B3" s="12">
        <f>berekening!$O15</f>
        <v>1</v>
      </c>
      <c r="C3" s="12">
        <f>berekening!$O16</f>
        <v>3</v>
      </c>
      <c r="D3" s="12">
        <f>berekening!$O17</f>
        <v>2</v>
      </c>
      <c r="E3" s="12">
        <f>berekening!$O18</f>
        <v>2</v>
      </c>
      <c r="F3" s="12">
        <f>berekening!$O19</f>
        <v>2</v>
      </c>
      <c r="G3" s="12">
        <f>berekening!$O20</f>
        <v>0</v>
      </c>
      <c r="I3" s="1" t="s">
        <v>127</v>
      </c>
      <c r="J3" s="12">
        <f>berekening!$O15</f>
        <v>1</v>
      </c>
      <c r="K3" s="12">
        <f>berekening!$O16</f>
        <v>3</v>
      </c>
      <c r="L3" s="12"/>
      <c r="M3" s="12">
        <f>berekening!$O18</f>
        <v>2</v>
      </c>
      <c r="N3" s="12"/>
      <c r="O3" s="12">
        <f>berekening!$O20</f>
        <v>0</v>
      </c>
    </row>
    <row r="4" spans="1:15" x14ac:dyDescent="0.25">
      <c r="A4" s="1" t="s">
        <v>128</v>
      </c>
      <c r="B4" s="12">
        <f>berekening!P15</f>
        <v>0</v>
      </c>
      <c r="C4" s="12">
        <f>berekening!P16</f>
        <v>0</v>
      </c>
      <c r="D4" s="12">
        <f>berekening!P17</f>
        <v>0</v>
      </c>
      <c r="E4" s="12">
        <f>berekening!P18</f>
        <v>0</v>
      </c>
      <c r="F4" s="12">
        <f>berekening!P19</f>
        <v>0</v>
      </c>
      <c r="G4" s="12">
        <f>berekening!P20</f>
        <v>0</v>
      </c>
      <c r="I4" s="1"/>
      <c r="J4" s="12"/>
      <c r="K4" s="12"/>
      <c r="L4" s="12"/>
      <c r="M4" s="12"/>
      <c r="N4" s="12"/>
      <c r="O4" s="12"/>
    </row>
    <row r="5" spans="1:15" x14ac:dyDescent="0.25">
      <c r="A5" s="1" t="s">
        <v>74</v>
      </c>
      <c r="B5" s="3">
        <f t="shared" ref="B5:G5" si="0">(B2*60)-(B3*75)-(B4*10)</f>
        <v>405</v>
      </c>
      <c r="C5" s="3">
        <f t="shared" si="0"/>
        <v>735</v>
      </c>
      <c r="D5" s="3">
        <f t="shared" si="0"/>
        <v>810</v>
      </c>
      <c r="E5" s="3">
        <f t="shared" si="0"/>
        <v>330</v>
      </c>
      <c r="F5" s="3">
        <f t="shared" si="0"/>
        <v>810</v>
      </c>
      <c r="G5" s="3">
        <f t="shared" si="0"/>
        <v>0</v>
      </c>
      <c r="I5" s="1" t="s">
        <v>74</v>
      </c>
      <c r="J5" s="3">
        <f t="shared" ref="J5:O5" si="1">(J2*60)-(J3*60)</f>
        <v>-60</v>
      </c>
      <c r="K5" s="3">
        <f t="shared" si="1"/>
        <v>-180</v>
      </c>
      <c r="L5" s="3">
        <f t="shared" si="1"/>
        <v>0</v>
      </c>
      <c r="M5" s="3">
        <f t="shared" si="1"/>
        <v>-120</v>
      </c>
      <c r="N5" s="3">
        <f t="shared" si="1"/>
        <v>0</v>
      </c>
      <c r="O5" s="3">
        <f t="shared" si="1"/>
        <v>0</v>
      </c>
    </row>
    <row r="6" spans="1:15" x14ac:dyDescent="0.25">
      <c r="A6" s="1" t="s">
        <v>75</v>
      </c>
      <c r="B6" s="3">
        <v>13.6</v>
      </c>
      <c r="C6" s="3">
        <v>13.6</v>
      </c>
      <c r="D6" s="3">
        <v>13.6</v>
      </c>
      <c r="E6" s="3">
        <v>13.6</v>
      </c>
      <c r="F6" s="3">
        <v>13.6</v>
      </c>
      <c r="G6" s="3">
        <v>13.6</v>
      </c>
      <c r="I6" s="1" t="s">
        <v>75</v>
      </c>
      <c r="J6" s="3">
        <v>13.6</v>
      </c>
      <c r="K6" s="3">
        <v>13.6</v>
      </c>
      <c r="L6" s="3">
        <v>13.6</v>
      </c>
      <c r="M6" s="3">
        <v>13.6</v>
      </c>
      <c r="N6" s="3">
        <v>13.6</v>
      </c>
      <c r="O6" s="3">
        <v>13.6</v>
      </c>
    </row>
    <row r="7" spans="1:15" x14ac:dyDescent="0.25">
      <c r="A7" s="1" t="s">
        <v>76</v>
      </c>
      <c r="B7" s="4">
        <f t="shared" ref="B7:G7" si="2">IF(B5=0,0,ROUND((B5*60)/B6,0))</f>
        <v>1787</v>
      </c>
      <c r="C7" s="4">
        <f t="shared" si="2"/>
        <v>3243</v>
      </c>
      <c r="D7" s="4">
        <f t="shared" si="2"/>
        <v>3574</v>
      </c>
      <c r="E7" s="4">
        <f t="shared" si="2"/>
        <v>1456</v>
      </c>
      <c r="F7" s="4">
        <f t="shared" si="2"/>
        <v>3574</v>
      </c>
      <c r="G7" s="4">
        <f t="shared" si="2"/>
        <v>0</v>
      </c>
      <c r="I7" s="1" t="s">
        <v>76</v>
      </c>
      <c r="J7" s="4">
        <f t="shared" ref="J7:O7" si="3">IF(J5=0,0,ROUND((J5*60)/J6,0))</f>
        <v>-265</v>
      </c>
      <c r="K7" s="4">
        <f t="shared" si="3"/>
        <v>-794</v>
      </c>
      <c r="L7" s="4">
        <f t="shared" si="3"/>
        <v>0</v>
      </c>
      <c r="M7" s="4">
        <f t="shared" si="3"/>
        <v>-529</v>
      </c>
      <c r="N7" s="4">
        <f t="shared" si="3"/>
        <v>0</v>
      </c>
      <c r="O7" s="4">
        <f t="shared" si="3"/>
        <v>0</v>
      </c>
    </row>
    <row r="8" spans="1:15" x14ac:dyDescent="0.25">
      <c r="A8" s="1" t="s">
        <v>77</v>
      </c>
      <c r="B8" s="3">
        <f>berekening!K15</f>
        <v>1745</v>
      </c>
      <c r="C8" s="3">
        <f>berekening!K16</f>
        <v>2724</v>
      </c>
      <c r="D8" s="3">
        <f>berekening!K17</f>
        <v>2888</v>
      </c>
      <c r="E8" s="3">
        <f>berekening!K18</f>
        <v>918</v>
      </c>
      <c r="F8" s="3">
        <f>berekening!K19</f>
        <v>2994</v>
      </c>
      <c r="G8" s="3">
        <f>berekening!K20</f>
        <v>0</v>
      </c>
      <c r="I8" s="1" t="s">
        <v>77</v>
      </c>
      <c r="J8" s="3">
        <f>berekening!N15</f>
        <v>0</v>
      </c>
      <c r="K8" s="3">
        <f>berekening!N16</f>
        <v>0</v>
      </c>
      <c r="L8" s="3">
        <f>berekening!N17</f>
        <v>0</v>
      </c>
      <c r="M8" s="3">
        <f>berekening!N18</f>
        <v>0</v>
      </c>
      <c r="N8" s="12">
        <f>berekening!M19</f>
        <v>0</v>
      </c>
      <c r="O8" s="3">
        <f>berekening!M20</f>
        <v>0</v>
      </c>
    </row>
    <row r="9" spans="1:15" x14ac:dyDescent="0.25">
      <c r="A9" s="1" t="s">
        <v>78</v>
      </c>
      <c r="B9" s="5">
        <f t="shared" ref="B9:G9" si="4">IF(B5=0,0,ROUND(B8/B7,3)*100)</f>
        <v>97.6</v>
      </c>
      <c r="C9" s="5">
        <f t="shared" si="4"/>
        <v>84</v>
      </c>
      <c r="D9" s="5">
        <f t="shared" si="4"/>
        <v>80.800000000000011</v>
      </c>
      <c r="E9" s="5">
        <f t="shared" si="4"/>
        <v>63</v>
      </c>
      <c r="F9" s="5">
        <f t="shared" si="4"/>
        <v>83.8</v>
      </c>
      <c r="G9" s="5">
        <f t="shared" si="4"/>
        <v>0</v>
      </c>
      <c r="I9" s="1" t="s">
        <v>78</v>
      </c>
      <c r="J9" s="5">
        <f t="shared" ref="J9:O9" si="5">IF(J5=0,0,ROUND(J8/J7,3)*100)</f>
        <v>0</v>
      </c>
      <c r="K9" s="5">
        <f t="shared" si="5"/>
        <v>0</v>
      </c>
      <c r="L9" s="5">
        <f t="shared" si="5"/>
        <v>0</v>
      </c>
      <c r="M9" s="5">
        <f t="shared" si="5"/>
        <v>0</v>
      </c>
      <c r="N9" s="5">
        <f t="shared" si="5"/>
        <v>0</v>
      </c>
      <c r="O9" s="5">
        <f t="shared" si="5"/>
        <v>0</v>
      </c>
    </row>
    <row r="10" spans="1:15" x14ac:dyDescent="0.25">
      <c r="A10" s="1" t="s">
        <v>79</v>
      </c>
      <c r="B10" s="3"/>
      <c r="C10" s="3"/>
      <c r="D10" s="3"/>
      <c r="E10" s="3"/>
      <c r="F10" s="3"/>
      <c r="G10" s="3"/>
      <c r="I10" s="1" t="s">
        <v>79</v>
      </c>
      <c r="J10" s="3"/>
      <c r="K10" s="3"/>
      <c r="L10" s="3"/>
      <c r="M10" s="3"/>
      <c r="N10" s="3"/>
      <c r="O10" s="3"/>
    </row>
    <row r="11" spans="1:15" x14ac:dyDescent="0.25">
      <c r="A11" s="1" t="s">
        <v>80</v>
      </c>
      <c r="B11" s="3"/>
      <c r="C11" s="3"/>
      <c r="D11" s="3"/>
      <c r="E11" s="3"/>
      <c r="F11" s="3"/>
      <c r="G11" s="3"/>
      <c r="I11" s="1" t="s">
        <v>80</v>
      </c>
      <c r="J11" s="3"/>
      <c r="K11" s="3"/>
      <c r="L11" s="3"/>
      <c r="M11" s="3"/>
      <c r="N11" s="3"/>
      <c r="O11" s="3"/>
    </row>
    <row r="12" spans="1:15" x14ac:dyDescent="0.25">
      <c r="A12" s="1" t="s">
        <v>81</v>
      </c>
      <c r="B12" s="5">
        <f t="shared" ref="B12:G12" si="6">IF(B10=0,0,ROUND((B10*60)/B11,0))</f>
        <v>0</v>
      </c>
      <c r="C12" s="5">
        <f t="shared" si="6"/>
        <v>0</v>
      </c>
      <c r="D12" s="5">
        <f t="shared" si="6"/>
        <v>0</v>
      </c>
      <c r="E12" s="5">
        <f t="shared" si="6"/>
        <v>0</v>
      </c>
      <c r="F12" s="5">
        <f t="shared" si="6"/>
        <v>0</v>
      </c>
      <c r="G12" s="5">
        <f t="shared" si="6"/>
        <v>0</v>
      </c>
      <c r="I12" s="1" t="s">
        <v>81</v>
      </c>
      <c r="J12" s="5">
        <f t="shared" ref="J12:O12" si="7">IF(J10=0,0,ROUND((J10*60)/J11,0))</f>
        <v>0</v>
      </c>
      <c r="K12" s="5">
        <f t="shared" si="7"/>
        <v>0</v>
      </c>
      <c r="L12" s="5">
        <f t="shared" si="7"/>
        <v>0</v>
      </c>
      <c r="M12" s="5">
        <f t="shared" si="7"/>
        <v>0</v>
      </c>
      <c r="N12" s="5">
        <f t="shared" si="7"/>
        <v>0</v>
      </c>
      <c r="O12" s="5">
        <f t="shared" si="7"/>
        <v>0</v>
      </c>
    </row>
    <row r="13" spans="1:15" x14ac:dyDescent="0.25">
      <c r="A13" s="1" t="s">
        <v>82</v>
      </c>
      <c r="B13" s="3"/>
      <c r="C13" s="3"/>
      <c r="D13" s="3"/>
      <c r="E13" s="3"/>
      <c r="F13" s="3"/>
      <c r="G13" s="3"/>
      <c r="I13" s="1" t="s">
        <v>82</v>
      </c>
      <c r="J13" s="3"/>
      <c r="K13" s="3"/>
      <c r="L13" s="3"/>
      <c r="M13" s="3"/>
      <c r="N13" s="3"/>
      <c r="O13" s="3"/>
    </row>
    <row r="14" spans="1:15" x14ac:dyDescent="0.25">
      <c r="A14" s="1" t="s">
        <v>83</v>
      </c>
      <c r="B14" s="5">
        <f t="shared" ref="B14:G14" si="8">IF(B10=0,0,ROUND(B13/B12,3)*100)</f>
        <v>0</v>
      </c>
      <c r="C14" s="5">
        <f t="shared" si="8"/>
        <v>0</v>
      </c>
      <c r="D14" s="5">
        <f t="shared" si="8"/>
        <v>0</v>
      </c>
      <c r="E14" s="5">
        <f t="shared" si="8"/>
        <v>0</v>
      </c>
      <c r="F14" s="5">
        <f t="shared" si="8"/>
        <v>0</v>
      </c>
      <c r="G14" s="5">
        <f t="shared" si="8"/>
        <v>0</v>
      </c>
      <c r="I14" s="1" t="s">
        <v>83</v>
      </c>
      <c r="J14" s="5">
        <f t="shared" ref="J14:O14" si="9">IF(J10=0,0,ROUND(J13/J12,3)*100)</f>
        <v>0</v>
      </c>
      <c r="K14" s="5">
        <f t="shared" si="9"/>
        <v>0</v>
      </c>
      <c r="L14" s="5">
        <f t="shared" si="9"/>
        <v>0</v>
      </c>
      <c r="M14" s="5">
        <f t="shared" si="9"/>
        <v>0</v>
      </c>
      <c r="N14" s="5">
        <f t="shared" si="9"/>
        <v>0</v>
      </c>
      <c r="O14" s="5">
        <f t="shared" si="9"/>
        <v>0</v>
      </c>
    </row>
    <row r="15" spans="1:15" outlineLevel="1" x14ac:dyDescent="0.25">
      <c r="A15" s="1" t="s">
        <v>84</v>
      </c>
      <c r="B15" s="3"/>
      <c r="C15" s="3"/>
      <c r="D15" s="3"/>
      <c r="E15" s="3"/>
      <c r="F15" s="3"/>
      <c r="G15" s="3"/>
      <c r="I15" s="1" t="s">
        <v>84</v>
      </c>
      <c r="J15" s="3"/>
      <c r="K15" s="3"/>
      <c r="L15" s="3"/>
      <c r="M15" s="3"/>
      <c r="N15" s="3"/>
      <c r="O15" s="3"/>
    </row>
    <row r="16" spans="1:15" outlineLevel="1" x14ac:dyDescent="0.25">
      <c r="A16" s="1" t="s">
        <v>86</v>
      </c>
      <c r="B16" s="3"/>
      <c r="C16" s="3"/>
      <c r="D16" s="3"/>
      <c r="E16" s="3"/>
      <c r="F16" s="3"/>
      <c r="G16" s="3"/>
      <c r="I16" s="1" t="s">
        <v>86</v>
      </c>
      <c r="J16" s="3"/>
      <c r="K16" s="3"/>
      <c r="L16" s="3"/>
      <c r="M16" s="3"/>
      <c r="N16" s="3"/>
      <c r="O16" s="3"/>
    </row>
    <row r="17" spans="1:15" outlineLevel="1" x14ac:dyDescent="0.25">
      <c r="A17" s="1" t="s">
        <v>87</v>
      </c>
      <c r="B17" s="5">
        <f t="shared" ref="B17:G17" si="10">IF(B15=0,0,ROUND((B15*60)/B16,0))</f>
        <v>0</v>
      </c>
      <c r="C17" s="5">
        <f t="shared" si="10"/>
        <v>0</v>
      </c>
      <c r="D17" s="5">
        <f t="shared" si="10"/>
        <v>0</v>
      </c>
      <c r="E17" s="5">
        <f t="shared" si="10"/>
        <v>0</v>
      </c>
      <c r="F17" s="5">
        <f t="shared" si="10"/>
        <v>0</v>
      </c>
      <c r="G17" s="5">
        <f t="shared" si="10"/>
        <v>0</v>
      </c>
      <c r="I17" s="1" t="s">
        <v>87</v>
      </c>
      <c r="J17" s="5">
        <f t="shared" ref="J17:O17" si="11">IF(J15=0,0,ROUND((J15*60)/J16,0))</f>
        <v>0</v>
      </c>
      <c r="K17" s="5">
        <f t="shared" si="11"/>
        <v>0</v>
      </c>
      <c r="L17" s="5">
        <f t="shared" si="11"/>
        <v>0</v>
      </c>
      <c r="M17" s="5">
        <f t="shared" si="11"/>
        <v>0</v>
      </c>
      <c r="N17" s="5">
        <f t="shared" si="11"/>
        <v>0</v>
      </c>
      <c r="O17" s="5">
        <f t="shared" si="11"/>
        <v>0</v>
      </c>
    </row>
    <row r="18" spans="1:15" outlineLevel="1" x14ac:dyDescent="0.25">
      <c r="A18" s="1" t="s">
        <v>88</v>
      </c>
      <c r="B18" s="3"/>
      <c r="C18" s="3"/>
      <c r="D18" s="3"/>
      <c r="E18" s="3"/>
      <c r="F18" s="3"/>
      <c r="G18" s="3"/>
      <c r="I18" s="1" t="s">
        <v>88</v>
      </c>
      <c r="J18" s="3"/>
      <c r="K18" s="3"/>
      <c r="L18" s="3"/>
      <c r="M18" s="3"/>
      <c r="N18" s="3"/>
      <c r="O18" s="3"/>
    </row>
    <row r="19" spans="1:15" outlineLevel="1" x14ac:dyDescent="0.25">
      <c r="A19" s="1" t="s">
        <v>89</v>
      </c>
      <c r="B19" s="5">
        <f t="shared" ref="B19:G19" si="12">IF(B15=0,0,ROUND(B18/B17,3)*100)</f>
        <v>0</v>
      </c>
      <c r="C19" s="5">
        <f t="shared" si="12"/>
        <v>0</v>
      </c>
      <c r="D19" s="5">
        <f t="shared" si="12"/>
        <v>0</v>
      </c>
      <c r="E19" s="5">
        <f t="shared" si="12"/>
        <v>0</v>
      </c>
      <c r="F19" s="5">
        <f t="shared" si="12"/>
        <v>0</v>
      </c>
      <c r="G19" s="5">
        <f t="shared" si="12"/>
        <v>0</v>
      </c>
      <c r="I19" s="1" t="s">
        <v>89</v>
      </c>
      <c r="J19" s="5">
        <f t="shared" ref="J19:O19" si="13">IF(J15=0,0,ROUND(J18/J17,3)*100)</f>
        <v>0</v>
      </c>
      <c r="K19" s="5">
        <f t="shared" si="13"/>
        <v>0</v>
      </c>
      <c r="L19" s="5">
        <f t="shared" si="13"/>
        <v>0</v>
      </c>
      <c r="M19" s="5">
        <f t="shared" si="13"/>
        <v>0</v>
      </c>
      <c r="N19" s="5">
        <f t="shared" si="13"/>
        <v>0</v>
      </c>
      <c r="O19" s="5">
        <f t="shared" si="13"/>
        <v>0</v>
      </c>
    </row>
    <row r="20" spans="1:15" outlineLevel="1" x14ac:dyDescent="0.25">
      <c r="A20" s="1" t="s">
        <v>90</v>
      </c>
      <c r="B20" s="3"/>
      <c r="C20" s="3"/>
      <c r="D20" s="3"/>
      <c r="E20" s="3"/>
      <c r="F20" s="3"/>
      <c r="G20" s="3"/>
      <c r="I20" s="1" t="s">
        <v>90</v>
      </c>
      <c r="J20" s="3"/>
      <c r="K20" s="3"/>
      <c r="L20" s="3"/>
      <c r="M20" s="3"/>
      <c r="N20" s="3"/>
      <c r="O20" s="3"/>
    </row>
    <row r="21" spans="1:15" outlineLevel="1" x14ac:dyDescent="0.25">
      <c r="A21" s="1" t="s">
        <v>91</v>
      </c>
      <c r="B21" s="3"/>
      <c r="C21" s="3"/>
      <c r="D21" s="3"/>
      <c r="E21" s="3"/>
      <c r="F21" s="3"/>
      <c r="G21" s="3"/>
      <c r="I21" s="1" t="s">
        <v>91</v>
      </c>
      <c r="J21" s="3"/>
      <c r="K21" s="3"/>
      <c r="L21" s="3"/>
      <c r="M21" s="3"/>
      <c r="N21" s="3"/>
      <c r="O21" s="3"/>
    </row>
    <row r="22" spans="1:15" outlineLevel="1" x14ac:dyDescent="0.25">
      <c r="A22" s="1" t="s">
        <v>92</v>
      </c>
      <c r="B22" s="5">
        <f t="shared" ref="B22:G22" si="14">IF(B20=0,0,ROUND((B20*60)/B21,0))</f>
        <v>0</v>
      </c>
      <c r="C22" s="5">
        <f t="shared" si="14"/>
        <v>0</v>
      </c>
      <c r="D22" s="5">
        <f t="shared" si="14"/>
        <v>0</v>
      </c>
      <c r="E22" s="5">
        <f t="shared" si="14"/>
        <v>0</v>
      </c>
      <c r="F22" s="5">
        <f t="shared" si="14"/>
        <v>0</v>
      </c>
      <c r="G22" s="5">
        <f t="shared" si="14"/>
        <v>0</v>
      </c>
      <c r="I22" s="1" t="s">
        <v>92</v>
      </c>
      <c r="J22" s="5">
        <f t="shared" ref="J22:O22" si="15">IF(J20=0,0,ROUND((J20*60)/J21,0))</f>
        <v>0</v>
      </c>
      <c r="K22" s="5">
        <f t="shared" si="15"/>
        <v>0</v>
      </c>
      <c r="L22" s="5">
        <f t="shared" si="15"/>
        <v>0</v>
      </c>
      <c r="M22" s="5">
        <f t="shared" si="15"/>
        <v>0</v>
      </c>
      <c r="N22" s="5">
        <f t="shared" si="15"/>
        <v>0</v>
      </c>
      <c r="O22" s="5">
        <f t="shared" si="15"/>
        <v>0</v>
      </c>
    </row>
    <row r="23" spans="1:15" outlineLevel="1" x14ac:dyDescent="0.25">
      <c r="A23" s="1" t="s">
        <v>93</v>
      </c>
      <c r="B23" s="3"/>
      <c r="C23" s="3"/>
      <c r="D23" s="3"/>
      <c r="E23" s="3"/>
      <c r="F23" s="3"/>
      <c r="G23" s="3"/>
      <c r="I23" s="1" t="s">
        <v>93</v>
      </c>
      <c r="J23" s="3"/>
      <c r="K23" s="3"/>
      <c r="L23" s="3"/>
      <c r="M23" s="3"/>
      <c r="N23" s="3"/>
      <c r="O23" s="3"/>
    </row>
    <row r="24" spans="1:15" outlineLevel="1" x14ac:dyDescent="0.25">
      <c r="A24" s="1" t="s">
        <v>94</v>
      </c>
      <c r="B24" s="5">
        <f t="shared" ref="B24:G24" si="16">IF(B20=0,0,ROUND(B23/B22,3)*100)</f>
        <v>0</v>
      </c>
      <c r="C24" s="5">
        <f t="shared" si="16"/>
        <v>0</v>
      </c>
      <c r="D24" s="5">
        <f t="shared" si="16"/>
        <v>0</v>
      </c>
      <c r="E24" s="5">
        <f t="shared" si="16"/>
        <v>0</v>
      </c>
      <c r="F24" s="5">
        <f t="shared" si="16"/>
        <v>0</v>
      </c>
      <c r="G24" s="5">
        <f t="shared" si="16"/>
        <v>0</v>
      </c>
      <c r="I24" s="1" t="s">
        <v>94</v>
      </c>
      <c r="J24" s="5">
        <f t="shared" ref="J24:O24" si="17">IF(J20=0,0,ROUND(J23/J22,3)*100)</f>
        <v>0</v>
      </c>
      <c r="K24" s="5">
        <f t="shared" si="17"/>
        <v>0</v>
      </c>
      <c r="L24" s="5">
        <f t="shared" si="17"/>
        <v>0</v>
      </c>
      <c r="M24" s="5">
        <f t="shared" si="17"/>
        <v>0</v>
      </c>
      <c r="N24" s="5">
        <f t="shared" si="17"/>
        <v>0</v>
      </c>
      <c r="O24" s="5">
        <f t="shared" si="17"/>
        <v>0</v>
      </c>
    </row>
    <row r="25" spans="1:15" x14ac:dyDescent="0.25">
      <c r="A25" s="1" t="s">
        <v>95</v>
      </c>
      <c r="B25" s="6">
        <f t="shared" ref="B25:G25" si="18">IF(B5+B10+B15+B20=0,0,ROUND((B5*B9+B10*B14+B15*B19+B20*B24)/(B5+B10+B15+B20),1)*(IF((B2*60)-(B3*75)-(B4*10)=B5+B10+B15+B20,1,0)))</f>
        <v>97.6</v>
      </c>
      <c r="C25" s="6">
        <f t="shared" si="18"/>
        <v>84</v>
      </c>
      <c r="D25" s="6">
        <f t="shared" si="18"/>
        <v>80.8</v>
      </c>
      <c r="E25" s="6">
        <f t="shared" si="18"/>
        <v>63</v>
      </c>
      <c r="F25" s="6">
        <f t="shared" si="18"/>
        <v>83.8</v>
      </c>
      <c r="G25" s="6">
        <f t="shared" si="18"/>
        <v>0</v>
      </c>
      <c r="H25" s="7"/>
      <c r="I25" s="1" t="s">
        <v>95</v>
      </c>
      <c r="J25" s="6">
        <f t="shared" ref="J25:O25" si="19">IF(J5+J10+J15+J20=0,0,ROUND((J5*J9+J10*J14+J15*J19+J20*J24)/(J5+J10+J15+J20),1)*(IF((J2*60)-(J3*60)=J5+J10+J15+J20,1,0)))</f>
        <v>0</v>
      </c>
      <c r="K25" s="6">
        <f t="shared" si="19"/>
        <v>0</v>
      </c>
      <c r="L25" s="6">
        <f t="shared" si="19"/>
        <v>0</v>
      </c>
      <c r="M25" s="6">
        <f t="shared" si="19"/>
        <v>0</v>
      </c>
      <c r="N25" s="6">
        <f t="shared" si="19"/>
        <v>0</v>
      </c>
      <c r="O25" s="6">
        <f t="shared" si="19"/>
        <v>0</v>
      </c>
    </row>
    <row r="26" spans="1:15" x14ac:dyDescent="0.25">
      <c r="G26" s="9"/>
      <c r="J26" s="8"/>
      <c r="K26" s="8"/>
      <c r="L26" s="8"/>
      <c r="M26" s="8"/>
      <c r="N26" s="8"/>
      <c r="O26" s="9"/>
    </row>
    <row r="27" spans="1:15" x14ac:dyDescent="0.25">
      <c r="A27" t="s">
        <v>96</v>
      </c>
      <c r="B27" s="10">
        <f>IF((B2+C2+D2+E2+F2+G2)=0,0,ROUND((B25*B2+C25*C2+D25*D2+E25*E2+F25*F2+G25*G2)/(B2+C2+D2+E2+F2+G2),1))</f>
        <v>82.2</v>
      </c>
      <c r="G27" s="9"/>
      <c r="I27" t="s">
        <v>96</v>
      </c>
      <c r="J27" s="10">
        <f>IF((J2+K2+L2+M2+N2+O2)=0,0,ROUND((J25*J2+K25*K2+L25*L2+M25*M2+N25*N2+O25*O2)/(J2+K2+L2+M2+N2+O2),1))</f>
        <v>0</v>
      </c>
      <c r="K27" s="8"/>
      <c r="L27" s="8"/>
      <c r="M27" s="8"/>
      <c r="N27" s="8"/>
      <c r="O27" s="9"/>
    </row>
    <row r="28" spans="1:15" x14ac:dyDescent="0.25">
      <c r="G28" s="9"/>
    </row>
    <row r="29" spans="1:15" x14ac:dyDescent="0.25">
      <c r="G29" s="9"/>
    </row>
    <row r="30" spans="1:15" x14ac:dyDescent="0.25">
      <c r="G30" s="9"/>
    </row>
    <row r="31" spans="1:15" x14ac:dyDescent="0.25">
      <c r="G31" s="9"/>
    </row>
    <row r="32" spans="1:15" x14ac:dyDescent="0.25">
      <c r="G32" s="9"/>
    </row>
    <row r="33" spans="7:7" x14ac:dyDescent="0.25">
      <c r="G33" s="9"/>
    </row>
    <row r="34" spans="7:7" x14ac:dyDescent="0.25">
      <c r="G34" s="9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8"/>
  <sheetViews>
    <sheetView workbookViewId="0">
      <selection activeCell="A46" sqref="A46"/>
    </sheetView>
  </sheetViews>
  <sheetFormatPr defaultRowHeight="13.2" x14ac:dyDescent="0.25"/>
  <cols>
    <col min="1" max="1" width="28.44140625" customWidth="1"/>
  </cols>
  <sheetData>
    <row r="1" spans="1:7" x14ac:dyDescent="0.25">
      <c r="A1" s="1" t="s">
        <v>70</v>
      </c>
      <c r="B1" s="2" t="s">
        <v>17</v>
      </c>
      <c r="C1" s="2" t="s">
        <v>19</v>
      </c>
      <c r="D1" s="2" t="s">
        <v>20</v>
      </c>
      <c r="E1" s="2" t="s">
        <v>21</v>
      </c>
      <c r="F1" s="2" t="s">
        <v>22</v>
      </c>
      <c r="G1" s="2" t="s">
        <v>23</v>
      </c>
    </row>
    <row r="2" spans="1:7" x14ac:dyDescent="0.25">
      <c r="A2" s="1" t="s">
        <v>71</v>
      </c>
      <c r="B2" s="3">
        <f>berekening!$R$26</f>
        <v>16</v>
      </c>
      <c r="C2" s="3">
        <f>berekening!$R$27</f>
        <v>16</v>
      </c>
      <c r="D2" s="3">
        <f>berekening!$R$28</f>
        <v>16</v>
      </c>
      <c r="E2" s="12">
        <f>berekening!$R$29</f>
        <v>16</v>
      </c>
      <c r="F2" s="3">
        <f>berekening!$R$30</f>
        <v>16</v>
      </c>
      <c r="G2" s="3">
        <f>berekening!$R$31</f>
        <v>0</v>
      </c>
    </row>
    <row r="3" spans="1:7" x14ac:dyDescent="0.25">
      <c r="A3" s="1" t="s">
        <v>127</v>
      </c>
      <c r="B3" s="12">
        <f>berekening!$O26</f>
        <v>4</v>
      </c>
      <c r="C3" s="12">
        <f>berekening!$O27</f>
        <v>3</v>
      </c>
      <c r="D3" s="12">
        <f>berekening!$O28</f>
        <v>1</v>
      </c>
      <c r="E3" s="12">
        <f>berekening!$O29</f>
        <v>1</v>
      </c>
      <c r="F3" s="12">
        <f>berekening!$O30</f>
        <v>3</v>
      </c>
      <c r="G3" s="12">
        <f>berekening!$O31</f>
        <v>0</v>
      </c>
    </row>
    <row r="4" spans="1:7" x14ac:dyDescent="0.25">
      <c r="A4" s="1" t="s">
        <v>128</v>
      </c>
      <c r="B4" s="12">
        <f>berekening!P15</f>
        <v>0</v>
      </c>
      <c r="C4" s="12">
        <f>berekening!P16</f>
        <v>0</v>
      </c>
      <c r="D4" s="12">
        <f>berekening!P17</f>
        <v>0</v>
      </c>
      <c r="E4" s="12">
        <f>berekening!P18</f>
        <v>0</v>
      </c>
      <c r="F4" s="12">
        <f>berekening!P19</f>
        <v>0</v>
      </c>
      <c r="G4" s="12">
        <f>berekening!P20</f>
        <v>0</v>
      </c>
    </row>
    <row r="5" spans="1:7" x14ac:dyDescent="0.25">
      <c r="A5" s="1" t="s">
        <v>74</v>
      </c>
      <c r="B5" s="3">
        <f t="shared" ref="B5:G5" si="0">(B2*60)-(B3*60)-(B4*10)</f>
        <v>720</v>
      </c>
      <c r="C5" s="3">
        <f t="shared" si="0"/>
        <v>780</v>
      </c>
      <c r="D5" s="3">
        <f t="shared" si="0"/>
        <v>900</v>
      </c>
      <c r="E5" s="3">
        <f t="shared" si="0"/>
        <v>900</v>
      </c>
      <c r="F5" s="3">
        <f t="shared" si="0"/>
        <v>780</v>
      </c>
      <c r="G5" s="3">
        <f t="shared" si="0"/>
        <v>0</v>
      </c>
    </row>
    <row r="6" spans="1:7" x14ac:dyDescent="0.25">
      <c r="A6" s="1" t="s">
        <v>75</v>
      </c>
      <c r="B6" s="3">
        <v>12</v>
      </c>
      <c r="C6" s="3">
        <v>12</v>
      </c>
      <c r="D6" s="3">
        <v>12</v>
      </c>
      <c r="E6" s="3">
        <v>12</v>
      </c>
      <c r="F6" s="3">
        <v>12</v>
      </c>
      <c r="G6" s="3">
        <v>12</v>
      </c>
    </row>
    <row r="7" spans="1:7" x14ac:dyDescent="0.25">
      <c r="A7" s="1" t="s">
        <v>76</v>
      </c>
      <c r="B7" s="4">
        <f t="shared" ref="B7:G7" si="1">IF(B5=0,0,ROUND((B5*60)/B6,0))</f>
        <v>3600</v>
      </c>
      <c r="C7" s="4">
        <f t="shared" si="1"/>
        <v>3900</v>
      </c>
      <c r="D7" s="4">
        <f t="shared" si="1"/>
        <v>4500</v>
      </c>
      <c r="E7" s="4">
        <f t="shared" si="1"/>
        <v>4500</v>
      </c>
      <c r="F7" s="4">
        <f t="shared" si="1"/>
        <v>3900</v>
      </c>
      <c r="G7" s="4">
        <f t="shared" si="1"/>
        <v>0</v>
      </c>
    </row>
    <row r="8" spans="1:7" x14ac:dyDescent="0.25">
      <c r="A8" s="1" t="s">
        <v>77</v>
      </c>
      <c r="B8" s="12">
        <f>berekening!K26</f>
        <v>3859</v>
      </c>
      <c r="C8" s="12">
        <f>berekening!K27</f>
        <v>3513</v>
      </c>
      <c r="D8" s="12">
        <f>berekening!K28</f>
        <v>4233</v>
      </c>
      <c r="E8" s="12">
        <f>berekening!K29</f>
        <v>3715</v>
      </c>
      <c r="F8" s="12">
        <f>berekening!K30</f>
        <v>3657</v>
      </c>
      <c r="G8" s="12">
        <f>berekening!K31</f>
        <v>0</v>
      </c>
    </row>
    <row r="9" spans="1:7" x14ac:dyDescent="0.25">
      <c r="A9" s="1" t="s">
        <v>78</v>
      </c>
      <c r="B9" s="5">
        <f t="shared" ref="B9:G9" si="2">IF(B5=0,0,ROUND(B8/B7,3)*100)</f>
        <v>107.2</v>
      </c>
      <c r="C9" s="5">
        <f t="shared" si="2"/>
        <v>90.100000000000009</v>
      </c>
      <c r="D9" s="5">
        <f t="shared" si="2"/>
        <v>94.1</v>
      </c>
      <c r="E9" s="5">
        <f t="shared" si="2"/>
        <v>82.6</v>
      </c>
      <c r="F9" s="5">
        <f t="shared" si="2"/>
        <v>93.8</v>
      </c>
      <c r="G9" s="5">
        <f t="shared" si="2"/>
        <v>0</v>
      </c>
    </row>
    <row r="10" spans="1:7" x14ac:dyDescent="0.25">
      <c r="A10" s="1" t="s">
        <v>79</v>
      </c>
      <c r="B10" s="3"/>
      <c r="C10" s="3"/>
      <c r="D10" s="3"/>
      <c r="E10" s="3"/>
      <c r="F10" s="3"/>
      <c r="G10" s="3"/>
    </row>
    <row r="11" spans="1:7" x14ac:dyDescent="0.25">
      <c r="A11" s="1" t="s">
        <v>80</v>
      </c>
      <c r="B11" s="3"/>
      <c r="C11" s="3"/>
      <c r="D11" s="3"/>
      <c r="E11" s="3"/>
      <c r="F11" s="3"/>
      <c r="G11" s="3"/>
    </row>
    <row r="12" spans="1:7" x14ac:dyDescent="0.25">
      <c r="A12" s="1" t="s">
        <v>81</v>
      </c>
      <c r="B12" s="5">
        <f t="shared" ref="B12:G12" si="3">IF(B10=0,0,ROUND((B10*60)/B11,0))</f>
        <v>0</v>
      </c>
      <c r="C12" s="5">
        <f t="shared" si="3"/>
        <v>0</v>
      </c>
      <c r="D12" s="5">
        <f t="shared" si="3"/>
        <v>0</v>
      </c>
      <c r="E12" s="5">
        <f t="shared" si="3"/>
        <v>0</v>
      </c>
      <c r="F12" s="5">
        <f t="shared" si="3"/>
        <v>0</v>
      </c>
      <c r="G12" s="5">
        <f t="shared" si="3"/>
        <v>0</v>
      </c>
    </row>
    <row r="13" spans="1:7" x14ac:dyDescent="0.25">
      <c r="A13" s="1" t="s">
        <v>82</v>
      </c>
      <c r="B13" s="3"/>
      <c r="C13" s="3"/>
      <c r="D13" s="3"/>
      <c r="E13" s="3"/>
      <c r="F13" s="3"/>
      <c r="G13" s="3"/>
    </row>
    <row r="14" spans="1:7" x14ac:dyDescent="0.25">
      <c r="A14" s="1" t="s">
        <v>83</v>
      </c>
      <c r="B14" s="5">
        <f t="shared" ref="B14:G14" si="4">IF(B10=0,0,ROUND(B13/B12,3)*100)</f>
        <v>0</v>
      </c>
      <c r="C14" s="5">
        <f t="shared" si="4"/>
        <v>0</v>
      </c>
      <c r="D14" s="5">
        <f t="shared" si="4"/>
        <v>0</v>
      </c>
      <c r="E14" s="5">
        <f t="shared" si="4"/>
        <v>0</v>
      </c>
      <c r="F14" s="5">
        <f t="shared" si="4"/>
        <v>0</v>
      </c>
      <c r="G14" s="5">
        <f t="shared" si="4"/>
        <v>0</v>
      </c>
    </row>
    <row r="15" spans="1:7" x14ac:dyDescent="0.25">
      <c r="A15" s="1" t="s">
        <v>84</v>
      </c>
      <c r="B15" s="3"/>
      <c r="C15" s="3"/>
      <c r="D15" s="3"/>
      <c r="E15" s="3"/>
      <c r="F15" s="3"/>
      <c r="G15" s="3"/>
    </row>
    <row r="16" spans="1:7" x14ac:dyDescent="0.25">
      <c r="A16" s="1" t="s">
        <v>86</v>
      </c>
      <c r="B16" s="3"/>
      <c r="C16" s="3"/>
      <c r="D16" s="3"/>
      <c r="E16" s="3"/>
      <c r="F16" s="3"/>
      <c r="G16" s="3"/>
    </row>
    <row r="17" spans="1:7" x14ac:dyDescent="0.25">
      <c r="A17" s="1" t="s">
        <v>87</v>
      </c>
      <c r="B17" s="5">
        <f t="shared" ref="B17:G17" si="5">IF(B15=0,0,ROUND((B15*60)/B16,0))</f>
        <v>0</v>
      </c>
      <c r="C17" s="5">
        <f t="shared" si="5"/>
        <v>0</v>
      </c>
      <c r="D17" s="5">
        <f t="shared" si="5"/>
        <v>0</v>
      </c>
      <c r="E17" s="5">
        <f t="shared" si="5"/>
        <v>0</v>
      </c>
      <c r="F17" s="5">
        <f t="shared" si="5"/>
        <v>0</v>
      </c>
      <c r="G17" s="5">
        <f t="shared" si="5"/>
        <v>0</v>
      </c>
    </row>
    <row r="18" spans="1:7" x14ac:dyDescent="0.25">
      <c r="A18" s="1" t="s">
        <v>88</v>
      </c>
      <c r="B18" s="3"/>
      <c r="C18" s="3"/>
      <c r="D18" s="3"/>
      <c r="E18" s="3"/>
      <c r="F18" s="3"/>
      <c r="G18" s="3"/>
    </row>
    <row r="19" spans="1:7" x14ac:dyDescent="0.25">
      <c r="A19" s="1" t="s">
        <v>89</v>
      </c>
      <c r="B19" s="5">
        <f t="shared" ref="B19:G19" si="6">IF(B15=0,0,ROUND(B18/B17,3)*100)</f>
        <v>0</v>
      </c>
      <c r="C19" s="5">
        <f t="shared" si="6"/>
        <v>0</v>
      </c>
      <c r="D19" s="5">
        <f t="shared" si="6"/>
        <v>0</v>
      </c>
      <c r="E19" s="5">
        <f t="shared" si="6"/>
        <v>0</v>
      </c>
      <c r="F19" s="5">
        <f t="shared" si="6"/>
        <v>0</v>
      </c>
      <c r="G19" s="5">
        <f t="shared" si="6"/>
        <v>0</v>
      </c>
    </row>
    <row r="20" spans="1:7" x14ac:dyDescent="0.25">
      <c r="A20" s="1" t="s">
        <v>90</v>
      </c>
      <c r="B20" s="3"/>
      <c r="C20" s="3"/>
      <c r="D20" s="3"/>
      <c r="E20" s="3"/>
      <c r="F20" s="3"/>
      <c r="G20" s="3"/>
    </row>
    <row r="21" spans="1:7" x14ac:dyDescent="0.25">
      <c r="A21" s="1" t="s">
        <v>91</v>
      </c>
      <c r="B21" s="3"/>
      <c r="C21" s="3"/>
      <c r="D21" s="3"/>
      <c r="E21" s="3"/>
      <c r="F21" s="3"/>
      <c r="G21" s="3"/>
    </row>
    <row r="22" spans="1:7" x14ac:dyDescent="0.25">
      <c r="A22" s="1" t="s">
        <v>92</v>
      </c>
      <c r="B22" s="5">
        <f t="shared" ref="B22:G22" si="7">IF(B20=0,0,ROUND((B20*60)/B21,0))</f>
        <v>0</v>
      </c>
      <c r="C22" s="5">
        <f t="shared" si="7"/>
        <v>0</v>
      </c>
      <c r="D22" s="5">
        <f t="shared" si="7"/>
        <v>0</v>
      </c>
      <c r="E22" s="5">
        <f t="shared" si="7"/>
        <v>0</v>
      </c>
      <c r="F22" s="5">
        <f t="shared" si="7"/>
        <v>0</v>
      </c>
      <c r="G22" s="5">
        <f t="shared" si="7"/>
        <v>0</v>
      </c>
    </row>
    <row r="23" spans="1:7" x14ac:dyDescent="0.25">
      <c r="A23" s="1" t="s">
        <v>93</v>
      </c>
      <c r="B23" s="3"/>
      <c r="C23" s="3"/>
      <c r="D23" s="3"/>
      <c r="E23" s="3"/>
      <c r="F23" s="3"/>
      <c r="G23" s="3"/>
    </row>
    <row r="24" spans="1:7" x14ac:dyDescent="0.25">
      <c r="A24" s="1" t="s">
        <v>94</v>
      </c>
      <c r="B24" s="5">
        <f t="shared" ref="B24:G24" si="8">IF(B20=0,0,ROUND(B23/B22,3)*100)</f>
        <v>0</v>
      </c>
      <c r="C24" s="5">
        <f t="shared" si="8"/>
        <v>0</v>
      </c>
      <c r="D24" s="5">
        <f t="shared" si="8"/>
        <v>0</v>
      </c>
      <c r="E24" s="5">
        <f t="shared" si="8"/>
        <v>0</v>
      </c>
      <c r="F24" s="5">
        <f t="shared" si="8"/>
        <v>0</v>
      </c>
      <c r="G24" s="5">
        <f t="shared" si="8"/>
        <v>0</v>
      </c>
    </row>
    <row r="25" spans="1:7" x14ac:dyDescent="0.25">
      <c r="A25" s="1" t="s">
        <v>95</v>
      </c>
      <c r="B25" s="6">
        <f t="shared" ref="B25:G25" si="9">IF(B5+B10+B15+B20=0,0,ROUND((B5*B9+B10*B14+B15*B19+B20*B24)/(B5+B10+B15+B20),1)*(IF((B2*60)-(B3*60)-(B4*10)=B5+B10+B15+B20,1,0)))</f>
        <v>107.2</v>
      </c>
      <c r="C25" s="6">
        <f t="shared" si="9"/>
        <v>90.1</v>
      </c>
      <c r="D25" s="6">
        <f t="shared" si="9"/>
        <v>94.1</v>
      </c>
      <c r="E25" s="6">
        <f t="shared" si="9"/>
        <v>82.6</v>
      </c>
      <c r="F25" s="6">
        <f t="shared" si="9"/>
        <v>93.8</v>
      </c>
      <c r="G25" s="6">
        <f t="shared" si="9"/>
        <v>0</v>
      </c>
    </row>
    <row r="26" spans="1:7" x14ac:dyDescent="0.25">
      <c r="B26" s="8"/>
      <c r="C26" s="8"/>
      <c r="D26" s="8"/>
      <c r="E26" s="8"/>
      <c r="F26" s="8"/>
      <c r="G26" s="9"/>
    </row>
    <row r="27" spans="1:7" x14ac:dyDescent="0.25">
      <c r="A27" t="s">
        <v>96</v>
      </c>
      <c r="B27" s="10">
        <f>IF((B2+C2+D2+E2+F2+G2)=0,0,ROUND((B25*B2+C25*C2+D25*D2+E25*E2+F25*F2+G25*G2)/(B2+C2+D2+E2+F2+G2),1))</f>
        <v>93.6</v>
      </c>
      <c r="C27" s="8"/>
      <c r="D27" s="8"/>
      <c r="E27" s="8"/>
      <c r="F27" s="8"/>
      <c r="G27" s="9"/>
    </row>
    <row r="28" spans="1:7" x14ac:dyDescent="0.25">
      <c r="B28" s="8"/>
      <c r="C28" s="8"/>
      <c r="D28" s="8"/>
      <c r="E28" s="8"/>
      <c r="F28" s="8"/>
      <c r="G28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F1" workbookViewId="0">
      <selection activeCell="Y33" sqref="Y33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F743D5970CDD49BC922CD0800EEC62" ma:contentTypeVersion="12" ma:contentTypeDescription="Create a new document." ma:contentTypeScope="" ma:versionID="a6741c2185ee8e290540b628d54e3bda">
  <xsd:schema xmlns:xsd="http://www.w3.org/2001/XMLSchema" xmlns:xs="http://www.w3.org/2001/XMLSchema" xmlns:p="http://schemas.microsoft.com/office/2006/metadata/properties" xmlns:ns2="b9dd933c-8a50-4388-9501-24cd2e1f3728" xmlns:ns3="57d346fd-fb14-49f3-91bd-9b3d0c09f1b9" targetNamespace="http://schemas.microsoft.com/office/2006/metadata/properties" ma:root="true" ma:fieldsID="256a5531b9f304406da63307fe99947b" ns2:_="" ns3:_="">
    <xsd:import namespace="b9dd933c-8a50-4388-9501-24cd2e1f3728"/>
    <xsd:import namespace="57d346fd-fb14-49f3-91bd-9b3d0c09f1b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dd933c-8a50-4388-9501-24cd2e1f37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a708cad-5c33-4bc2-bb7f-2a05af8a24e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d346fd-fb14-49f3-91bd-9b3d0c09f1b9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98dfcd09-31d6-47b8-affb-e2e76d87f37b}" ma:internalName="TaxCatchAll" ma:showField="CatchAllData" ma:web="57d346fd-fb14-49f3-91bd-9b3d0c09f1b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9dd933c-8a50-4388-9501-24cd2e1f3728">
      <Terms xmlns="http://schemas.microsoft.com/office/infopath/2007/PartnerControls"/>
    </lcf76f155ced4ddcb4097134ff3c332f>
    <TaxCatchAll xmlns="57d346fd-fb14-49f3-91bd-9b3d0c09f1b9" xsi:nil="true"/>
  </documentManagement>
</p:properties>
</file>

<file path=customXml/itemProps1.xml><?xml version="1.0" encoding="utf-8"?>
<ds:datastoreItem xmlns:ds="http://schemas.openxmlformats.org/officeDocument/2006/customXml" ds:itemID="{795B1F18-7E2F-4E53-B56C-EF1B95C3FD0D}"/>
</file>

<file path=customXml/itemProps2.xml><?xml version="1.0" encoding="utf-8"?>
<ds:datastoreItem xmlns:ds="http://schemas.openxmlformats.org/officeDocument/2006/customXml" ds:itemID="{FA491C89-419C-4CB7-B375-CCC294FBA72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D597F50-0AB2-422C-A1D3-4AA38B9233F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berekening</vt:lpstr>
      <vt:lpstr>cape1</vt:lpstr>
      <vt:lpstr>cape2</vt:lpstr>
      <vt:lpstr>cape 5</vt:lpstr>
      <vt:lpstr>grafiek</vt:lpstr>
      <vt:lpstr>pallets</vt:lpstr>
      <vt:lpstr>berekening!Print_Area</vt:lpstr>
    </vt:vector>
  </TitlesOfParts>
  <Manager/>
  <Company>Den Doelder Hout BV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vb</dc:creator>
  <cp:keywords/>
  <dc:description/>
  <cp:lastModifiedBy>shirel snopik</cp:lastModifiedBy>
  <cp:revision/>
  <dcterms:created xsi:type="dcterms:W3CDTF">2004-08-11T07:11:51Z</dcterms:created>
  <dcterms:modified xsi:type="dcterms:W3CDTF">2022-06-13T09:31:01Z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0x01010056F743D5970CDD49BC922CD0800EEC62</vt:lpwstr>
  </property>
</Properties>
</file>