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c_backup\training\助贷威海银行流程\"/>
    </mc:Choice>
  </mc:AlternateContent>
  <xr:revisionPtr revIDLastSave="0" documentId="13_ncr:1_{260640DA-7599-4BE0-B0E4-54D242C230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一个栗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40" i="1" l="1"/>
  <c r="N222" i="1"/>
  <c r="Z222" i="1"/>
  <c r="I4" i="1"/>
  <c r="I6" i="1" s="1"/>
  <c r="I3" i="1"/>
  <c r="I2" i="1"/>
  <c r="E7" i="1" s="1"/>
  <c r="E8" i="1"/>
  <c r="F254" i="1" l="1"/>
  <c r="Z79" i="1"/>
  <c r="Z84" i="1" l="1"/>
  <c r="Z83" i="1"/>
  <c r="AC238" i="1" l="1"/>
  <c r="AD238" i="1" s="1"/>
  <c r="B235" i="1"/>
  <c r="B236" i="1" s="1"/>
  <c r="B237" i="1" s="1"/>
  <c r="F234" i="1"/>
  <c r="G233" i="1"/>
  <c r="D233" i="1"/>
  <c r="D234" i="1" s="1"/>
  <c r="AC220" i="1"/>
  <c r="AD220" i="1" s="1"/>
  <c r="B217" i="1"/>
  <c r="F216" i="1"/>
  <c r="G215" i="1"/>
  <c r="D215" i="1"/>
  <c r="D216" i="1" s="1"/>
  <c r="D217" i="1" s="1"/>
  <c r="D218" i="1" s="1"/>
  <c r="AC187" i="1"/>
  <c r="AD187" i="1" s="1"/>
  <c r="B184" i="1"/>
  <c r="B185" i="1" s="1"/>
  <c r="B186" i="1" s="1"/>
  <c r="B187" i="1" s="1"/>
  <c r="F183" i="1"/>
  <c r="G182" i="1"/>
  <c r="D182" i="1"/>
  <c r="D183" i="1" s="1"/>
  <c r="D184" i="1" s="1"/>
  <c r="D185" i="1" s="1"/>
  <c r="AC173" i="1"/>
  <c r="AD171" i="1"/>
  <c r="AD170" i="1"/>
  <c r="AD169" i="1"/>
  <c r="AD168" i="1"/>
  <c r="AB152" i="1"/>
  <c r="AC152" i="1" s="1"/>
  <c r="AD134" i="1" s="1"/>
  <c r="B149" i="1"/>
  <c r="B150" i="1" s="1"/>
  <c r="B151" i="1" s="1"/>
  <c r="B152" i="1" s="1"/>
  <c r="F148" i="1"/>
  <c r="G147" i="1"/>
  <c r="D147" i="1"/>
  <c r="D148" i="1" s="1"/>
  <c r="D149" i="1" s="1"/>
  <c r="D150" i="1" s="1"/>
  <c r="AC138" i="1"/>
  <c r="Z117" i="1"/>
  <c r="B114" i="1"/>
  <c r="B115" i="1" s="1"/>
  <c r="B116" i="1" s="1"/>
  <c r="B117" i="1" s="1"/>
  <c r="F113" i="1"/>
  <c r="G112" i="1"/>
  <c r="D112" i="1"/>
  <c r="D113" i="1" s="1"/>
  <c r="D114" i="1" s="1"/>
  <c r="D115" i="1" s="1"/>
  <c r="Y79" i="1"/>
  <c r="Y84" i="1"/>
  <c r="Y83" i="1"/>
  <c r="B65" i="1"/>
  <c r="B66" i="1" s="1"/>
  <c r="E64" i="1"/>
  <c r="F63" i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B39" i="1"/>
  <c r="B40" i="1" s="1"/>
  <c r="E38" i="1"/>
  <c r="F37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C15" i="1"/>
  <c r="C16" i="1" s="1"/>
  <c r="E14" i="1"/>
  <c r="F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60" i="1"/>
  <c r="D235" i="1" l="1"/>
  <c r="D236" i="1" s="1"/>
  <c r="E236" i="1" s="1"/>
  <c r="D248" i="1"/>
  <c r="D249" i="1" s="1"/>
  <c r="D250" i="1" s="1"/>
  <c r="D251" i="1" s="1"/>
  <c r="D252" i="1" s="1"/>
  <c r="D253" i="1" s="1"/>
  <c r="D254" i="1" s="1"/>
  <c r="I14" i="1"/>
  <c r="M38" i="1"/>
  <c r="N38" i="1" s="1"/>
  <c r="G152" i="1"/>
  <c r="F14" i="1"/>
  <c r="F38" i="1"/>
  <c r="F65" i="1"/>
  <c r="T234" i="1"/>
  <c r="U234" i="1" s="1"/>
  <c r="I22" i="1"/>
  <c r="I64" i="1"/>
  <c r="J64" i="1" s="1"/>
  <c r="H14" i="1"/>
  <c r="I38" i="1"/>
  <c r="J38" i="1" s="1"/>
  <c r="C17" i="1"/>
  <c r="F16" i="1"/>
  <c r="F39" i="1"/>
  <c r="I21" i="1"/>
  <c r="B41" i="1"/>
  <c r="F40" i="1"/>
  <c r="T217" i="1"/>
  <c r="U217" i="1" s="1"/>
  <c r="M68" i="1"/>
  <c r="I25" i="1"/>
  <c r="M44" i="1"/>
  <c r="T119" i="1"/>
  <c r="T117" i="1"/>
  <c r="M40" i="1"/>
  <c r="I17" i="1"/>
  <c r="I18" i="1"/>
  <c r="T121" i="1"/>
  <c r="I20" i="1"/>
  <c r="M71" i="1"/>
  <c r="M43" i="1"/>
  <c r="F15" i="1"/>
  <c r="E115" i="1"/>
  <c r="D116" i="1"/>
  <c r="D117" i="1" s="1"/>
  <c r="D151" i="1"/>
  <c r="D152" i="1" s="1"/>
  <c r="E150" i="1"/>
  <c r="I19" i="1"/>
  <c r="M48" i="1"/>
  <c r="F64" i="1"/>
  <c r="M69" i="1"/>
  <c r="M75" i="1"/>
  <c r="G114" i="1"/>
  <c r="E185" i="1"/>
  <c r="D186" i="1"/>
  <c r="D187" i="1" s="1"/>
  <c r="B188" i="1"/>
  <c r="G187" i="1"/>
  <c r="G116" i="1"/>
  <c r="L113" i="1"/>
  <c r="M113" i="1" s="1"/>
  <c r="T227" i="1"/>
  <c r="T240" i="1"/>
  <c r="T239" i="1"/>
  <c r="U239" i="1" s="1"/>
  <c r="G235" i="1"/>
  <c r="E249" i="1" s="1"/>
  <c r="T218" i="1"/>
  <c r="U218" i="1" s="1"/>
  <c r="T193" i="1"/>
  <c r="T241" i="1"/>
  <c r="T194" i="1"/>
  <c r="T184" i="1"/>
  <c r="U184" i="1" s="1"/>
  <c r="T155" i="1"/>
  <c r="T242" i="1"/>
  <c r="T238" i="1"/>
  <c r="U238" i="1" s="1"/>
  <c r="T237" i="1"/>
  <c r="U237" i="1" s="1"/>
  <c r="G234" i="1"/>
  <c r="E248" i="1" s="1"/>
  <c r="T222" i="1"/>
  <c r="T221" i="1"/>
  <c r="U221" i="1" s="1"/>
  <c r="T156" i="1"/>
  <c r="T152" i="1"/>
  <c r="T151" i="1"/>
  <c r="U151" i="1" s="1"/>
  <c r="G148" i="1"/>
  <c r="T243" i="1"/>
  <c r="T235" i="1"/>
  <c r="U235" i="1" s="1"/>
  <c r="T223" i="1"/>
  <c r="T183" i="1"/>
  <c r="U183" i="1" s="1"/>
  <c r="T157" i="1"/>
  <c r="T153" i="1"/>
  <c r="T244" i="1"/>
  <c r="T224" i="1"/>
  <c r="T220" i="1"/>
  <c r="U220" i="1" s="1"/>
  <c r="T219" i="1"/>
  <c r="U219" i="1" s="1"/>
  <c r="G216" i="1"/>
  <c r="T189" i="1"/>
  <c r="T185" i="1"/>
  <c r="U185" i="1" s="1"/>
  <c r="T158" i="1"/>
  <c r="T245" i="1"/>
  <c r="T236" i="1"/>
  <c r="U236" i="1" s="1"/>
  <c r="G150" i="1"/>
  <c r="T122" i="1"/>
  <c r="T114" i="1"/>
  <c r="U114" i="1" s="1"/>
  <c r="M74" i="1"/>
  <c r="M65" i="1"/>
  <c r="N65" i="1" s="1"/>
  <c r="G236" i="1"/>
  <c r="T187" i="1"/>
  <c r="U187" i="1" s="1"/>
  <c r="T186" i="1"/>
  <c r="U186" i="1" s="1"/>
  <c r="T192" i="1"/>
  <c r="T188" i="1"/>
  <c r="T124" i="1"/>
  <c r="T113" i="1"/>
  <c r="U113" i="1" s="1"/>
  <c r="M45" i="1"/>
  <c r="T150" i="1"/>
  <c r="U150" i="1" s="1"/>
  <c r="T115" i="1"/>
  <c r="U115" i="1" s="1"/>
  <c r="M66" i="1"/>
  <c r="N66" i="1" s="1"/>
  <c r="T68" i="1" s="1"/>
  <c r="M64" i="1"/>
  <c r="N64" i="1" s="1"/>
  <c r="M46" i="1"/>
  <c r="T216" i="1"/>
  <c r="U216" i="1" s="1"/>
  <c r="T191" i="1"/>
  <c r="T149" i="1"/>
  <c r="U149" i="1" s="1"/>
  <c r="T148" i="1"/>
  <c r="U148" i="1" s="1"/>
  <c r="T118" i="1"/>
  <c r="M70" i="1"/>
  <c r="M47" i="1"/>
  <c r="T226" i="1"/>
  <c r="T154" i="1"/>
  <c r="T225" i="1"/>
  <c r="T190" i="1"/>
  <c r="G183" i="1"/>
  <c r="T120" i="1"/>
  <c r="M72" i="1"/>
  <c r="M67" i="1"/>
  <c r="N67" i="1" s="1"/>
  <c r="M49" i="1"/>
  <c r="M41" i="1"/>
  <c r="I16" i="1"/>
  <c r="I24" i="1"/>
  <c r="E28" i="1"/>
  <c r="M42" i="1"/>
  <c r="M73" i="1"/>
  <c r="G113" i="1"/>
  <c r="G115" i="1"/>
  <c r="G151" i="1"/>
  <c r="F66" i="1"/>
  <c r="B67" i="1"/>
  <c r="I15" i="1"/>
  <c r="I23" i="1"/>
  <c r="E34" i="1"/>
  <c r="M39" i="1"/>
  <c r="N39" i="1" s="1"/>
  <c r="T116" i="1"/>
  <c r="U116" i="1" s="1"/>
  <c r="T123" i="1"/>
  <c r="G149" i="1"/>
  <c r="T159" i="1"/>
  <c r="G184" i="1"/>
  <c r="B118" i="1"/>
  <c r="G117" i="1"/>
  <c r="K234" i="1"/>
  <c r="L234" i="1" s="1"/>
  <c r="L183" i="1"/>
  <c r="M183" i="1" s="1"/>
  <c r="L148" i="1"/>
  <c r="M148" i="1" s="1"/>
  <c r="E218" i="1"/>
  <c r="D219" i="1"/>
  <c r="D220" i="1" s="1"/>
  <c r="K216" i="1"/>
  <c r="L216" i="1" s="1"/>
  <c r="G185" i="1"/>
  <c r="G237" i="1"/>
  <c r="E251" i="1" s="1"/>
  <c r="B238" i="1"/>
  <c r="B153" i="1"/>
  <c r="G186" i="1"/>
  <c r="G217" i="1"/>
  <c r="B218" i="1"/>
  <c r="U188" i="1" l="1"/>
  <c r="AE171" i="1" s="1"/>
  <c r="D237" i="1"/>
  <c r="D238" i="1" s="1"/>
  <c r="E238" i="1" s="1"/>
  <c r="U152" i="1"/>
  <c r="AD136" i="1" s="1"/>
  <c r="V222" i="1"/>
  <c r="AK222" i="1" s="1"/>
  <c r="H113" i="1"/>
  <c r="I113" i="1" s="1"/>
  <c r="G14" i="1"/>
  <c r="E15" i="1" s="1"/>
  <c r="H15" i="1" s="1"/>
  <c r="G15" i="1" s="1"/>
  <c r="G38" i="1"/>
  <c r="F41" i="1"/>
  <c r="B42" i="1"/>
  <c r="H148" i="1"/>
  <c r="G64" i="1"/>
  <c r="E220" i="1"/>
  <c r="D221" i="1"/>
  <c r="B119" i="1"/>
  <c r="G118" i="1"/>
  <c r="B68" i="1"/>
  <c r="F67" i="1"/>
  <c r="H183" i="1"/>
  <c r="B219" i="1"/>
  <c r="G218" i="1"/>
  <c r="AK240" i="1"/>
  <c r="B189" i="1"/>
  <c r="G188" i="1"/>
  <c r="G153" i="1"/>
  <c r="B154" i="1"/>
  <c r="B239" i="1"/>
  <c r="B253" i="1" s="1"/>
  <c r="G238" i="1"/>
  <c r="E187" i="1"/>
  <c r="D188" i="1"/>
  <c r="E117" i="1"/>
  <c r="D118" i="1"/>
  <c r="D119" i="1" s="1"/>
  <c r="D120" i="1" s="1"/>
  <c r="D121" i="1" s="1"/>
  <c r="D122" i="1" s="1"/>
  <c r="D123" i="1" s="1"/>
  <c r="D124" i="1" s="1"/>
  <c r="H216" i="1"/>
  <c r="H234" i="1"/>
  <c r="E152" i="1"/>
  <c r="D153" i="1"/>
  <c r="C18" i="1"/>
  <c r="F17" i="1"/>
  <c r="D239" i="1" l="1"/>
  <c r="F114" i="1"/>
  <c r="L114" i="1" s="1"/>
  <c r="B254" i="1"/>
  <c r="H38" i="1"/>
  <c r="E39" i="1"/>
  <c r="I39" i="1" s="1"/>
  <c r="J39" i="1" s="1"/>
  <c r="F184" i="1"/>
  <c r="I183" i="1"/>
  <c r="E221" i="1"/>
  <c r="D222" i="1"/>
  <c r="I234" i="1"/>
  <c r="F248" i="1" s="1"/>
  <c r="G248" i="1" s="1"/>
  <c r="F235" i="1"/>
  <c r="I216" i="1"/>
  <c r="F217" i="1"/>
  <c r="E239" i="1"/>
  <c r="D240" i="1"/>
  <c r="G154" i="1"/>
  <c r="B155" i="1"/>
  <c r="I148" i="1"/>
  <c r="F149" i="1"/>
  <c r="J34" i="1"/>
  <c r="J30" i="1"/>
  <c r="J33" i="1"/>
  <c r="O33" i="1"/>
  <c r="O32" i="1"/>
  <c r="J32" i="1"/>
  <c r="O31" i="1"/>
  <c r="O34" i="1"/>
  <c r="J31" i="1"/>
  <c r="O30" i="1"/>
  <c r="C19" i="1"/>
  <c r="F18" i="1"/>
  <c r="H64" i="1"/>
  <c r="E65" i="1"/>
  <c r="G239" i="1"/>
  <c r="B240" i="1"/>
  <c r="B190" i="1"/>
  <c r="G189" i="1"/>
  <c r="F68" i="1"/>
  <c r="B69" i="1"/>
  <c r="E153" i="1"/>
  <c r="D154" i="1"/>
  <c r="D155" i="1" s="1"/>
  <c r="D156" i="1" s="1"/>
  <c r="D157" i="1" s="1"/>
  <c r="D158" i="1" s="1"/>
  <c r="D159" i="1" s="1"/>
  <c r="E16" i="1"/>
  <c r="D189" i="1"/>
  <c r="D190" i="1" s="1"/>
  <c r="D191" i="1" s="1"/>
  <c r="D192" i="1" s="1"/>
  <c r="D193" i="1" s="1"/>
  <c r="D194" i="1" s="1"/>
  <c r="E188" i="1"/>
  <c r="G219" i="1"/>
  <c r="B220" i="1"/>
  <c r="G119" i="1"/>
  <c r="B120" i="1"/>
  <c r="F42" i="1"/>
  <c r="B43" i="1"/>
  <c r="G39" i="1" l="1"/>
  <c r="H39" i="1" s="1"/>
  <c r="B121" i="1"/>
  <c r="G120" i="1"/>
  <c r="B241" i="1"/>
  <c r="G240" i="1"/>
  <c r="C20" i="1"/>
  <c r="F19" i="1"/>
  <c r="E240" i="1"/>
  <c r="D241" i="1"/>
  <c r="D242" i="1" s="1"/>
  <c r="D243" i="1" s="1"/>
  <c r="D244" i="1" s="1"/>
  <c r="D245" i="1" s="1"/>
  <c r="D223" i="1"/>
  <c r="D224" i="1" s="1"/>
  <c r="D225" i="1" s="1"/>
  <c r="D226" i="1" s="1"/>
  <c r="D227" i="1" s="1"/>
  <c r="E222" i="1"/>
  <c r="G190" i="1"/>
  <c r="B191" i="1"/>
  <c r="K217" i="1"/>
  <c r="M114" i="1"/>
  <c r="H114" i="1"/>
  <c r="L149" i="1"/>
  <c r="L184" i="1"/>
  <c r="H16" i="1"/>
  <c r="G16" i="1" s="1"/>
  <c r="E17" i="1" s="1"/>
  <c r="B221" i="1"/>
  <c r="G220" i="1"/>
  <c r="F69" i="1"/>
  <c r="B70" i="1"/>
  <c r="F43" i="1"/>
  <c r="B44" i="1"/>
  <c r="I65" i="1"/>
  <c r="K235" i="1"/>
  <c r="B156" i="1"/>
  <c r="G155" i="1"/>
  <c r="E40" i="1" l="1"/>
  <c r="I40" i="1" s="1"/>
  <c r="G40" i="1" s="1"/>
  <c r="J54" i="1" s="1"/>
  <c r="L217" i="1"/>
  <c r="H217" i="1"/>
  <c r="G121" i="1"/>
  <c r="B122" i="1"/>
  <c r="B242" i="1"/>
  <c r="G241" i="1"/>
  <c r="B71" i="1"/>
  <c r="F70" i="1"/>
  <c r="G191" i="1"/>
  <c r="B192" i="1"/>
  <c r="F20" i="1"/>
  <c r="C21" i="1"/>
  <c r="H17" i="1"/>
  <c r="G17" i="1" s="1"/>
  <c r="E18" i="1" s="1"/>
  <c r="L235" i="1"/>
  <c r="H235" i="1"/>
  <c r="J65" i="1"/>
  <c r="G65" i="1"/>
  <c r="I114" i="1"/>
  <c r="F115" i="1"/>
  <c r="M184" i="1"/>
  <c r="H184" i="1"/>
  <c r="B157" i="1"/>
  <c r="G156" i="1"/>
  <c r="F44" i="1"/>
  <c r="B45" i="1"/>
  <c r="G221" i="1"/>
  <c r="B222" i="1"/>
  <c r="M149" i="1"/>
  <c r="H149" i="1"/>
  <c r="H18" i="1" l="1"/>
  <c r="G18" i="1" s="1"/>
  <c r="E19" i="1" s="1"/>
  <c r="I235" i="1"/>
  <c r="F249" i="1" s="1"/>
  <c r="G249" i="1" s="1"/>
  <c r="F236" i="1"/>
  <c r="I217" i="1"/>
  <c r="F218" i="1"/>
  <c r="B158" i="1"/>
  <c r="G157" i="1"/>
  <c r="I184" i="1"/>
  <c r="F185" i="1"/>
  <c r="F45" i="1"/>
  <c r="B46" i="1"/>
  <c r="L115" i="1"/>
  <c r="F71" i="1"/>
  <c r="B72" i="1"/>
  <c r="B223" i="1"/>
  <c r="G222" i="1"/>
  <c r="G122" i="1"/>
  <c r="B123" i="1"/>
  <c r="O58" i="1"/>
  <c r="J58" i="1"/>
  <c r="O54" i="1"/>
  <c r="O57" i="1"/>
  <c r="O56" i="1"/>
  <c r="J59" i="1"/>
  <c r="O59" i="1"/>
  <c r="J57" i="1"/>
  <c r="J56" i="1"/>
  <c r="O55" i="1"/>
  <c r="J55" i="1"/>
  <c r="F21" i="1"/>
  <c r="C22" i="1"/>
  <c r="E41" i="1"/>
  <c r="H65" i="1"/>
  <c r="E66" i="1"/>
  <c r="I149" i="1"/>
  <c r="F150" i="1"/>
  <c r="G192" i="1"/>
  <c r="B193" i="1"/>
  <c r="B243" i="1"/>
  <c r="G242" i="1"/>
  <c r="K54" i="1" l="1"/>
  <c r="P54" i="1"/>
  <c r="H19" i="1"/>
  <c r="G19" i="1" s="1"/>
  <c r="E20" i="1" s="1"/>
  <c r="I66" i="1"/>
  <c r="L185" i="1"/>
  <c r="B73" i="1"/>
  <c r="F72" i="1"/>
  <c r="B244" i="1"/>
  <c r="G243" i="1"/>
  <c r="G193" i="1"/>
  <c r="B194" i="1"/>
  <c r="M115" i="1"/>
  <c r="H115" i="1"/>
  <c r="B159" i="1"/>
  <c r="G158" i="1"/>
  <c r="F22" i="1"/>
  <c r="C23" i="1"/>
  <c r="B47" i="1"/>
  <c r="F46" i="1"/>
  <c r="K218" i="1"/>
  <c r="I41" i="1"/>
  <c r="G41" i="1" s="1"/>
  <c r="E42" i="1" s="1"/>
  <c r="B124" i="1"/>
  <c r="G123" i="1"/>
  <c r="L150" i="1"/>
  <c r="B224" i="1"/>
  <c r="G223" i="1"/>
  <c r="K236" i="1"/>
  <c r="I42" i="1" l="1"/>
  <c r="G42" i="1" s="1"/>
  <c r="E43" i="1" s="1"/>
  <c r="B48" i="1"/>
  <c r="F47" i="1"/>
  <c r="G124" i="1"/>
  <c r="F23" i="1"/>
  <c r="C24" i="1"/>
  <c r="M185" i="1"/>
  <c r="H185" i="1"/>
  <c r="K66" i="1"/>
  <c r="O115" i="1"/>
  <c r="P115" i="1" s="1"/>
  <c r="G194" i="1"/>
  <c r="G224" i="1"/>
  <c r="B225" i="1"/>
  <c r="J66" i="1"/>
  <c r="T65" i="1" s="1"/>
  <c r="G66" i="1"/>
  <c r="F73" i="1"/>
  <c r="B74" i="1"/>
  <c r="L218" i="1"/>
  <c r="H218" i="1"/>
  <c r="M150" i="1"/>
  <c r="H150" i="1"/>
  <c r="G159" i="1"/>
  <c r="H20" i="1"/>
  <c r="G20" i="1" s="1"/>
  <c r="E21" i="1" s="1"/>
  <c r="L236" i="1"/>
  <c r="H236" i="1"/>
  <c r="O66" i="1"/>
  <c r="V115" i="1"/>
  <c r="W115" i="1" s="1"/>
  <c r="I115" i="1"/>
  <c r="F116" i="1"/>
  <c r="G244" i="1"/>
  <c r="B245" i="1"/>
  <c r="E59" i="1" l="1"/>
  <c r="S69" i="1" s="1"/>
  <c r="T59" i="1"/>
  <c r="H21" i="1"/>
  <c r="G21" i="1" s="1"/>
  <c r="E22" i="1" s="1"/>
  <c r="I43" i="1"/>
  <c r="G43" i="1" s="1"/>
  <c r="E44" i="1" s="1"/>
  <c r="C25" i="1"/>
  <c r="F24" i="1"/>
  <c r="F74" i="1"/>
  <c r="B75" i="1"/>
  <c r="H66" i="1"/>
  <c r="T66" i="1" s="1"/>
  <c r="E67" i="1"/>
  <c r="O236" i="1"/>
  <c r="O218" i="1"/>
  <c r="P218" i="1" s="1"/>
  <c r="L66" i="1"/>
  <c r="T64" i="1" s="1"/>
  <c r="O185" i="1"/>
  <c r="P185" i="1" s="1"/>
  <c r="O150" i="1"/>
  <c r="P150" i="1" s="1"/>
  <c r="G245" i="1"/>
  <c r="L116" i="1"/>
  <c r="I150" i="1"/>
  <c r="F151" i="1"/>
  <c r="W185" i="1"/>
  <c r="X185" i="1" s="1"/>
  <c r="W236" i="1"/>
  <c r="X236" i="1" s="1"/>
  <c r="P66" i="1"/>
  <c r="T67" i="1" s="1"/>
  <c r="W218" i="1"/>
  <c r="X218" i="1" s="1"/>
  <c r="W150" i="1"/>
  <c r="X150" i="1" s="1"/>
  <c r="I185" i="1"/>
  <c r="F186" i="1"/>
  <c r="I236" i="1"/>
  <c r="F237" i="1"/>
  <c r="I218" i="1"/>
  <c r="F219" i="1"/>
  <c r="G225" i="1"/>
  <c r="B226" i="1"/>
  <c r="B49" i="1"/>
  <c r="F48" i="1"/>
  <c r="P236" i="1" l="1"/>
  <c r="F250" i="1" s="1"/>
  <c r="E250" i="1"/>
  <c r="T69" i="1"/>
  <c r="I44" i="1"/>
  <c r="G44" i="1" s="1"/>
  <c r="E45" i="1" s="1"/>
  <c r="H22" i="1"/>
  <c r="G22" i="1" s="1"/>
  <c r="E23" i="1" s="1"/>
  <c r="F75" i="1"/>
  <c r="L151" i="1"/>
  <c r="F49" i="1"/>
  <c r="M116" i="1"/>
  <c r="H116" i="1"/>
  <c r="K237" i="1"/>
  <c r="L186" i="1"/>
  <c r="G226" i="1"/>
  <c r="B227" i="1"/>
  <c r="F25" i="1"/>
  <c r="E9" i="1" s="1"/>
  <c r="I67" i="1"/>
  <c r="K219" i="1"/>
  <c r="G250" i="1" l="1"/>
  <c r="H23" i="1"/>
  <c r="G23" i="1" s="1"/>
  <c r="E24" i="1" s="1"/>
  <c r="L219" i="1"/>
  <c r="H219" i="1"/>
  <c r="M151" i="1"/>
  <c r="H151" i="1"/>
  <c r="J67" i="1"/>
  <c r="G67" i="1"/>
  <c r="I45" i="1"/>
  <c r="G45" i="1" s="1"/>
  <c r="E46" i="1" s="1"/>
  <c r="M186" i="1"/>
  <c r="H186" i="1"/>
  <c r="L237" i="1"/>
  <c r="H237" i="1"/>
  <c r="I116" i="1"/>
  <c r="F117" i="1"/>
  <c r="G227" i="1"/>
  <c r="I237" i="1" l="1"/>
  <c r="F251" i="1" s="1"/>
  <c r="G251" i="1" s="1"/>
  <c r="F238" i="1"/>
  <c r="I186" i="1"/>
  <c r="F187" i="1"/>
  <c r="L117" i="1"/>
  <c r="I151" i="1"/>
  <c r="F152" i="1"/>
  <c r="I219" i="1"/>
  <c r="F220" i="1"/>
  <c r="H24" i="1"/>
  <c r="G24" i="1" s="1"/>
  <c r="E25" i="1" s="1"/>
  <c r="H25" i="1" s="1"/>
  <c r="G25" i="1" s="1"/>
  <c r="I46" i="1"/>
  <c r="G46" i="1" s="1"/>
  <c r="E47" i="1" s="1"/>
  <c r="H67" i="1"/>
  <c r="E68" i="1"/>
  <c r="I47" i="1" l="1"/>
  <c r="G47" i="1" s="1"/>
  <c r="E48" i="1" s="1"/>
  <c r="M117" i="1"/>
  <c r="Y81" i="1" s="1"/>
  <c r="H117" i="1"/>
  <c r="L187" i="1"/>
  <c r="K220" i="1"/>
  <c r="K238" i="1"/>
  <c r="H238" i="1" s="1"/>
  <c r="I68" i="1"/>
  <c r="G68" i="1" s="1"/>
  <c r="E69" i="1" s="1"/>
  <c r="L152" i="1"/>
  <c r="J80" i="1" l="1"/>
  <c r="I69" i="1"/>
  <c r="G69" i="1" s="1"/>
  <c r="E70" i="1" s="1"/>
  <c r="M187" i="1"/>
  <c r="H187" i="1"/>
  <c r="M152" i="1"/>
  <c r="H152" i="1"/>
  <c r="O81" i="1"/>
  <c r="J81" i="1"/>
  <c r="O80" i="1"/>
  <c r="F118" i="1"/>
  <c r="L238" i="1"/>
  <c r="L220" i="1"/>
  <c r="H220" i="1"/>
  <c r="I48" i="1"/>
  <c r="G48" i="1" s="1"/>
  <c r="E49" i="1" s="1"/>
  <c r="I49" i="1" s="1"/>
  <c r="G49" i="1" s="1"/>
  <c r="F239" i="1"/>
  <c r="I70" i="1" l="1"/>
  <c r="G70" i="1" s="1"/>
  <c r="E71" i="1" s="1"/>
  <c r="F188" i="1"/>
  <c r="F221" i="1"/>
  <c r="L118" i="1"/>
  <c r="H118" i="1" s="1"/>
  <c r="K239" i="1"/>
  <c r="F153" i="1"/>
  <c r="I71" i="1" l="1"/>
  <c r="G71" i="1" s="1"/>
  <c r="E72" i="1" s="1"/>
  <c r="O138" i="1"/>
  <c r="O136" i="1"/>
  <c r="O134" i="1"/>
  <c r="O132" i="1"/>
  <c r="O131" i="1"/>
  <c r="O133" i="1"/>
  <c r="O137" i="1"/>
  <c r="O135" i="1"/>
  <c r="O130" i="1"/>
  <c r="F119" i="1"/>
  <c r="K221" i="1"/>
  <c r="L188" i="1"/>
  <c r="N239" i="1"/>
  <c r="AC239" i="1" s="1"/>
  <c r="AD239" i="1" s="1"/>
  <c r="H239" i="1"/>
  <c r="L153" i="1"/>
  <c r="I72" i="1" l="1"/>
  <c r="G72" i="1" s="1"/>
  <c r="E73" i="1" s="1"/>
  <c r="L119" i="1"/>
  <c r="H119" i="1" s="1"/>
  <c r="F120" i="1" s="1"/>
  <c r="N221" i="1"/>
  <c r="AC221" i="1" s="1"/>
  <c r="AD221" i="1" s="1"/>
  <c r="H221" i="1"/>
  <c r="N153" i="1"/>
  <c r="AB153" i="1" s="1"/>
  <c r="H153" i="1"/>
  <c r="J239" i="1"/>
  <c r="Z239" i="1" s="1"/>
  <c r="F240" i="1"/>
  <c r="N188" i="1"/>
  <c r="AC188" i="1" s="1"/>
  <c r="AD188" i="1" s="1"/>
  <c r="AE169" i="1" s="1"/>
  <c r="H188" i="1"/>
  <c r="L120" i="1" l="1"/>
  <c r="H120" i="1" s="1"/>
  <c r="F121" i="1" s="1"/>
  <c r="I73" i="1"/>
  <c r="G73" i="1" s="1"/>
  <c r="E74" i="1" s="1"/>
  <c r="K240" i="1"/>
  <c r="J240" i="1"/>
  <c r="Z240" i="1" s="1"/>
  <c r="J137" i="1"/>
  <c r="J135" i="1"/>
  <c r="J133" i="1"/>
  <c r="J130" i="1"/>
  <c r="J138" i="1"/>
  <c r="J136" i="1"/>
  <c r="J134" i="1"/>
  <c r="J132" i="1"/>
  <c r="K153" i="1"/>
  <c r="J131" i="1"/>
  <c r="O129" i="1"/>
  <c r="P129" i="1" s="1"/>
  <c r="J129" i="1"/>
  <c r="F154" i="1"/>
  <c r="J221" i="1"/>
  <c r="Z221" i="1" s="1"/>
  <c r="F222" i="1"/>
  <c r="K188" i="1"/>
  <c r="Z188" i="1" s="1"/>
  <c r="F189" i="1"/>
  <c r="H240" i="1" l="1"/>
  <c r="F241" i="1" s="1"/>
  <c r="K241" i="1" s="1"/>
  <c r="H241" i="1" s="1"/>
  <c r="F242" i="1" s="1"/>
  <c r="M240" i="1"/>
  <c r="K129" i="1"/>
  <c r="O221" i="1" s="1"/>
  <c r="S221" i="1" s="1"/>
  <c r="AE221" i="1" s="1"/>
  <c r="AF221" i="1" s="1"/>
  <c r="I74" i="1"/>
  <c r="G74" i="1" s="1"/>
  <c r="E75" i="1" s="1"/>
  <c r="I75" i="1" s="1"/>
  <c r="G75" i="1" s="1"/>
  <c r="L121" i="1"/>
  <c r="H121" i="1" s="1"/>
  <c r="F122" i="1" s="1"/>
  <c r="W221" i="1"/>
  <c r="X221" i="1" s="1"/>
  <c r="W153" i="1"/>
  <c r="W188" i="1"/>
  <c r="W239" i="1"/>
  <c r="X239" i="1" s="1"/>
  <c r="Z153" i="1"/>
  <c r="Y139" i="1" s="1"/>
  <c r="L189" i="1"/>
  <c r="H189" i="1" s="1"/>
  <c r="N240" i="1"/>
  <c r="J222" i="1"/>
  <c r="K222" i="1"/>
  <c r="L154" i="1"/>
  <c r="H154" i="1" s="1"/>
  <c r="F155" i="1" s="1"/>
  <c r="X188" i="1" l="1"/>
  <c r="AE170" i="1" s="1"/>
  <c r="AC240" i="1"/>
  <c r="H222" i="1"/>
  <c r="F223" i="1" s="1"/>
  <c r="K223" i="1" s="1"/>
  <c r="H223" i="1" s="1"/>
  <c r="F224" i="1" s="1"/>
  <c r="M222" i="1"/>
  <c r="AC222" i="1" s="1"/>
  <c r="O239" i="1"/>
  <c r="O153" i="1"/>
  <c r="S153" i="1" s="1"/>
  <c r="O188" i="1"/>
  <c r="S188" i="1" s="1"/>
  <c r="AE188" i="1" s="1"/>
  <c r="AF188" i="1" s="1"/>
  <c r="AE168" i="1" s="1"/>
  <c r="Q220" i="1"/>
  <c r="S220" i="1" s="1"/>
  <c r="AE220" i="1" s="1"/>
  <c r="AF220" i="1" s="1"/>
  <c r="Q238" i="1"/>
  <c r="S238" i="1" s="1"/>
  <c r="AE238" i="1" s="1"/>
  <c r="AF238" i="1" s="1"/>
  <c r="L155" i="1"/>
  <c r="H155" i="1" s="1"/>
  <c r="F156" i="1" s="1"/>
  <c r="K242" i="1"/>
  <c r="H242" i="1" s="1"/>
  <c r="F243" i="1" s="1"/>
  <c r="J201" i="1"/>
  <c r="J197" i="1"/>
  <c r="O198" i="1"/>
  <c r="O178" i="1"/>
  <c r="J176" i="1"/>
  <c r="J198" i="1"/>
  <c r="J178" i="1"/>
  <c r="O200" i="1"/>
  <c r="J200" i="1"/>
  <c r="O177" i="1"/>
  <c r="O175" i="1"/>
  <c r="O199" i="1"/>
  <c r="J199" i="1"/>
  <c r="J175" i="1"/>
  <c r="O197" i="1"/>
  <c r="O179" i="1"/>
  <c r="J179" i="1"/>
  <c r="O201" i="1"/>
  <c r="J177" i="1"/>
  <c r="O176" i="1"/>
  <c r="Y171" i="1"/>
  <c r="Y169" i="1"/>
  <c r="Y167" i="1"/>
  <c r="Y143" i="1"/>
  <c r="Y163" i="1"/>
  <c r="Y140" i="1"/>
  <c r="Y166" i="1"/>
  <c r="Y141" i="1"/>
  <c r="Y170" i="1"/>
  <c r="Y144" i="1"/>
  <c r="Y165" i="1"/>
  <c r="Y168" i="1"/>
  <c r="Y164" i="1"/>
  <c r="Y172" i="1"/>
  <c r="Y142" i="1"/>
  <c r="F190" i="1"/>
  <c r="L122" i="1"/>
  <c r="H122" i="1" s="1"/>
  <c r="F123" i="1" s="1"/>
  <c r="S239" i="1" l="1"/>
  <c r="AE239" i="1" s="1"/>
  <c r="AF239" i="1" s="1"/>
  <c r="E138" i="1"/>
  <c r="AD153" i="1"/>
  <c r="Z163" i="1"/>
  <c r="K197" i="1"/>
  <c r="O222" i="1" s="1"/>
  <c r="S222" i="1" s="1"/>
  <c r="L123" i="1"/>
  <c r="H123" i="1" s="1"/>
  <c r="F124" i="1" s="1"/>
  <c r="L124" i="1" s="1"/>
  <c r="H124" i="1" s="1"/>
  <c r="K224" i="1"/>
  <c r="H224" i="1" s="1"/>
  <c r="F225" i="1" s="1"/>
  <c r="K243" i="1"/>
  <c r="H243" i="1" s="1"/>
  <c r="F244" i="1" s="1"/>
  <c r="L190" i="1"/>
  <c r="H190" i="1" s="1"/>
  <c r="F191" i="1" s="1"/>
  <c r="P197" i="1"/>
  <c r="L156" i="1"/>
  <c r="H156" i="1" s="1"/>
  <c r="F157" i="1" s="1"/>
  <c r="O240" i="1" l="1"/>
  <c r="S240" i="1" s="1"/>
  <c r="AE240" i="1" s="1"/>
  <c r="L191" i="1"/>
  <c r="H191" i="1" s="1"/>
  <c r="F192" i="1" s="1"/>
  <c r="K244" i="1"/>
  <c r="H244" i="1" s="1"/>
  <c r="F245" i="1" s="1"/>
  <c r="K245" i="1" s="1"/>
  <c r="H245" i="1" s="1"/>
  <c r="K225" i="1"/>
  <c r="H225" i="1" s="1"/>
  <c r="F226" i="1" s="1"/>
  <c r="AE222" i="1"/>
  <c r="AG221" i="1"/>
  <c r="AH221" i="1" s="1"/>
  <c r="AG188" i="1"/>
  <c r="AH188" i="1" s="1"/>
  <c r="AE167" i="1" s="1"/>
  <c r="AG239" i="1"/>
  <c r="L157" i="1"/>
  <c r="H157" i="1" s="1"/>
  <c r="F158" i="1" s="1"/>
  <c r="W222" i="1"/>
  <c r="Y222" i="1" s="1"/>
  <c r="E201" i="1" s="1"/>
  <c r="W240" i="1"/>
  <c r="Y240" i="1" s="1"/>
  <c r="AH239" i="1" l="1"/>
  <c r="AM240" i="1"/>
  <c r="E254" i="1" s="1"/>
  <c r="G254" i="1" s="1"/>
  <c r="K226" i="1"/>
  <c r="H226" i="1" s="1"/>
  <c r="F227" i="1" s="1"/>
  <c r="K227" i="1" s="1"/>
  <c r="H227" i="1" s="1"/>
  <c r="L158" i="1"/>
  <c r="H158" i="1" s="1"/>
  <c r="F159" i="1" s="1"/>
  <c r="L159" i="1" s="1"/>
  <c r="H159" i="1" s="1"/>
  <c r="L192" i="1"/>
  <c r="H192" i="1" s="1"/>
  <c r="F193" i="1" s="1"/>
  <c r="AM222" i="1"/>
  <c r="L193" i="1" l="1"/>
  <c r="H193" i="1" s="1"/>
  <c r="F194" i="1" s="1"/>
  <c r="L194" i="1" s="1"/>
  <c r="H194" i="1" s="1"/>
  <c r="Y82" i="1" l="1"/>
  <c r="I152" i="1" l="1"/>
  <c r="I187" i="1"/>
  <c r="I220" i="1"/>
  <c r="J220" i="1" s="1"/>
  <c r="Z220" i="1" s="1"/>
  <c r="I238" i="1"/>
  <c r="I117" i="1"/>
  <c r="Y85" i="1"/>
  <c r="J238" i="1" l="1"/>
  <c r="Z238" i="1" s="1"/>
  <c r="J83" i="1"/>
  <c r="O83" i="1"/>
  <c r="O86" i="1"/>
  <c r="J82" i="1"/>
  <c r="O82" i="1"/>
  <c r="J85" i="1"/>
  <c r="O85" i="1"/>
  <c r="J86" i="1"/>
  <c r="J84" i="1"/>
  <c r="O84" i="1"/>
  <c r="K80" i="1" l="1"/>
  <c r="O117" i="1" s="1"/>
  <c r="O220" i="1" l="1"/>
  <c r="P220" i="1" s="1"/>
  <c r="O187" i="1"/>
  <c r="P187" i="1" s="1"/>
  <c r="O152" i="1"/>
  <c r="P152" i="1" s="1"/>
  <c r="O238" i="1"/>
  <c r="P117" i="1"/>
  <c r="Z80" i="1" s="1"/>
  <c r="Z82" i="1" s="1"/>
  <c r="P238" i="1" l="1"/>
  <c r="J187" i="1"/>
  <c r="K187" i="1" s="1"/>
  <c r="Z187" i="1" s="1"/>
  <c r="Z85" i="1"/>
  <c r="J117" i="1"/>
  <c r="J152" i="1"/>
  <c r="K152" i="1" s="1"/>
  <c r="Z152" i="1" s="1"/>
  <c r="J88" i="1" l="1"/>
  <c r="J87" i="1"/>
  <c r="O89" i="1"/>
  <c r="J89" i="1"/>
  <c r="K117" i="1"/>
  <c r="O88" i="1"/>
  <c r="O87" i="1"/>
  <c r="P80" i="1" l="1"/>
  <c r="W220" i="1" s="1"/>
  <c r="X220" i="1" s="1"/>
  <c r="X117" i="1"/>
  <c r="T90" i="1" s="1"/>
  <c r="K87" i="1"/>
  <c r="Q187" i="1" s="1"/>
  <c r="S187" i="1" s="1"/>
  <c r="AE187" i="1" s="1"/>
  <c r="AF187" i="1" s="1"/>
  <c r="V117" i="1" l="1"/>
  <c r="W238" i="1"/>
  <c r="W187" i="1"/>
  <c r="X187" i="1" s="1"/>
  <c r="W152" i="1"/>
  <c r="Q117" i="1"/>
  <c r="S117" i="1" s="1"/>
  <c r="AB117" i="1" s="1"/>
  <c r="Q152" i="1"/>
  <c r="S152" i="1" s="1"/>
  <c r="AD152" i="1" s="1"/>
  <c r="AE152" i="1" s="1"/>
  <c r="AD133" i="1" s="1"/>
  <c r="T130" i="1"/>
  <c r="T103" i="1"/>
  <c r="T101" i="1"/>
  <c r="T107" i="1"/>
  <c r="T129" i="1"/>
  <c r="T98" i="1"/>
  <c r="T133" i="1"/>
  <c r="T105" i="1"/>
  <c r="T132" i="1"/>
  <c r="T96" i="1"/>
  <c r="T100" i="1"/>
  <c r="T93" i="1"/>
  <c r="T92" i="1"/>
  <c r="T99" i="1"/>
  <c r="T109" i="1"/>
  <c r="T104" i="1"/>
  <c r="T108" i="1"/>
  <c r="T128" i="1"/>
  <c r="T106" i="1"/>
  <c r="T134" i="1"/>
  <c r="T94" i="1"/>
  <c r="T95" i="1"/>
  <c r="T131" i="1"/>
  <c r="T97" i="1"/>
  <c r="T91" i="1"/>
  <c r="T102" i="1"/>
  <c r="X238" i="1" l="1"/>
  <c r="Y90" i="1"/>
  <c r="X152" i="1"/>
  <c r="AD135" i="1" s="1"/>
  <c r="E89" i="1"/>
  <c r="U128" i="1"/>
  <c r="AG238" i="1" l="1"/>
  <c r="AG220" i="1"/>
  <c r="AH220" i="1" s="1"/>
  <c r="AG187" i="1"/>
  <c r="AH187" i="1" s="1"/>
  <c r="AF152" i="1"/>
  <c r="AG152" i="1" s="1"/>
  <c r="AD132" i="1" s="1"/>
  <c r="AD137" i="1" s="1"/>
  <c r="AA152" i="1" s="1"/>
  <c r="AH238" i="1" l="1"/>
  <c r="T135" i="1"/>
  <c r="AD141" i="1"/>
  <c r="AD140" i="1"/>
  <c r="AD138" i="1"/>
  <c r="AA187" i="1"/>
  <c r="AB187" i="1" s="1"/>
  <c r="AD172" i="1" s="1"/>
  <c r="AA238" i="1"/>
  <c r="AA220" i="1"/>
  <c r="AB220" i="1" s="1"/>
  <c r="AB238" i="1" l="1"/>
  <c r="T143" i="1"/>
  <c r="T169" i="1"/>
  <c r="T142" i="1"/>
  <c r="T139" i="1"/>
  <c r="T140" i="1"/>
  <c r="T172" i="1"/>
  <c r="T144" i="1"/>
  <c r="T163" i="1"/>
  <c r="T138" i="1"/>
  <c r="T171" i="1"/>
  <c r="T167" i="1"/>
  <c r="T141" i="1"/>
  <c r="T166" i="1"/>
  <c r="T170" i="1"/>
  <c r="T136" i="1"/>
  <c r="T168" i="1"/>
  <c r="T165" i="1"/>
  <c r="T164" i="1"/>
  <c r="T137" i="1"/>
  <c r="AD142" i="1" l="1"/>
  <c r="AD175" i="1" s="1"/>
  <c r="U163" i="1"/>
  <c r="AI187" i="1" s="1"/>
  <c r="AI220" i="1" l="1"/>
  <c r="AJ220" i="1" s="1"/>
  <c r="AI238" i="1"/>
  <c r="AJ187" i="1"/>
  <c r="AD167" i="1" s="1"/>
  <c r="AD173" i="1" s="1"/>
  <c r="AJ238" i="1" l="1"/>
  <c r="F252" i="1" s="1"/>
  <c r="E252" i="1"/>
  <c r="AE172" i="1"/>
  <c r="AE173" i="1" s="1"/>
  <c r="AF173" i="1" s="1"/>
  <c r="AA188" i="1" l="1"/>
  <c r="AD176" i="1" s="1"/>
  <c r="AA221" i="1"/>
  <c r="AA239" i="1"/>
  <c r="F253" i="1" s="1"/>
  <c r="G252" i="1"/>
  <c r="Y178" i="1" l="1"/>
  <c r="Y197" i="1"/>
  <c r="Y179" i="1"/>
  <c r="Y201" i="1"/>
  <c r="Y174" i="1"/>
  <c r="Y198" i="1"/>
  <c r="Y175" i="1"/>
  <c r="Y173" i="1"/>
  <c r="Y176" i="1"/>
  <c r="Y199" i="1"/>
  <c r="Y177" i="1"/>
  <c r="Y200" i="1"/>
  <c r="Z197" i="1" l="1"/>
  <c r="AI221" i="1" s="1"/>
  <c r="AK211" i="1" s="1"/>
  <c r="AF212" i="1" l="1"/>
  <c r="AF205" i="1"/>
  <c r="AF208" i="1"/>
  <c r="AF211" i="1"/>
  <c r="AF202" i="1"/>
  <c r="AF210" i="1"/>
  <c r="AF206" i="1"/>
  <c r="AI239" i="1"/>
  <c r="E253" i="1" s="1"/>
  <c r="G253" i="1" s="1"/>
  <c r="AF204" i="1"/>
  <c r="AF203" i="1"/>
  <c r="AF209" i="1"/>
  <c r="AK212" i="1"/>
  <c r="AF207" i="1"/>
</calcChain>
</file>

<file path=xl/sharedStrings.xml><?xml version="1.0" encoding="utf-8"?>
<sst xmlns="http://schemas.openxmlformats.org/spreadsheetml/2006/main" count="769" uniqueCount="302">
  <si>
    <t>申请日</t>
  </si>
  <si>
    <t>贷款本金</t>
  </si>
  <si>
    <t>贷款期数</t>
  </si>
  <si>
    <t>日利率(计提)</t>
  </si>
  <si>
    <t>银行利率</t>
  </si>
  <si>
    <t>日罚息率</t>
  </si>
  <si>
    <t>综合利率</t>
  </si>
  <si>
    <t>日违约金率</t>
  </si>
  <si>
    <t>银行期供</t>
  </si>
  <si>
    <t>日期款滞纳金率</t>
  </si>
  <si>
    <t>综合期供</t>
  </si>
  <si>
    <t>日贷款滞纳金率</t>
  </si>
  <si>
    <t>有效利率</t>
  </si>
  <si>
    <t>期款滞纳金</t>
  </si>
  <si>
    <t>期数</t>
  </si>
  <si>
    <t>到期日</t>
  </si>
  <si>
    <t>剩余本金</t>
  </si>
  <si>
    <t>期供</t>
  </si>
  <si>
    <t xml:space="preserve">
本金</t>
  </si>
  <si>
    <t xml:space="preserve">
利息</t>
  </si>
  <si>
    <t>担保费</t>
  </si>
  <si>
    <t>Day</t>
  </si>
  <si>
    <t>Trx</t>
  </si>
  <si>
    <t>Trx Date</t>
  </si>
  <si>
    <t>Trx Amt</t>
  </si>
  <si>
    <t>*P 罚息(受银行逾期本金影响)</t>
  </si>
  <si>
    <t>*G 违约金(受银行逾期本金影响)</t>
  </si>
  <si>
    <t>客户还款</t>
  </si>
  <si>
    <t>*P1=</t>
  </si>
  <si>
    <t>969.55*0.023%=</t>
  </si>
  <si>
    <t>*G1=</t>
  </si>
  <si>
    <t>969.55*0.062%=</t>
  </si>
  <si>
    <t>*P2=</t>
  </si>
  <si>
    <t>*G2=</t>
  </si>
  <si>
    <t>*P3=</t>
  </si>
  <si>
    <t>*P4=</t>
  </si>
  <si>
    <t>*P5=</t>
  </si>
  <si>
    <t>是否
逾期</t>
  </si>
  <si>
    <t xml:space="preserve">
本金
(+)</t>
  </si>
  <si>
    <t>已还
本金
客户
(-)</t>
  </si>
  <si>
    <t xml:space="preserve">
利息
(+)</t>
  </si>
  <si>
    <t>已还
利息
客户
(-)</t>
  </si>
  <si>
    <t xml:space="preserve">
罚息
(+)</t>
  </si>
  <si>
    <t>已还
罚息
客户
(-)</t>
  </si>
  <si>
    <t>担保费
(+)</t>
  </si>
  <si>
    <t>已还
担保费
客户
(-)</t>
  </si>
  <si>
    <t xml:space="preserve">
违约金
(+)</t>
  </si>
  <si>
    <t>已还
违约金
客户
(-)</t>
  </si>
  <si>
    <t>N</t>
  </si>
  <si>
    <t>976.18*0.023%=</t>
  </si>
  <si>
    <t>976.18*0.062%=</t>
  </si>
  <si>
    <t>*G3=</t>
  </si>
  <si>
    <t>*G4=</t>
  </si>
  <si>
    <t>*G5=</t>
  </si>
  <si>
    <t>*P6=</t>
  </si>
  <si>
    <t>*G6=</t>
  </si>
  <si>
    <t>3.7止 客户逾期金额</t>
  </si>
  <si>
    <t>配帐顺序</t>
  </si>
  <si>
    <t>实际发生配帐</t>
  </si>
  <si>
    <t>罚息</t>
  </si>
  <si>
    <t>利息</t>
  </si>
  <si>
    <t>Y</t>
  </si>
  <si>
    <t>本金</t>
  </si>
  <si>
    <t>违约金</t>
  </si>
  <si>
    <t>担保费</t>
    <phoneticPr fontId="10" type="noConversion"/>
  </si>
  <si>
    <t>Total</t>
  </si>
  <si>
    <t>*L 期款滞纳金(受HC代偿本金影响)</t>
  </si>
  <si>
    <t>5.1</t>
  </si>
  <si>
    <t>5.2</t>
  </si>
  <si>
    <t>989.56*0.023%=</t>
  </si>
  <si>
    <t>989.56*0.062%=</t>
  </si>
  <si>
    <t>5.3</t>
  </si>
  <si>
    <t>…</t>
  </si>
  <si>
    <t>5.4</t>
  </si>
  <si>
    <t>5.5</t>
  </si>
  <si>
    <t>5.6</t>
  </si>
  <si>
    <t>5.7</t>
  </si>
  <si>
    <t>5.8</t>
  </si>
  <si>
    <t>5.9</t>
  </si>
  <si>
    <t>5.10</t>
  </si>
  <si>
    <t>*P7=</t>
  </si>
  <si>
    <t>*G7=</t>
  </si>
  <si>
    <t>5.11</t>
  </si>
  <si>
    <t>HC代偿</t>
  </si>
  <si>
    <t>*P8=</t>
  </si>
  <si>
    <t>*G8=</t>
  </si>
  <si>
    <t>5.12</t>
  </si>
  <si>
    <t>5.12起 客户逾期金额</t>
  </si>
  <si>
    <t>+ 日增0.53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</si>
  <si>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</si>
  <si>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</si>
  <si>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</si>
  <si>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</si>
  <si>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</si>
  <si>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</si>
  <si>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</si>
  <si>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</si>
  <si>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</si>
  <si>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</si>
  <si>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</si>
  <si>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</si>
  <si>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</si>
  <si>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</si>
  <si>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</si>
  <si>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</si>
  <si>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</si>
  <si>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</si>
  <si>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</si>
  <si>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代偿日</t>
  </si>
  <si>
    <t>已还
本金
HC
(-)</t>
  </si>
  <si>
    <t>已还
利息
HC
(-)</t>
  </si>
  <si>
    <t>已还
罚息
HC
(-)</t>
  </si>
  <si>
    <t>代偿
本金
(+)</t>
  </si>
  <si>
    <t>已还
代偿
本金
(-)</t>
  </si>
  <si>
    <t>代偿
利息
(+)</t>
  </si>
  <si>
    <t>已还
代偿
利息
(-)</t>
  </si>
  <si>
    <t>代偿
罚息
(+)</t>
  </si>
  <si>
    <t>已还
代偿
罚息
(-)</t>
  </si>
  <si>
    <t>期款
滞纳金
(+)</t>
  </si>
  <si>
    <t>已还
期款
滞纳金
(-)</t>
  </si>
  <si>
    <t>代偿当期配帐顺序</t>
  </si>
  <si>
    <t>实际发生代偿前配帐</t>
  </si>
  <si>
    <t>6.2</t>
  </si>
  <si>
    <t>996.33*0.023%=</t>
  </si>
  <si>
    <t>996.33*0.062%=</t>
  </si>
  <si>
    <t>545.43*0.097%</t>
  </si>
  <si>
    <t>6.3</t>
  </si>
  <si>
    <t>6.4</t>
  </si>
  <si>
    <t>6.5</t>
  </si>
  <si>
    <t>6.6</t>
  </si>
  <si>
    <t>代偿罚息</t>
  </si>
  <si>
    <t>6.7</t>
  </si>
  <si>
    <t>代偿利息</t>
  </si>
  <si>
    <t>6.8</t>
  </si>
  <si>
    <t>6.9</t>
  </si>
  <si>
    <t>6.10</t>
  </si>
  <si>
    <t>*P9=</t>
  </si>
  <si>
    <t>*G9=</t>
  </si>
  <si>
    <t>代偿本金</t>
  </si>
  <si>
    <t>6.11</t>
  </si>
  <si>
    <t>*P10=</t>
  </si>
  <si>
    <t>*G10=</t>
  </si>
  <si>
    <t>6.12</t>
  </si>
  <si>
    <t>996.33*0.097%=</t>
  </si>
  <si>
    <t>6.13</t>
  </si>
  <si>
    <t>6.7止 客户逾期金额</t>
  </si>
  <si>
    <t>6.14</t>
  </si>
  <si>
    <t>6.8起 客户逾期金额</t>
  </si>
  <si>
    <t>6.15</t>
  </si>
  <si>
    <t>6.12起 客户逾期金额</t>
  </si>
  <si>
    <t>6.16</t>
  </si>
  <si>
    <t>6.17</t>
  </si>
  <si>
    <t>已还
担保费
HC
(-)</t>
  </si>
  <si>
    <t>已还
违约金
HC
(-)</t>
  </si>
  <si>
    <t>6.18</t>
  </si>
  <si>
    <t>(489.56-35.64)*0.097%=</t>
  </si>
  <si>
    <t>第五期</t>
  </si>
  <si>
    <t>第六期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</si>
  <si>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</si>
  <si>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</si>
  <si>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</si>
  <si>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</si>
  <si>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</si>
  <si>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</si>
  <si>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</si>
  <si>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</si>
  <si>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</si>
  <si>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</si>
  <si>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(996.33-375.6)*0.097%=</t>
  </si>
  <si>
    <t>1003.13*0.023%=</t>
  </si>
  <si>
    <t>1003.13*0.062%=</t>
  </si>
  <si>
    <t>6.27止 客户逾期金额</t>
  </si>
  <si>
    <t>6.28起 客户逾期金额</t>
  </si>
  <si>
    <t>+日增0.60</t>
  </si>
  <si>
    <t>*O 贷款滞纳金(受整笔代偿金额影响)</t>
  </si>
  <si>
    <t>整笔代偿后配帐顺序</t>
  </si>
  <si>
    <t>罚息</t>
    <phoneticPr fontId="10" type="noConversion"/>
  </si>
  <si>
    <t>利息</t>
    <phoneticPr fontId="10" type="noConversion"/>
  </si>
  <si>
    <t>7.10</t>
  </si>
  <si>
    <t>本金</t>
    <phoneticPr fontId="10" type="noConversion"/>
  </si>
  <si>
    <t>贷款滞纳金</t>
    <phoneticPr fontId="10" type="noConversion"/>
  </si>
  <si>
    <t>*O1=</t>
  </si>
  <si>
    <t>期款滞纳金</t>
    <phoneticPr fontId="10" type="noConversion"/>
  </si>
  <si>
    <t>*O2=</t>
  </si>
  <si>
    <t>*O3=</t>
  </si>
  <si>
    <t>*O4=</t>
  </si>
  <si>
    <t>*O5=</t>
  </si>
  <si>
    <t>*O6=</t>
  </si>
  <si>
    <t>代偿违约金</t>
    <phoneticPr fontId="10" type="noConversion"/>
  </si>
  <si>
    <t>*O7=</t>
  </si>
  <si>
    <t>代偿担保费</t>
    <phoneticPr fontId="10" type="noConversion"/>
  </si>
  <si>
    <t>*O8=</t>
  </si>
  <si>
    <t>7.20</t>
  </si>
  <si>
    <t>*O9=</t>
  </si>
  <si>
    <t>*O10=</t>
  </si>
  <si>
    <t>7.11止 客户逾期金额</t>
  </si>
  <si>
    <t>*O11=</t>
  </si>
  <si>
    <t>7.12起 客户逾期金额</t>
  </si>
  <si>
    <t>代偿
担保费
(+)</t>
  </si>
  <si>
    <t>已还
代偿
担保费
(-)</t>
  </si>
  <si>
    <t>代偿
违约金
(+)</t>
  </si>
  <si>
    <t>已还
代偿
违约金
(-)</t>
  </si>
  <si>
    <t>贷款
滞纳金
(+)</t>
  </si>
  <si>
    <t>已还
贷款
滞纳金
(-)</t>
  </si>
  <si>
    <t>⑦</t>
  </si>
  <si>
    <t>④</t>
  </si>
  <si>
    <t>③</t>
  </si>
  <si>
    <t>②</t>
  </si>
  <si>
    <t>⑥</t>
  </si>
  <si>
    <t>⑤</t>
  </si>
  <si>
    <t>①</t>
  </si>
  <si>
    <t>No.5L2=</t>
  </si>
  <si>
    <t>No.5L3=</t>
  </si>
  <si>
    <t>No.5L4=</t>
  </si>
  <si>
    <t>No.5L5=</t>
  </si>
  <si>
    <t>No.5L6=</t>
  </si>
  <si>
    <t>No.5L7=</t>
  </si>
  <si>
    <t>No.5L8=</t>
  </si>
  <si>
    <t>No.5L9=</t>
  </si>
  <si>
    <t>No.5L10=</t>
  </si>
  <si>
    <t>No.5L11=</t>
  </si>
  <si>
    <t>No.5L12=</t>
  </si>
  <si>
    <t>No.5L13=</t>
  </si>
  <si>
    <t>No.5L14=</t>
  </si>
  <si>
    <t>No.5L15=</t>
  </si>
  <si>
    <t>No.5L16=</t>
  </si>
  <si>
    <t>No.5L17=</t>
  </si>
  <si>
    <t>No.5L18=</t>
  </si>
  <si>
    <t>No.5L19=</t>
  </si>
  <si>
    <t>No.5L20=</t>
  </si>
  <si>
    <t>No.5L1=</t>
  </si>
  <si>
    <t>No.5L22=</t>
  </si>
  <si>
    <t>No.5L23=</t>
  </si>
  <si>
    <t>No.5L24=</t>
  </si>
  <si>
    <t>No.5L25=</t>
  </si>
  <si>
    <t>No.5L26=</t>
  </si>
  <si>
    <t>No.5L27=</t>
  </si>
  <si>
    <t>No.5L21=</t>
  </si>
  <si>
    <t>No.6L2=</t>
  </si>
  <si>
    <t>No.6L3=</t>
  </si>
  <si>
    <t>No.6L4=</t>
  </si>
  <si>
    <t>No.6L5=</t>
  </si>
  <si>
    <t>No.6L6=</t>
  </si>
  <si>
    <t>No.6L8=</t>
  </si>
  <si>
    <t>No.6L9=</t>
  </si>
  <si>
    <t>No.6L10=</t>
  </si>
  <si>
    <t>No.6L11=</t>
  </si>
  <si>
    <t>No.6L12=</t>
  </si>
  <si>
    <t>No.6L13=</t>
  </si>
  <si>
    <t>No.6L14=</t>
  </si>
  <si>
    <t>No.6L15=</t>
  </si>
  <si>
    <t>No.6L16=</t>
  </si>
  <si>
    <t>No.6L1=</t>
  </si>
  <si>
    <t>No.6L7=</t>
  </si>
  <si>
    <r>
      <t>(989.56-</t>
    </r>
    <r>
      <rPr>
        <sz val="10"/>
        <color rgb="FF0000FF"/>
        <rFont val="Calibri"/>
        <family val="2"/>
        <scheme val="minor"/>
      </rPr>
      <t>244.59</t>
    </r>
    <r>
      <rPr>
        <sz val="10"/>
        <rFont val="Calibri"/>
        <family val="2"/>
        <scheme val="minor"/>
      </rPr>
      <t>)*0.023%=</t>
    </r>
  </si>
  <si>
    <r>
      <t>(989.56-</t>
    </r>
    <r>
      <rPr>
        <sz val="10"/>
        <color rgb="FF0000FF"/>
        <rFont val="Calibri"/>
        <family val="2"/>
        <scheme val="minor"/>
      </rPr>
      <t>244.59</t>
    </r>
    <r>
      <rPr>
        <sz val="10"/>
        <rFont val="Calibri"/>
        <family val="2"/>
        <scheme val="minor"/>
      </rPr>
      <t>)*0.062%=</t>
    </r>
  </si>
  <si>
    <r>
      <t>(989.56-244.59-</t>
    </r>
    <r>
      <rPr>
        <sz val="10"/>
        <color rgb="FF0000FF"/>
        <rFont val="Calibri"/>
        <family val="2"/>
        <scheme val="minor"/>
      </rPr>
      <t>198.69</t>
    </r>
    <r>
      <rPr>
        <sz val="10"/>
        <rFont val="Calibri"/>
        <family val="2"/>
        <scheme val="minor"/>
      </rPr>
      <t>)*0.023%=</t>
    </r>
  </si>
  <si>
    <t>546.28*0.097%=</t>
  </si>
  <si>
    <r>
      <t>(546.28</t>
    </r>
    <r>
      <rPr>
        <sz val="10"/>
        <color rgb="FF0000FF"/>
        <rFont val="Calibri"/>
        <family val="2"/>
        <scheme val="minor"/>
      </rPr>
      <t>-91.64</t>
    </r>
    <r>
      <rPr>
        <sz val="10"/>
        <rFont val="Calibri"/>
        <family val="2"/>
        <scheme val="minor"/>
      </rPr>
      <t>)*0.097%</t>
    </r>
  </si>
  <si>
    <t>+日增0.44</t>
  </si>
  <si>
    <t>+日增(0.44+0.97)</t>
  </si>
  <si>
    <t>逾期（不算到期日当天）5天内，不收罚息</t>
  </si>
  <si>
    <t>Case 3</t>
  </si>
  <si>
    <t>Case 4</t>
  </si>
  <si>
    <t>Case 5</t>
  </si>
  <si>
    <t>Final</t>
  </si>
  <si>
    <t>已还
计提利息
HC
(-)</t>
  </si>
  <si>
    <t>待还金额</t>
  </si>
  <si>
    <t>已还金额</t>
  </si>
  <si>
    <t>Case 6</t>
  </si>
  <si>
    <t>逾期第7天凌晨生成前6天的罚息及违约金</t>
  </si>
  <si>
    <t>罚息是每天同步自银行的还款计划</t>
  </si>
  <si>
    <t>违约金是按日累计的</t>
  </si>
  <si>
    <t>逾期第11天代偿当期未还本息罚，不代偿但保费和违约金</t>
  </si>
  <si>
    <t>Case 1
正常全额还款及宽限期内全额还款</t>
  </si>
  <si>
    <t>No.5L*n*0.53</t>
  </si>
  <si>
    <t>Case 2
逾期代偿前全额还款</t>
  </si>
  <si>
    <t>No.5L*n*0.44</t>
  </si>
  <si>
    <t>No.6L*n*0.97</t>
  </si>
  <si>
    <t>No.6L*n*0.60</t>
  </si>
  <si>
    <t>(996.33-375.75+7.2+6122.56+55.8+2.3+543.9+6.2)*0.097%=</t>
  </si>
  <si>
    <t>+日增7.13</t>
  </si>
  <si>
    <t>O*n*7.13</t>
  </si>
  <si>
    <t>应还金额</t>
  </si>
  <si>
    <t>日罚息比率</t>
  </si>
  <si>
    <t>月基本利率</t>
  </si>
  <si>
    <t>月综合利率</t>
  </si>
  <si>
    <t>逾期（不算到期日当天）5天内，不收违约金</t>
  </si>
  <si>
    <t>过了5天还不还，前面五天的一起收，罚息是银行收的</t>
  </si>
  <si>
    <t>担保违约金和罚息的计算方式类似</t>
  </si>
  <si>
    <t>当期代偿的是给银行的本息罚，不代偿担保费和违约金</t>
  </si>
  <si>
    <t>银行的罚息，捷信的违约金，都是按客户应还未还的当期本金的余额来计算的</t>
  </si>
  <si>
    <t>代偿后客户需还的款项有如下增加</t>
  </si>
  <si>
    <t>期款滞纳金=代偿本金*n天（从代偿日开始算）*期款滞纳金日利率</t>
  </si>
  <si>
    <t>客户出现连三累六之后</t>
  </si>
  <si>
    <t>整笔代偿</t>
  </si>
  <si>
    <t>代偿剩余本金</t>
  </si>
  <si>
    <t>代偿当期利息</t>
  </si>
  <si>
    <t>代偿剩余本金从到期日开始到代偿日结束的产生的日利息</t>
  </si>
  <si>
    <t>代偿担保费，剩余期数的担保费总额</t>
  </si>
  <si>
    <t>代偿违约金</t>
  </si>
  <si>
    <t>贷款滞纳金=代偿的本金*贷款滞纳金利率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</si>
</sst>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%"/>
    <numFmt numFmtId="166" formatCode="0.00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sz val="10"/>
      <color rgb="FF92D05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slantDashDot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/>
    <xf numFmtId="2" fontId="6" fillId="0" borderId="0" xfId="0" applyNumberFormat="1" applyFont="1" applyAlignment="1"/>
    <xf numFmtId="2" fontId="2" fillId="0" borderId="0" xfId="0" applyNumberFormat="1" applyFont="1" applyAlignment="1"/>
    <xf numFmtId="0" fontId="5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22" xfId="0" applyFont="1" applyFill="1" applyBorder="1" applyAlignment="1">
      <alignment horizontal="center" wrapText="1"/>
    </xf>
    <xf numFmtId="164" fontId="3" fillId="0" borderId="22" xfId="0" applyNumberFormat="1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2" borderId="23" xfId="0" applyFont="1" applyFill="1" applyBorder="1" applyAlignment="1">
      <alignment horizontal="center" wrapText="1"/>
    </xf>
    <xf numFmtId="164" fontId="7" fillId="3" borderId="23" xfId="0" applyNumberFormat="1" applyFont="1" applyFill="1" applyBorder="1" applyAlignment="1">
      <alignment wrapText="1"/>
    </xf>
    <xf numFmtId="0" fontId="7" fillId="2" borderId="23" xfId="0" applyFont="1" applyFill="1" applyBorder="1" applyAlignment="1">
      <alignment wrapText="1"/>
    </xf>
    <xf numFmtId="0" fontId="7" fillId="3" borderId="23" xfId="0" applyFont="1" applyFill="1" applyBorder="1" applyAlignment="1">
      <alignment wrapText="1"/>
    </xf>
    <xf numFmtId="0" fontId="7" fillId="0" borderId="0" xfId="0" applyFont="1" applyBorder="1"/>
    <xf numFmtId="0" fontId="2" fillId="0" borderId="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4" fontId="4" fillId="3" borderId="23" xfId="0" applyNumberFormat="1" applyFont="1" applyFill="1" applyBorder="1"/>
    <xf numFmtId="2" fontId="4" fillId="2" borderId="23" xfId="0" applyNumberFormat="1" applyFont="1" applyFill="1" applyBorder="1"/>
    <xf numFmtId="2" fontId="4" fillId="3" borderId="23" xfId="0" applyNumberFormat="1" applyFont="1" applyFill="1" applyBorder="1"/>
    <xf numFmtId="0" fontId="2" fillId="0" borderId="0" xfId="0" applyFont="1" applyFill="1" applyBorder="1"/>
    <xf numFmtId="0" fontId="4" fillId="2" borderId="24" xfId="0" applyFont="1" applyFill="1" applyBorder="1" applyAlignment="1">
      <alignment horizontal="center"/>
    </xf>
    <xf numFmtId="164" fontId="4" fillId="3" borderId="24" xfId="0" applyNumberFormat="1" applyFont="1" applyFill="1" applyBorder="1"/>
    <xf numFmtId="2" fontId="4" fillId="2" borderId="24" xfId="0" applyNumberFormat="1" applyFont="1" applyFill="1" applyBorder="1"/>
    <xf numFmtId="2" fontId="4" fillId="3" borderId="24" xfId="0" applyNumberFormat="1" applyFont="1" applyFill="1" applyBorder="1"/>
    <xf numFmtId="2" fontId="5" fillId="0" borderId="0" xfId="0" applyNumberFormat="1" applyFont="1"/>
    <xf numFmtId="164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/>
    <xf numFmtId="2" fontId="8" fillId="5" borderId="0" xfId="0" applyNumberFormat="1" applyFont="1" applyFill="1" applyBorder="1"/>
    <xf numFmtId="0" fontId="2" fillId="5" borderId="11" xfId="0" applyFont="1" applyFill="1" applyBorder="1"/>
    <xf numFmtId="0" fontId="4" fillId="5" borderId="11" xfId="0" applyFont="1" applyFill="1" applyBorder="1" applyAlignment="1">
      <alignment horizontal="center"/>
    </xf>
    <xf numFmtId="2" fontId="5" fillId="5" borderId="1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4" fillId="5" borderId="11" xfId="0" applyFont="1" applyFill="1" applyBorder="1"/>
    <xf numFmtId="0" fontId="4" fillId="6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64" fontId="4" fillId="6" borderId="0" xfId="0" applyNumberFormat="1" applyFont="1" applyFill="1" applyBorder="1"/>
    <xf numFmtId="2" fontId="9" fillId="6" borderId="0" xfId="0" applyNumberFormat="1" applyFont="1" applyFill="1" applyBorder="1"/>
    <xf numFmtId="0" fontId="2" fillId="6" borderId="11" xfId="0" applyFont="1" applyFill="1" applyBorder="1"/>
    <xf numFmtId="0" fontId="4" fillId="6" borderId="0" xfId="0" applyFont="1" applyFill="1" applyBorder="1"/>
    <xf numFmtId="0" fontId="4" fillId="6" borderId="11" xfId="0" applyFont="1" applyFill="1" applyBorder="1"/>
    <xf numFmtId="2" fontId="5" fillId="6" borderId="10" xfId="0" applyNumberFormat="1" applyFont="1" applyFill="1" applyBorder="1"/>
    <xf numFmtId="0" fontId="2" fillId="6" borderId="0" xfId="0" applyFont="1" applyFill="1" applyBorder="1"/>
    <xf numFmtId="0" fontId="4" fillId="6" borderId="10" xfId="0" applyFont="1" applyFill="1" applyBorder="1" applyAlignment="1">
      <alignment horizontal="right"/>
    </xf>
    <xf numFmtId="2" fontId="4" fillId="6" borderId="0" xfId="0" applyNumberFormat="1" applyFont="1" applyFill="1" applyBorder="1" applyAlignment="1">
      <alignment horizontal="left"/>
    </xf>
    <xf numFmtId="2" fontId="4" fillId="6" borderId="0" xfId="0" applyNumberFormat="1" applyFont="1" applyFill="1" applyBorder="1"/>
    <xf numFmtId="166" fontId="4" fillId="6" borderId="11" xfId="0" applyNumberFormat="1" applyFont="1" applyFill="1" applyBorder="1"/>
    <xf numFmtId="2" fontId="8" fillId="6" borderId="0" xfId="0" applyNumberFormat="1" applyFont="1" applyFill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0" fontId="3" fillId="0" borderId="0" xfId="0" applyFont="1" applyFill="1"/>
    <xf numFmtId="0" fontId="3" fillId="0" borderId="20" xfId="0" applyFont="1" applyFill="1" applyBorder="1" applyAlignment="1">
      <alignment horizontal="center"/>
    </xf>
    <xf numFmtId="0" fontId="5" fillId="0" borderId="0" xfId="0" applyFont="1" applyBorder="1"/>
    <xf numFmtId="0" fontId="3" fillId="0" borderId="25" xfId="0" applyFont="1" applyFill="1" applyBorder="1" applyAlignment="1">
      <alignment horizontal="center" wrapText="1"/>
    </xf>
    <xf numFmtId="164" fontId="3" fillId="0" borderId="26" xfId="0" applyNumberFormat="1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wrapText="1"/>
    </xf>
    <xf numFmtId="0" fontId="3" fillId="2" borderId="26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horizontal="center" wrapText="1"/>
    </xf>
    <xf numFmtId="0" fontId="3" fillId="3" borderId="27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14" fontId="8" fillId="2" borderId="23" xfId="0" applyNumberFormat="1" applyFont="1" applyFill="1" applyBorder="1" applyAlignment="1">
      <alignment wrapText="1"/>
    </xf>
    <xf numFmtId="164" fontId="7" fillId="3" borderId="0" xfId="0" applyNumberFormat="1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7" fillId="2" borderId="10" xfId="0" applyFont="1" applyFill="1" applyBorder="1" applyAlignment="1">
      <alignment wrapText="1"/>
    </xf>
    <xf numFmtId="0" fontId="7" fillId="2" borderId="28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7" fillId="3" borderId="29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10" fillId="2" borderId="0" xfId="0" applyFont="1" applyFill="1" applyBorder="1"/>
    <xf numFmtId="0" fontId="7" fillId="2" borderId="29" xfId="0" applyFont="1" applyFill="1" applyBorder="1"/>
    <xf numFmtId="0" fontId="4" fillId="3" borderId="10" xfId="0" applyFont="1" applyFill="1" applyBorder="1" applyAlignment="1">
      <alignment horizontal="center"/>
    </xf>
    <xf numFmtId="14" fontId="8" fillId="2" borderId="23" xfId="0" applyNumberFormat="1" applyFont="1" applyFill="1" applyBorder="1" applyAlignment="1">
      <alignment horizontal="center"/>
    </xf>
    <xf numFmtId="164" fontId="4" fillId="3" borderId="0" xfId="0" applyNumberFormat="1" applyFont="1" applyFill="1" applyBorder="1"/>
    <xf numFmtId="2" fontId="4" fillId="3" borderId="0" xfId="0" applyNumberFormat="1" applyFont="1" applyFill="1" applyBorder="1"/>
    <xf numFmtId="2" fontId="4" fillId="2" borderId="10" xfId="0" applyNumberFormat="1" applyFont="1" applyFill="1" applyBorder="1"/>
    <xf numFmtId="2" fontId="8" fillId="2" borderId="30" xfId="0" applyNumberFormat="1" applyFont="1" applyFill="1" applyBorder="1"/>
    <xf numFmtId="2" fontId="4" fillId="3" borderId="10" xfId="0" applyNumberFormat="1" applyFont="1" applyFill="1" applyBorder="1"/>
    <xf numFmtId="2" fontId="8" fillId="3" borderId="31" xfId="0" applyNumberFormat="1" applyFont="1" applyFill="1" applyBorder="1"/>
    <xf numFmtId="2" fontId="10" fillId="2" borderId="0" xfId="0" applyNumberFormat="1" applyFont="1" applyFill="1" applyBorder="1"/>
    <xf numFmtId="2" fontId="4" fillId="2" borderId="30" xfId="0" applyNumberFormat="1" applyFont="1" applyFill="1" applyBorder="1"/>
    <xf numFmtId="0" fontId="2" fillId="2" borderId="31" xfId="0" applyFont="1" applyFill="1" applyBorder="1"/>
    <xf numFmtId="2" fontId="10" fillId="2" borderId="0" xfId="0" quotePrefix="1" applyNumberFormat="1" applyFont="1" applyFill="1" applyBorder="1"/>
    <xf numFmtId="14" fontId="11" fillId="2" borderId="23" xfId="0" applyNumberFormat="1" applyFont="1" applyFill="1" applyBorder="1" applyAlignment="1">
      <alignment horizontal="center"/>
    </xf>
    <xf numFmtId="2" fontId="12" fillId="3" borderId="31" xfId="0" applyNumberFormat="1" applyFont="1" applyFill="1" applyBorder="1"/>
    <xf numFmtId="2" fontId="12" fillId="2" borderId="30" xfId="0" applyNumberFormat="1" applyFont="1" applyFill="1" applyBorder="1"/>
    <xf numFmtId="2" fontId="4" fillId="3" borderId="31" xfId="0" applyNumberFormat="1" applyFont="1" applyFill="1" applyBorder="1"/>
    <xf numFmtId="2" fontId="9" fillId="2" borderId="0" xfId="0" applyNumberFormat="1" applyFont="1" applyFill="1" applyBorder="1"/>
    <xf numFmtId="0" fontId="9" fillId="2" borderId="0" xfId="0" applyFont="1" applyFill="1" applyBorder="1"/>
    <xf numFmtId="0" fontId="4" fillId="3" borderId="19" xfId="0" applyFont="1" applyFill="1" applyBorder="1" applyAlignment="1">
      <alignment horizontal="center"/>
    </xf>
    <xf numFmtId="14" fontId="8" fillId="2" borderId="24" xfId="0" applyNumberFormat="1" applyFont="1" applyFill="1" applyBorder="1" applyAlignment="1">
      <alignment horizontal="center"/>
    </xf>
    <xf numFmtId="164" fontId="4" fillId="3" borderId="20" xfId="0" applyNumberFormat="1" applyFont="1" applyFill="1" applyBorder="1"/>
    <xf numFmtId="2" fontId="4" fillId="3" borderId="20" xfId="0" applyNumberFormat="1" applyFont="1" applyFill="1" applyBorder="1"/>
    <xf numFmtId="2" fontId="4" fillId="2" borderId="19" xfId="0" applyNumberFormat="1" applyFont="1" applyFill="1" applyBorder="1"/>
    <xf numFmtId="2" fontId="4" fillId="2" borderId="32" xfId="0" applyNumberFormat="1" applyFont="1" applyFill="1" applyBorder="1"/>
    <xf numFmtId="2" fontId="4" fillId="3" borderId="19" xfId="0" applyNumberFormat="1" applyFont="1" applyFill="1" applyBorder="1"/>
    <xf numFmtId="2" fontId="4" fillId="3" borderId="33" xfId="0" applyNumberFormat="1" applyFont="1" applyFill="1" applyBorder="1"/>
    <xf numFmtId="2" fontId="9" fillId="2" borderId="20" xfId="0" applyNumberFormat="1" applyFont="1" applyFill="1" applyBorder="1"/>
    <xf numFmtId="0" fontId="9" fillId="2" borderId="20" xfId="0" applyFont="1" applyFill="1" applyBorder="1"/>
    <xf numFmtId="0" fontId="2" fillId="2" borderId="33" xfId="0" applyFont="1" applyFill="1" applyBorder="1"/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2" fontId="4" fillId="0" borderId="0" xfId="0" applyNumberFormat="1" applyFont="1" applyFill="1" applyBorder="1"/>
    <xf numFmtId="2" fontId="9" fillId="0" borderId="0" xfId="0" applyNumberFormat="1" applyFont="1" applyFill="1" applyBorder="1"/>
    <xf numFmtId="0" fontId="9" fillId="0" borderId="0" xfId="0" applyFont="1" applyFill="1" applyBorder="1"/>
    <xf numFmtId="0" fontId="2" fillId="5" borderId="10" xfId="0" applyFont="1" applyFill="1" applyBorder="1" applyAlignment="1">
      <alignment horizontal="center"/>
    </xf>
    <xf numFmtId="14" fontId="8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/>
    <xf numFmtId="2" fontId="9" fillId="5" borderId="0" xfId="0" applyNumberFormat="1" applyFont="1" applyFill="1" applyBorder="1"/>
    <xf numFmtId="166" fontId="4" fillId="5" borderId="11" xfId="0" applyNumberFormat="1" applyFont="1" applyFill="1" applyBorder="1"/>
    <xf numFmtId="166" fontId="4" fillId="5" borderId="10" xfId="0" applyNumberFormat="1" applyFont="1" applyFill="1" applyBorder="1"/>
    <xf numFmtId="0" fontId="2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left"/>
    </xf>
    <xf numFmtId="2" fontId="4" fillId="5" borderId="0" xfId="0" applyNumberFormat="1" applyFont="1" applyFill="1" applyBorder="1"/>
    <xf numFmtId="14" fontId="4" fillId="5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quotePrefix="1" applyNumberFormat="1" applyFont="1" applyFill="1" applyBorder="1"/>
    <xf numFmtId="14" fontId="4" fillId="6" borderId="0" xfId="0" applyNumberFormat="1" applyFont="1" applyFill="1" applyBorder="1" applyAlignment="1">
      <alignment horizontal="center"/>
    </xf>
    <xf numFmtId="0" fontId="4" fillId="6" borderId="10" xfId="0" applyFont="1" applyFill="1" applyBorder="1"/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/>
    <xf numFmtId="164" fontId="8" fillId="0" borderId="0" xfId="0" applyNumberFormat="1" applyFont="1" applyFill="1" applyBorder="1"/>
    <xf numFmtId="2" fontId="8" fillId="0" borderId="0" xfId="0" applyNumberFormat="1" applyFont="1" applyFill="1" applyBorder="1"/>
    <xf numFmtId="0" fontId="4" fillId="0" borderId="0" xfId="0" applyFont="1" applyFill="1" applyBorder="1"/>
    <xf numFmtId="2" fontId="5" fillId="0" borderId="0" xfId="0" applyNumberFormat="1" applyFont="1" applyFill="1" applyBorder="1"/>
    <xf numFmtId="0" fontId="4" fillId="7" borderId="10" xfId="0" applyFont="1" applyFill="1" applyBorder="1" applyAlignment="1">
      <alignment horizontal="center" wrapText="1"/>
    </xf>
    <xf numFmtId="14" fontId="4" fillId="7" borderId="23" xfId="0" applyNumberFormat="1" applyFont="1" applyFill="1" applyBorder="1" applyAlignment="1">
      <alignment wrapText="1"/>
    </xf>
    <xf numFmtId="164" fontId="4" fillId="7" borderId="0" xfId="0" applyNumberFormat="1" applyFont="1" applyFill="1" applyBorder="1" applyAlignment="1">
      <alignment wrapText="1"/>
    </xf>
    <xf numFmtId="0" fontId="4" fillId="7" borderId="23" xfId="0" applyFont="1" applyFill="1" applyBorder="1" applyAlignment="1">
      <alignment wrapText="1"/>
    </xf>
    <xf numFmtId="0" fontId="4" fillId="7" borderId="0" xfId="0" applyFont="1" applyFill="1" applyBorder="1" applyAlignment="1">
      <alignment wrapText="1"/>
    </xf>
    <xf numFmtId="0" fontId="4" fillId="7" borderId="10" xfId="0" applyFont="1" applyFill="1" applyBorder="1" applyAlignment="1">
      <alignment wrapText="1"/>
    </xf>
    <xf numFmtId="0" fontId="4" fillId="7" borderId="28" xfId="0" applyFont="1" applyFill="1" applyBorder="1" applyAlignment="1">
      <alignment wrapText="1"/>
    </xf>
    <xf numFmtId="0" fontId="4" fillId="7" borderId="29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/>
    <xf numFmtId="0" fontId="4" fillId="7" borderId="29" xfId="0" applyFont="1" applyFill="1" applyBorder="1"/>
    <xf numFmtId="0" fontId="4" fillId="7" borderId="10" xfId="0" applyFont="1" applyFill="1" applyBorder="1" applyAlignment="1">
      <alignment horizontal="center"/>
    </xf>
    <xf numFmtId="14" fontId="4" fillId="7" borderId="23" xfId="0" applyNumberFormat="1" applyFont="1" applyFill="1" applyBorder="1" applyAlignment="1">
      <alignment horizontal="center"/>
    </xf>
    <xf numFmtId="164" fontId="4" fillId="7" borderId="0" xfId="0" applyNumberFormat="1" applyFont="1" applyFill="1" applyBorder="1"/>
    <xf numFmtId="2" fontId="4" fillId="7" borderId="23" xfId="0" applyNumberFormat="1" applyFont="1" applyFill="1" applyBorder="1"/>
    <xf numFmtId="2" fontId="4" fillId="7" borderId="0" xfId="0" applyNumberFormat="1" applyFont="1" applyFill="1" applyBorder="1"/>
    <xf numFmtId="2" fontId="4" fillId="7" borderId="10" xfId="0" applyNumberFormat="1" applyFont="1" applyFill="1" applyBorder="1"/>
    <xf numFmtId="2" fontId="4" fillId="7" borderId="30" xfId="0" applyNumberFormat="1" applyFont="1" applyFill="1" applyBorder="1"/>
    <xf numFmtId="2" fontId="4" fillId="7" borderId="31" xfId="0" applyNumberFormat="1" applyFont="1" applyFill="1" applyBorder="1"/>
    <xf numFmtId="2" fontId="3" fillId="7" borderId="0" xfId="0" applyNumberFormat="1" applyFont="1" applyFill="1" applyBorder="1"/>
    <xf numFmtId="0" fontId="4" fillId="7" borderId="31" xfId="0" applyFont="1" applyFill="1" applyBorder="1"/>
    <xf numFmtId="2" fontId="2" fillId="0" borderId="0" xfId="0" applyNumberFormat="1" applyFont="1" applyFill="1" applyBorder="1"/>
    <xf numFmtId="2" fontId="3" fillId="7" borderId="0" xfId="0" quotePrefix="1" applyNumberFormat="1" applyFont="1" applyFill="1" applyBorder="1"/>
    <xf numFmtId="14" fontId="10" fillId="2" borderId="23" xfId="0" applyNumberFormat="1" applyFont="1" applyFill="1" applyBorder="1" applyAlignment="1">
      <alignment horizontal="center"/>
    </xf>
    <xf numFmtId="2" fontId="8" fillId="2" borderId="31" xfId="0" applyNumberFormat="1" applyFont="1" applyFill="1" applyBorder="1"/>
    <xf numFmtId="2" fontId="13" fillId="0" borderId="0" xfId="0" applyNumberFormat="1" applyFont="1" applyFill="1" applyBorder="1"/>
    <xf numFmtId="2" fontId="11" fillId="0" borderId="0" xfId="0" applyNumberFormat="1" applyFont="1" applyFill="1" applyBorder="1"/>
    <xf numFmtId="2" fontId="10" fillId="0" borderId="0" xfId="0" applyNumberFormat="1" applyFont="1" applyFill="1" applyBorder="1"/>
    <xf numFmtId="0" fontId="10" fillId="0" borderId="0" xfId="0" applyFont="1" applyFill="1" applyBorder="1"/>
    <xf numFmtId="0" fontId="4" fillId="5" borderId="10" xfId="0" quotePrefix="1" applyFont="1" applyFill="1" applyBorder="1" applyAlignment="1">
      <alignment horizontal="center"/>
    </xf>
    <xf numFmtId="0" fontId="3" fillId="5" borderId="11" xfId="0" applyFont="1" applyFill="1" applyBorder="1"/>
    <xf numFmtId="2" fontId="5" fillId="5" borderId="10" xfId="0" applyNumberFormat="1" applyFont="1" applyFill="1" applyBorder="1"/>
    <xf numFmtId="0" fontId="4" fillId="5" borderId="10" xfId="0" applyFont="1" applyFill="1" applyBorder="1"/>
    <xf numFmtId="0" fontId="4" fillId="5" borderId="10" xfId="0" applyFont="1" applyFill="1" applyBorder="1" applyAlignment="1">
      <alignment horizontal="left"/>
    </xf>
    <xf numFmtId="2" fontId="8" fillId="8" borderId="0" xfId="0" applyNumberFormat="1" applyFont="1" applyFill="1" applyBorder="1"/>
    <xf numFmtId="0" fontId="2" fillId="5" borderId="11" xfId="0" quotePrefix="1" applyFont="1" applyFill="1" applyBorder="1"/>
    <xf numFmtId="2" fontId="14" fillId="5" borderId="0" xfId="0" applyNumberFormat="1" applyFont="1" applyFill="1" applyBorder="1"/>
    <xf numFmtId="0" fontId="15" fillId="5" borderId="11" xfId="0" applyFont="1" applyFill="1" applyBorder="1"/>
    <xf numFmtId="167" fontId="4" fillId="5" borderId="0" xfId="0" applyNumberFormat="1" applyFont="1" applyFill="1" applyBorder="1"/>
    <xf numFmtId="2" fontId="16" fillId="5" borderId="10" xfId="0" applyNumberFormat="1" applyFont="1" applyFill="1" applyBorder="1"/>
    <xf numFmtId="0" fontId="15" fillId="5" borderId="0" xfId="0" applyFont="1" applyFill="1" applyBorder="1"/>
    <xf numFmtId="0" fontId="15" fillId="0" borderId="0" xfId="0" applyFont="1" applyBorder="1"/>
    <xf numFmtId="0" fontId="5" fillId="0" borderId="0" xfId="0" applyFont="1" applyFill="1" applyBorder="1"/>
    <xf numFmtId="0" fontId="5" fillId="0" borderId="0" xfId="0" quotePrefix="1" applyFont="1" applyFill="1" applyBorder="1"/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3" fillId="3" borderId="26" xfId="0" applyFont="1" applyFill="1" applyBorder="1" applyAlignment="1">
      <alignment horizontal="center" wrapText="1"/>
    </xf>
    <xf numFmtId="2" fontId="3" fillId="3" borderId="26" xfId="0" applyNumberFormat="1" applyFont="1" applyFill="1" applyBorder="1" applyAlignment="1">
      <alignment horizontal="center" wrapText="1"/>
    </xf>
    <xf numFmtId="0" fontId="3" fillId="2" borderId="36" xfId="0" applyFont="1" applyFill="1" applyBorder="1" applyAlignment="1">
      <alignment horizontal="center" wrapText="1"/>
    </xf>
    <xf numFmtId="0" fontId="7" fillId="7" borderId="10" xfId="0" applyFont="1" applyFill="1" applyBorder="1" applyAlignment="1">
      <alignment horizontal="center" wrapText="1"/>
    </xf>
    <xf numFmtId="14" fontId="8" fillId="7" borderId="23" xfId="0" applyNumberFormat="1" applyFont="1" applyFill="1" applyBorder="1" applyAlignment="1">
      <alignment wrapText="1"/>
    </xf>
    <xf numFmtId="164" fontId="7" fillId="7" borderId="0" xfId="0" applyNumberFormat="1" applyFont="1" applyFill="1" applyBorder="1" applyAlignment="1">
      <alignment wrapText="1"/>
    </xf>
    <xf numFmtId="0" fontId="7" fillId="7" borderId="0" xfId="0" applyFont="1" applyFill="1" applyBorder="1"/>
    <xf numFmtId="0" fontId="4" fillId="7" borderId="6" xfId="0" applyFont="1" applyFill="1" applyBorder="1" applyAlignment="1">
      <alignment wrapText="1"/>
    </xf>
    <xf numFmtId="2" fontId="4" fillId="7" borderId="6" xfId="0" applyNumberFormat="1" applyFont="1" applyFill="1" applyBorder="1" applyAlignment="1">
      <alignment wrapText="1"/>
    </xf>
    <xf numFmtId="0" fontId="4" fillId="7" borderId="37" xfId="0" applyFont="1" applyFill="1" applyBorder="1" applyAlignment="1">
      <alignment wrapText="1"/>
    </xf>
    <xf numFmtId="0" fontId="4" fillId="7" borderId="10" xfId="0" applyFont="1" applyFill="1" applyBorder="1"/>
    <xf numFmtId="0" fontId="4" fillId="7" borderId="28" xfId="0" applyFont="1" applyFill="1" applyBorder="1"/>
    <xf numFmtId="0" fontId="4" fillId="7" borderId="38" xfId="0" applyFont="1" applyFill="1" applyBorder="1"/>
    <xf numFmtId="2" fontId="4" fillId="7" borderId="11" xfId="0" applyNumberFormat="1" applyFont="1" applyFill="1" applyBorder="1"/>
    <xf numFmtId="2" fontId="4" fillId="7" borderId="39" xfId="0" applyNumberFormat="1" applyFont="1" applyFill="1" applyBorder="1"/>
    <xf numFmtId="0" fontId="4" fillId="7" borderId="30" xfId="0" applyFont="1" applyFill="1" applyBorder="1"/>
    <xf numFmtId="2" fontId="4" fillId="7" borderId="40" xfId="0" applyNumberFormat="1" applyFont="1" applyFill="1" applyBorder="1"/>
    <xf numFmtId="0" fontId="4" fillId="7" borderId="40" xfId="0" applyFont="1" applyFill="1" applyBorder="1"/>
    <xf numFmtId="2" fontId="4" fillId="7" borderId="10" xfId="0" quotePrefix="1" applyNumberFormat="1" applyFont="1" applyFill="1" applyBorder="1"/>
    <xf numFmtId="14" fontId="3" fillId="7" borderId="23" xfId="0" applyNumberFormat="1" applyFont="1" applyFill="1" applyBorder="1" applyAlignment="1">
      <alignment horizontal="center"/>
    </xf>
    <xf numFmtId="2" fontId="8" fillId="8" borderId="30" xfId="0" applyNumberFormat="1" applyFont="1" applyFill="1" applyBorder="1"/>
    <xf numFmtId="2" fontId="12" fillId="2" borderId="11" xfId="0" applyNumberFormat="1" applyFont="1" applyFill="1" applyBorder="1"/>
    <xf numFmtId="2" fontId="12" fillId="3" borderId="11" xfId="0" applyNumberFormat="1" applyFont="1" applyFill="1" applyBorder="1"/>
    <xf numFmtId="2" fontId="10" fillId="2" borderId="10" xfId="0" applyNumberFormat="1" applyFont="1" applyFill="1" applyBorder="1"/>
    <xf numFmtId="2" fontId="10" fillId="2" borderId="39" xfId="0" applyNumberFormat="1" applyFont="1" applyFill="1" applyBorder="1"/>
    <xf numFmtId="2" fontId="8" fillId="3" borderId="30" xfId="0" applyNumberFormat="1" applyFont="1" applyFill="1" applyBorder="1"/>
    <xf numFmtId="0" fontId="2" fillId="2" borderId="30" xfId="0" applyFont="1" applyFill="1" applyBorder="1"/>
    <xf numFmtId="2" fontId="16" fillId="3" borderId="40" xfId="0" applyNumberFormat="1" applyFont="1" applyFill="1" applyBorder="1"/>
    <xf numFmtId="2" fontId="16" fillId="2" borderId="40" xfId="0" applyNumberFormat="1" applyFont="1" applyFill="1" applyBorder="1"/>
    <xf numFmtId="2" fontId="4" fillId="2" borderId="31" xfId="0" applyNumberFormat="1" applyFont="1" applyFill="1" applyBorder="1"/>
    <xf numFmtId="0" fontId="10" fillId="2" borderId="40" xfId="0" applyFont="1" applyFill="1" applyBorder="1" applyAlignment="1">
      <alignment horizontal="right"/>
    </xf>
    <xf numFmtId="2" fontId="12" fillId="3" borderId="30" xfId="0" applyNumberFormat="1" applyFont="1" applyFill="1" applyBorder="1"/>
    <xf numFmtId="2" fontId="12" fillId="2" borderId="39" xfId="0" applyNumberFormat="1" applyFont="1" applyFill="1" applyBorder="1"/>
    <xf numFmtId="2" fontId="3" fillId="3" borderId="40" xfId="0" applyNumberFormat="1" applyFont="1" applyFill="1" applyBorder="1"/>
    <xf numFmtId="0" fontId="10" fillId="2" borderId="40" xfId="0" applyFont="1" applyFill="1" applyBorder="1"/>
    <xf numFmtId="2" fontId="4" fillId="3" borderId="30" xfId="0" applyNumberFormat="1" applyFont="1" applyFill="1" applyBorder="1"/>
    <xf numFmtId="2" fontId="4" fillId="2" borderId="39" xfId="0" applyNumberFormat="1" applyFont="1" applyFill="1" applyBorder="1"/>
    <xf numFmtId="14" fontId="11" fillId="2" borderId="24" xfId="0" applyNumberFormat="1" applyFont="1" applyFill="1" applyBorder="1" applyAlignment="1">
      <alignment horizontal="center"/>
    </xf>
    <xf numFmtId="2" fontId="12" fillId="2" borderId="21" xfId="0" applyNumberFormat="1" applyFont="1" applyFill="1" applyBorder="1"/>
    <xf numFmtId="2" fontId="4" fillId="3" borderId="32" xfId="0" applyNumberFormat="1" applyFont="1" applyFill="1" applyBorder="1"/>
    <xf numFmtId="2" fontId="12" fillId="3" borderId="21" xfId="0" applyNumberFormat="1" applyFont="1" applyFill="1" applyBorder="1"/>
    <xf numFmtId="2" fontId="10" fillId="2" borderId="19" xfId="0" applyNumberFormat="1" applyFont="1" applyFill="1" applyBorder="1"/>
    <xf numFmtId="2" fontId="4" fillId="2" borderId="41" xfId="0" applyNumberFormat="1" applyFont="1" applyFill="1" applyBorder="1"/>
    <xf numFmtId="0" fontId="2" fillId="2" borderId="32" xfId="0" applyFont="1" applyFill="1" applyBorder="1"/>
    <xf numFmtId="2" fontId="16" fillId="3" borderId="42" xfId="0" applyNumberFormat="1" applyFont="1" applyFill="1" applyBorder="1"/>
    <xf numFmtId="2" fontId="16" fillId="2" borderId="42" xfId="0" applyNumberFormat="1" applyFont="1" applyFill="1" applyBorder="1"/>
    <xf numFmtId="2" fontId="4" fillId="2" borderId="33" xfId="0" applyNumberFormat="1" applyFont="1" applyFill="1" applyBorder="1"/>
    <xf numFmtId="2" fontId="3" fillId="3" borderId="42" xfId="0" applyNumberFormat="1" applyFont="1" applyFill="1" applyBorder="1"/>
    <xf numFmtId="0" fontId="10" fillId="2" borderId="42" xfId="0" applyFont="1" applyFill="1" applyBorder="1"/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/>
    <xf numFmtId="0" fontId="2" fillId="6" borderId="10" xfId="0" quotePrefix="1" applyFont="1" applyFill="1" applyBorder="1" applyAlignment="1">
      <alignment horizontal="center"/>
    </xf>
    <xf numFmtId="2" fontId="8" fillId="9" borderId="0" xfId="0" applyNumberFormat="1" applyFont="1" applyFill="1" applyBorder="1"/>
    <xf numFmtId="0" fontId="17" fillId="6" borderId="0" xfId="0" applyFont="1" applyFill="1" applyBorder="1"/>
    <xf numFmtId="2" fontId="14" fillId="6" borderId="0" xfId="0" applyNumberFormat="1" applyFont="1" applyFill="1" applyBorder="1"/>
    <xf numFmtId="2" fontId="4" fillId="6" borderId="11" xfId="0" applyNumberFormat="1" applyFont="1" applyFill="1" applyBorder="1"/>
    <xf numFmtId="0" fontId="4" fillId="6" borderId="0" xfId="0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center"/>
    </xf>
    <xf numFmtId="166" fontId="4" fillId="0" borderId="0" xfId="0" applyNumberFormat="1" applyFont="1" applyFill="1" applyBorder="1"/>
    <xf numFmtId="2" fontId="10" fillId="0" borderId="0" xfId="0" applyNumberFormat="1" applyFont="1" applyFill="1" applyBorder="1" applyAlignment="1"/>
    <xf numFmtId="0" fontId="4" fillId="7" borderId="0" xfId="0" applyFont="1" applyFill="1" applyBorder="1"/>
    <xf numFmtId="0" fontId="4" fillId="7" borderId="6" xfId="0" applyFont="1" applyFill="1" applyBorder="1"/>
    <xf numFmtId="0" fontId="4" fillId="7" borderId="45" xfId="0" applyFont="1" applyFill="1" applyBorder="1"/>
    <xf numFmtId="0" fontId="4" fillId="0" borderId="0" xfId="0" applyFont="1"/>
    <xf numFmtId="0" fontId="4" fillId="0" borderId="0" xfId="0" applyFont="1" applyBorder="1"/>
    <xf numFmtId="0" fontId="4" fillId="7" borderId="11" xfId="0" applyFont="1" applyFill="1" applyBorder="1"/>
    <xf numFmtId="0" fontId="4" fillId="7" borderId="46" xfId="0" applyFont="1" applyFill="1" applyBorder="1"/>
    <xf numFmtId="2" fontId="8" fillId="9" borderId="30" xfId="0" applyNumberFormat="1" applyFont="1" applyFill="1" applyBorder="1"/>
    <xf numFmtId="0" fontId="2" fillId="2" borderId="11" xfId="0" applyFont="1" applyFill="1" applyBorder="1"/>
    <xf numFmtId="2" fontId="8" fillId="9" borderId="31" xfId="0" applyNumberFormat="1" applyFont="1" applyFill="1" applyBorder="1"/>
    <xf numFmtId="2" fontId="10" fillId="2" borderId="40" xfId="0" applyNumberFormat="1" applyFont="1" applyFill="1" applyBorder="1"/>
    <xf numFmtId="2" fontId="10" fillId="2" borderId="46" xfId="0" applyNumberFormat="1" applyFont="1" applyFill="1" applyBorder="1" applyAlignment="1">
      <alignment horizontal="right"/>
    </xf>
    <xf numFmtId="0" fontId="10" fillId="2" borderId="46" xfId="0" applyFont="1" applyFill="1" applyBorder="1" applyAlignment="1">
      <alignment horizontal="right"/>
    </xf>
    <xf numFmtId="2" fontId="8" fillId="2" borderId="11" xfId="0" applyNumberFormat="1" applyFont="1" applyFill="1" applyBorder="1"/>
    <xf numFmtId="2" fontId="4" fillId="2" borderId="40" xfId="0" applyNumberFormat="1" applyFont="1" applyFill="1" applyBorder="1"/>
    <xf numFmtId="0" fontId="10" fillId="2" borderId="46" xfId="0" applyFont="1" applyFill="1" applyBorder="1"/>
    <xf numFmtId="0" fontId="10" fillId="2" borderId="10" xfId="0" applyFont="1" applyFill="1" applyBorder="1"/>
    <xf numFmtId="2" fontId="10" fillId="2" borderId="42" xfId="0" applyNumberFormat="1" applyFont="1" applyFill="1" applyBorder="1"/>
    <xf numFmtId="2" fontId="10" fillId="2" borderId="47" xfId="0" applyNumberFormat="1" applyFont="1" applyFill="1" applyBorder="1"/>
    <xf numFmtId="166" fontId="3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center"/>
    </xf>
    <xf numFmtId="2" fontId="8" fillId="10" borderId="0" xfId="0" applyNumberFormat="1" applyFont="1" applyFill="1" applyBorder="1"/>
    <xf numFmtId="0" fontId="4" fillId="6" borderId="0" xfId="0" applyFont="1" applyFill="1" applyBorder="1" applyAlignment="1"/>
    <xf numFmtId="166" fontId="4" fillId="6" borderId="0" xfId="0" applyNumberFormat="1" applyFont="1" applyFill="1" applyBorder="1"/>
    <xf numFmtId="166" fontId="4" fillId="5" borderId="0" xfId="0" applyNumberFormat="1" applyFont="1" applyFill="1" applyBorder="1"/>
    <xf numFmtId="2" fontId="10" fillId="5" borderId="0" xfId="0" applyNumberFormat="1" applyFont="1" applyFill="1" applyBorder="1" applyAlignment="1"/>
    <xf numFmtId="0" fontId="2" fillId="0" borderId="0" xfId="0" applyFont="1" applyFill="1"/>
    <xf numFmtId="2" fontId="8" fillId="10" borderId="31" xfId="0" applyNumberFormat="1" applyFont="1" applyFill="1" applyBorder="1"/>
    <xf numFmtId="2" fontId="10" fillId="2" borderId="46" xfId="0" applyNumberFormat="1" applyFont="1" applyFill="1" applyBorder="1"/>
    <xf numFmtId="2" fontId="8" fillId="10" borderId="30" xfId="0" applyNumberFormat="1" applyFont="1" applyFill="1" applyBorder="1"/>
    <xf numFmtId="0" fontId="3" fillId="0" borderId="0" xfId="0" applyFont="1" applyBorder="1"/>
    <xf numFmtId="0" fontId="14" fillId="5" borderId="0" xfId="0" applyFont="1" applyFill="1" applyBorder="1"/>
    <xf numFmtId="2" fontId="10" fillId="5" borderId="11" xfId="0" applyNumberFormat="1" applyFont="1" applyFill="1" applyBorder="1" applyAlignment="1"/>
    <xf numFmtId="2" fontId="10" fillId="5" borderId="11" xfId="0" applyNumberFormat="1" applyFont="1" applyFill="1" applyBorder="1"/>
    <xf numFmtId="0" fontId="2" fillId="5" borderId="10" xfId="0" quotePrefix="1" applyFont="1" applyFill="1" applyBorder="1" applyAlignment="1">
      <alignment horizontal="center"/>
    </xf>
    <xf numFmtId="2" fontId="2" fillId="0" borderId="0" xfId="0" applyNumberFormat="1" applyFont="1" applyBorder="1"/>
    <xf numFmtId="0" fontId="5" fillId="0" borderId="0" xfId="0" quotePrefix="1" applyFont="1" applyBorder="1" applyAlignment="1">
      <alignment horizontal="center"/>
    </xf>
    <xf numFmtId="2" fontId="4" fillId="7" borderId="46" xfId="0" applyNumberFormat="1" applyFont="1" applyFill="1" applyBorder="1"/>
    <xf numFmtId="2" fontId="12" fillId="7" borderId="11" xfId="0" applyNumberFormat="1" applyFont="1" applyFill="1" applyBorder="1"/>
    <xf numFmtId="0" fontId="2" fillId="7" borderId="11" xfId="0" applyFont="1" applyFill="1" applyBorder="1"/>
    <xf numFmtId="2" fontId="16" fillId="7" borderId="40" xfId="0" applyNumberFormat="1" applyFont="1" applyFill="1" applyBorder="1"/>
    <xf numFmtId="2" fontId="8" fillId="7" borderId="31" xfId="0" applyNumberFormat="1" applyFont="1" applyFill="1" applyBorder="1"/>
    <xf numFmtId="2" fontId="10" fillId="7" borderId="40" xfId="0" applyNumberFormat="1" applyFont="1" applyFill="1" applyBorder="1"/>
    <xf numFmtId="2" fontId="10" fillId="3" borderId="40" xfId="0" applyNumberFormat="1" applyFont="1" applyFill="1" applyBorder="1" applyAlignment="1">
      <alignment horizontal="right"/>
    </xf>
    <xf numFmtId="0" fontId="18" fillId="3" borderId="10" xfId="0" applyFont="1" applyFill="1" applyBorder="1" applyAlignment="1">
      <alignment horizontal="center"/>
    </xf>
    <xf numFmtId="14" fontId="19" fillId="2" borderId="23" xfId="0" applyNumberFormat="1" applyFont="1" applyFill="1" applyBorder="1" applyAlignment="1">
      <alignment horizontal="center"/>
    </xf>
    <xf numFmtId="164" fontId="18" fillId="3" borderId="0" xfId="0" applyNumberFormat="1" applyFont="1" applyFill="1" applyBorder="1"/>
    <xf numFmtId="2" fontId="18" fillId="2" borderId="23" xfId="0" applyNumberFormat="1" applyFont="1" applyFill="1" applyBorder="1"/>
    <xf numFmtId="2" fontId="18" fillId="3" borderId="0" xfId="0" applyNumberFormat="1" applyFont="1" applyFill="1" applyBorder="1"/>
    <xf numFmtId="2" fontId="18" fillId="2" borderId="10" xfId="0" applyNumberFormat="1" applyFont="1" applyFill="1" applyBorder="1"/>
    <xf numFmtId="2" fontId="18" fillId="2" borderId="30" xfId="0" applyNumberFormat="1" applyFont="1" applyFill="1" applyBorder="1"/>
    <xf numFmtId="2" fontId="18" fillId="2" borderId="11" xfId="0" applyNumberFormat="1" applyFont="1" applyFill="1" applyBorder="1"/>
    <xf numFmtId="2" fontId="18" fillId="3" borderId="30" xfId="0" applyNumberFormat="1" applyFont="1" applyFill="1" applyBorder="1"/>
    <xf numFmtId="2" fontId="18" fillId="3" borderId="11" xfId="0" applyNumberFormat="1" applyFont="1" applyFill="1" applyBorder="1"/>
    <xf numFmtId="2" fontId="19" fillId="2" borderId="10" xfId="0" applyNumberFormat="1" applyFont="1" applyFill="1" applyBorder="1"/>
    <xf numFmtId="0" fontId="19" fillId="2" borderId="10" xfId="0" applyFont="1" applyFill="1" applyBorder="1"/>
    <xf numFmtId="0" fontId="18" fillId="2" borderId="30" xfId="0" applyFont="1" applyFill="1" applyBorder="1"/>
    <xf numFmtId="0" fontId="18" fillId="2" borderId="11" xfId="0" applyFont="1" applyFill="1" applyBorder="1"/>
    <xf numFmtId="2" fontId="19" fillId="3" borderId="40" xfId="0" applyNumberFormat="1" applyFont="1" applyFill="1" applyBorder="1"/>
    <xf numFmtId="2" fontId="18" fillId="3" borderId="31" xfId="0" applyNumberFormat="1" applyFont="1" applyFill="1" applyBorder="1"/>
    <xf numFmtId="2" fontId="18" fillId="2" borderId="40" xfId="0" applyNumberFormat="1" applyFont="1" applyFill="1" applyBorder="1"/>
    <xf numFmtId="2" fontId="18" fillId="2" borderId="31" xfId="0" applyNumberFormat="1" applyFont="1" applyFill="1" applyBorder="1"/>
    <xf numFmtId="0" fontId="19" fillId="2" borderId="40" xfId="0" applyFont="1" applyFill="1" applyBorder="1"/>
    <xf numFmtId="0" fontId="19" fillId="2" borderId="46" xfId="0" applyFont="1" applyFill="1" applyBorder="1"/>
    <xf numFmtId="0" fontId="18" fillId="3" borderId="19" xfId="0" applyFont="1" applyFill="1" applyBorder="1" applyAlignment="1">
      <alignment horizontal="center"/>
    </xf>
    <xf numFmtId="14" fontId="19" fillId="2" borderId="24" xfId="0" applyNumberFormat="1" applyFont="1" applyFill="1" applyBorder="1" applyAlignment="1">
      <alignment horizontal="center"/>
    </xf>
    <xf numFmtId="164" fontId="18" fillId="3" borderId="20" xfId="0" applyNumberFormat="1" applyFont="1" applyFill="1" applyBorder="1"/>
    <xf numFmtId="2" fontId="18" fillId="2" borderId="24" xfId="0" applyNumberFormat="1" applyFont="1" applyFill="1" applyBorder="1"/>
    <xf numFmtId="2" fontId="18" fillId="3" borderId="20" xfId="0" applyNumberFormat="1" applyFont="1" applyFill="1" applyBorder="1"/>
    <xf numFmtId="2" fontId="18" fillId="2" borderId="19" xfId="0" applyNumberFormat="1" applyFont="1" applyFill="1" applyBorder="1"/>
    <xf numFmtId="2" fontId="18" fillId="2" borderId="32" xfId="0" applyNumberFormat="1" applyFont="1" applyFill="1" applyBorder="1"/>
    <xf numFmtId="2" fontId="18" fillId="2" borderId="21" xfId="0" applyNumberFormat="1" applyFont="1" applyFill="1" applyBorder="1"/>
    <xf numFmtId="2" fontId="18" fillId="3" borderId="32" xfId="0" applyNumberFormat="1" applyFont="1" applyFill="1" applyBorder="1"/>
    <xf numFmtId="2" fontId="18" fillId="3" borderId="21" xfId="0" applyNumberFormat="1" applyFont="1" applyFill="1" applyBorder="1"/>
    <xf numFmtId="2" fontId="19" fillId="2" borderId="19" xfId="0" applyNumberFormat="1" applyFont="1" applyFill="1" applyBorder="1"/>
    <xf numFmtId="0" fontId="18" fillId="2" borderId="32" xfId="0" applyFont="1" applyFill="1" applyBorder="1"/>
    <xf numFmtId="2" fontId="19" fillId="3" borderId="42" xfId="0" applyNumberFormat="1" applyFont="1" applyFill="1" applyBorder="1"/>
    <xf numFmtId="2" fontId="18" fillId="3" borderId="33" xfId="0" applyNumberFormat="1" applyFont="1" applyFill="1" applyBorder="1"/>
    <xf numFmtId="2" fontId="19" fillId="2" borderId="42" xfId="0" applyNumberFormat="1" applyFont="1" applyFill="1" applyBorder="1"/>
    <xf numFmtId="2" fontId="18" fillId="2" borderId="33" xfId="0" applyNumberFormat="1" applyFont="1" applyFill="1" applyBorder="1"/>
    <xf numFmtId="2" fontId="19" fillId="2" borderId="47" xfId="0" applyNumberFormat="1" applyFont="1" applyFill="1" applyBorder="1"/>
    <xf numFmtId="0" fontId="7" fillId="7" borderId="23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7" fillId="7" borderId="10" xfId="0" applyFont="1" applyFill="1" applyBorder="1" applyAlignment="1">
      <alignment wrapText="1"/>
    </xf>
    <xf numFmtId="0" fontId="7" fillId="7" borderId="28" xfId="0" applyFont="1" applyFill="1" applyBorder="1" applyAlignment="1">
      <alignment wrapText="1"/>
    </xf>
    <xf numFmtId="0" fontId="7" fillId="7" borderId="6" xfId="0" applyFont="1" applyFill="1" applyBorder="1" applyAlignment="1">
      <alignment wrapText="1"/>
    </xf>
    <xf numFmtId="2" fontId="7" fillId="7" borderId="6" xfId="0" applyNumberFormat="1" applyFont="1" applyFill="1" applyBorder="1" applyAlignment="1">
      <alignment wrapText="1"/>
    </xf>
    <xf numFmtId="0" fontId="10" fillId="7" borderId="10" xfId="0" applyFont="1" applyFill="1" applyBorder="1" applyAlignment="1">
      <alignment wrapText="1"/>
    </xf>
    <xf numFmtId="0" fontId="10" fillId="7" borderId="10" xfId="0" applyFont="1" applyFill="1" applyBorder="1"/>
    <xf numFmtId="0" fontId="7" fillId="7" borderId="28" xfId="0" applyFont="1" applyFill="1" applyBorder="1"/>
    <xf numFmtId="0" fontId="7" fillId="7" borderId="6" xfId="0" applyFont="1" applyFill="1" applyBorder="1"/>
    <xf numFmtId="0" fontId="20" fillId="7" borderId="38" xfId="0" applyFont="1" applyFill="1" applyBorder="1"/>
    <xf numFmtId="0" fontId="7" fillId="7" borderId="29" xfId="0" applyFont="1" applyFill="1" applyBorder="1"/>
    <xf numFmtId="0" fontId="7" fillId="7" borderId="38" xfId="0" applyFont="1" applyFill="1" applyBorder="1"/>
    <xf numFmtId="0" fontId="10" fillId="7" borderId="38" xfId="0" applyFont="1" applyFill="1" applyBorder="1"/>
    <xf numFmtId="0" fontId="10" fillId="7" borderId="45" xfId="0" applyFont="1" applyFill="1" applyBorder="1"/>
    <xf numFmtId="14" fontId="8" fillId="7" borderId="23" xfId="0" applyNumberFormat="1" applyFont="1" applyFill="1" applyBorder="1" applyAlignment="1">
      <alignment horizontal="center"/>
    </xf>
    <xf numFmtId="2" fontId="8" fillId="7" borderId="30" xfId="0" applyNumberFormat="1" applyFont="1" applyFill="1" applyBorder="1"/>
    <xf numFmtId="2" fontId="8" fillId="7" borderId="11" xfId="0" applyNumberFormat="1" applyFont="1" applyFill="1" applyBorder="1"/>
    <xf numFmtId="2" fontId="10" fillId="7" borderId="10" xfId="0" applyNumberFormat="1" applyFont="1" applyFill="1" applyBorder="1"/>
    <xf numFmtId="0" fontId="2" fillId="7" borderId="30" xfId="0" applyFont="1" applyFill="1" applyBorder="1"/>
    <xf numFmtId="2" fontId="3" fillId="7" borderId="40" xfId="0" applyNumberFormat="1" applyFont="1" applyFill="1" applyBorder="1"/>
    <xf numFmtId="0" fontId="10" fillId="7" borderId="40" xfId="0" applyFont="1" applyFill="1" applyBorder="1"/>
    <xf numFmtId="0" fontId="10" fillId="7" borderId="46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0" xfId="0" applyFont="1" applyBorder="1"/>
    <xf numFmtId="2" fontId="10" fillId="7" borderId="10" xfId="0" quotePrefix="1" applyNumberFormat="1" applyFont="1" applyFill="1" applyBorder="1"/>
    <xf numFmtId="14" fontId="10" fillId="7" borderId="23" xfId="0" applyNumberFormat="1" applyFont="1" applyFill="1" applyBorder="1" applyAlignment="1">
      <alignment horizontal="center"/>
    </xf>
    <xf numFmtId="14" fontId="11" fillId="7" borderId="23" xfId="0" applyNumberFormat="1" applyFont="1" applyFill="1" applyBorder="1" applyAlignment="1">
      <alignment horizontal="center"/>
    </xf>
    <xf numFmtId="2" fontId="12" fillId="7" borderId="30" xfId="0" applyNumberFormat="1" applyFont="1" applyFill="1" applyBorder="1"/>
    <xf numFmtId="2" fontId="10" fillId="7" borderId="46" xfId="0" applyNumberFormat="1" applyFont="1" applyFill="1" applyBorder="1"/>
    <xf numFmtId="2" fontId="12" fillId="7" borderId="39" xfId="0" applyNumberFormat="1" applyFont="1" applyFill="1" applyBorder="1"/>
    <xf numFmtId="2" fontId="18" fillId="7" borderId="30" xfId="0" applyNumberFormat="1" applyFont="1" applyFill="1" applyBorder="1"/>
    <xf numFmtId="2" fontId="18" fillId="7" borderId="11" xfId="0" applyNumberFormat="1" applyFont="1" applyFill="1" applyBorder="1"/>
    <xf numFmtId="2" fontId="18" fillId="7" borderId="0" xfId="0" applyNumberFormat="1" applyFont="1" applyFill="1" applyBorder="1"/>
    <xf numFmtId="2" fontId="19" fillId="7" borderId="10" xfId="0" applyNumberFormat="1" applyFont="1" applyFill="1" applyBorder="1"/>
    <xf numFmtId="2" fontId="18" fillId="7" borderId="39" xfId="0" applyNumberFormat="1" applyFont="1" applyFill="1" applyBorder="1"/>
    <xf numFmtId="0" fontId="19" fillId="7" borderId="10" xfId="0" applyFont="1" applyFill="1" applyBorder="1"/>
    <xf numFmtId="0" fontId="18" fillId="7" borderId="30" xfId="0" applyFont="1" applyFill="1" applyBorder="1"/>
    <xf numFmtId="0" fontId="18" fillId="7" borderId="11" xfId="0" applyFont="1" applyFill="1" applyBorder="1"/>
    <xf numFmtId="0" fontId="18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Border="1"/>
    <xf numFmtId="2" fontId="4" fillId="7" borderId="19" xfId="0" applyNumberFormat="1" applyFont="1" applyFill="1" applyBorder="1"/>
    <xf numFmtId="2" fontId="18" fillId="7" borderId="32" xfId="0" applyNumberFormat="1" applyFont="1" applyFill="1" applyBorder="1"/>
    <xf numFmtId="2" fontId="18" fillId="7" borderId="21" xfId="0" applyNumberFormat="1" applyFont="1" applyFill="1" applyBorder="1"/>
    <xf numFmtId="2" fontId="18" fillId="7" borderId="20" xfId="0" applyNumberFormat="1" applyFont="1" applyFill="1" applyBorder="1"/>
    <xf numFmtId="2" fontId="19" fillId="7" borderId="19" xfId="0" applyNumberFormat="1" applyFont="1" applyFill="1" applyBorder="1"/>
    <xf numFmtId="2" fontId="18" fillId="7" borderId="41" xfId="0" applyNumberFormat="1" applyFont="1" applyFill="1" applyBorder="1"/>
    <xf numFmtId="2" fontId="4" fillId="7" borderId="20" xfId="0" applyNumberFormat="1" applyFont="1" applyFill="1" applyBorder="1"/>
    <xf numFmtId="0" fontId="18" fillId="7" borderId="32" xfId="0" applyFont="1" applyFill="1" applyBorder="1"/>
    <xf numFmtId="2" fontId="10" fillId="7" borderId="39" xfId="0" applyNumberFormat="1" applyFont="1" applyFill="1" applyBorder="1"/>
    <xf numFmtId="0" fontId="4" fillId="7" borderId="5" xfId="0" applyFont="1" applyFill="1" applyBorder="1" applyAlignment="1">
      <alignment wrapText="1"/>
    </xf>
    <xf numFmtId="2" fontId="12" fillId="2" borderId="0" xfId="0" applyNumberFormat="1" applyFont="1" applyFill="1" applyBorder="1"/>
    <xf numFmtId="2" fontId="4" fillId="2" borderId="0" xfId="0" applyNumberFormat="1" applyFont="1" applyFill="1" applyBorder="1"/>
    <xf numFmtId="2" fontId="4" fillId="2" borderId="20" xfId="0" applyNumberFormat="1" applyFont="1" applyFill="1" applyBorder="1"/>
    <xf numFmtId="2" fontId="12" fillId="7" borderId="0" xfId="0" applyNumberFormat="1" applyFont="1" applyFill="1" applyBorder="1"/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2" fontId="12" fillId="3" borderId="0" xfId="0" applyNumberFormat="1" applyFont="1" applyFill="1" applyBorder="1"/>
    <xf numFmtId="0" fontId="7" fillId="7" borderId="5" xfId="0" applyFont="1" applyFill="1" applyBorder="1" applyAlignment="1">
      <alignment wrapText="1"/>
    </xf>
    <xf numFmtId="2" fontId="8" fillId="7" borderId="0" xfId="0" applyNumberFormat="1" applyFont="1" applyFill="1" applyBorder="1"/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164" fontId="3" fillId="3" borderId="5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2" fillId="0" borderId="0" xfId="0" quotePrefix="1" applyFont="1" applyBorder="1"/>
    <xf numFmtId="2" fontId="5" fillId="0" borderId="0" xfId="0" applyNumberFormat="1" applyFont="1" applyBorder="1"/>
    <xf numFmtId="0" fontId="4" fillId="0" borderId="0" xfId="0" applyFont="1" applyBorder="1" applyAlignment="1">
      <alignment horizontal="center"/>
    </xf>
    <xf numFmtId="2" fontId="4" fillId="3" borderId="0" xfId="0" applyNumberFormat="1" applyFont="1" applyFill="1" applyBorder="1" applyAlignment="1">
      <alignment horizontal="center" wrapText="1"/>
    </xf>
    <xf numFmtId="2" fontId="4" fillId="3" borderId="11" xfId="0" applyNumberFormat="1" applyFont="1" applyFill="1" applyBorder="1" applyAlignment="1">
      <alignment horizontal="center" wrapText="1"/>
    </xf>
    <xf numFmtId="2" fontId="4" fillId="3" borderId="20" xfId="0" applyNumberFormat="1" applyFont="1" applyFill="1" applyBorder="1" applyAlignment="1">
      <alignment horizontal="center" wrapText="1"/>
    </xf>
    <xf numFmtId="2" fontId="9" fillId="3" borderId="11" xfId="0" applyNumberFormat="1" applyFont="1" applyFill="1" applyBorder="1" applyAlignment="1">
      <alignment horizontal="center" wrapText="1"/>
    </xf>
    <xf numFmtId="2" fontId="9" fillId="3" borderId="21" xfId="0" applyNumberFormat="1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14" fontId="10" fillId="3" borderId="0" xfId="0" applyNumberFormat="1" applyFont="1" applyFill="1" applyBorder="1" applyAlignment="1">
      <alignment horizontal="center"/>
    </xf>
    <xf numFmtId="14" fontId="10" fillId="3" borderId="2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4" fontId="4" fillId="9" borderId="3" xfId="0" applyNumberFormat="1" applyFont="1" applyFill="1" applyBorder="1"/>
    <xf numFmtId="0" fontId="4" fillId="9" borderId="9" xfId="0" applyFont="1" applyFill="1" applyBorder="1"/>
    <xf numFmtId="0" fontId="4" fillId="9" borderId="14" xfId="0" applyFont="1" applyFill="1" applyBorder="1"/>
    <xf numFmtId="10" fontId="4" fillId="9" borderId="9" xfId="1" applyNumberFormat="1" applyFont="1" applyFill="1" applyBorder="1"/>
    <xf numFmtId="10" fontId="4" fillId="9" borderId="14" xfId="1" applyNumberFormat="1" applyFont="1" applyFill="1" applyBorder="1"/>
    <xf numFmtId="40" fontId="4" fillId="11" borderId="15" xfId="0" applyNumberFormat="1" applyFont="1" applyFill="1" applyBorder="1"/>
    <xf numFmtId="40" fontId="4" fillId="11" borderId="14" xfId="0" applyNumberFormat="1" applyFont="1" applyFill="1" applyBorder="1"/>
    <xf numFmtId="10" fontId="3" fillId="11" borderId="18" xfId="1" applyNumberFormat="1" applyFont="1" applyFill="1" applyBorder="1"/>
    <xf numFmtId="165" fontId="2" fillId="0" borderId="0" xfId="1" applyNumberFormat="1" applyFont="1" applyBorder="1"/>
    <xf numFmtId="10" fontId="2" fillId="9" borderId="0" xfId="1" applyNumberFormat="1" applyFont="1" applyFill="1" applyBorder="1"/>
    <xf numFmtId="165" fontId="2" fillId="9" borderId="0" xfId="0" applyNumberFormat="1" applyFont="1" applyFill="1" applyBorder="1"/>
    <xf numFmtId="0" fontId="7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2" fillId="9" borderId="0" xfId="0" applyFont="1" applyFill="1"/>
    <xf numFmtId="0" fontId="2" fillId="0" borderId="20" xfId="0" applyFont="1" applyBorder="1" applyAlignment="1">
      <alignment horizontal="center"/>
    </xf>
    <xf numFmtId="0" fontId="23" fillId="4" borderId="1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10" fillId="5" borderId="31" xfId="0" applyNumberFormat="1" applyFont="1" applyFill="1" applyBorder="1" applyAlignment="1">
      <alignment horizontal="center"/>
    </xf>
    <xf numFmtId="2" fontId="10" fillId="5" borderId="34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/>
    </xf>
    <xf numFmtId="2" fontId="10" fillId="6" borderId="31" xfId="0" applyNumberFormat="1" applyFont="1" applyFill="1" applyBorder="1" applyAlignment="1">
      <alignment horizontal="center"/>
    </xf>
    <xf numFmtId="2" fontId="10" fillId="6" borderId="34" xfId="0" applyNumberFormat="1" applyFont="1" applyFill="1" applyBorder="1" applyAlignment="1">
      <alignment horizontal="center"/>
    </xf>
    <xf numFmtId="166" fontId="4" fillId="6" borderId="44" xfId="0" applyNumberFormat="1" applyFont="1" applyFill="1" applyBorder="1" applyAlignment="1">
      <alignment horizontal="center"/>
    </xf>
    <xf numFmtId="166" fontId="4" fillId="6" borderId="30" xfId="0" applyNumberFormat="1" applyFont="1" applyFill="1" applyBorder="1" applyAlignment="1">
      <alignment horizontal="center"/>
    </xf>
    <xf numFmtId="2" fontId="10" fillId="6" borderId="30" xfId="0" applyNumberFormat="1" applyFont="1" applyFill="1" applyBorder="1" applyAlignment="1">
      <alignment horizontal="center"/>
    </xf>
    <xf numFmtId="2" fontId="10" fillId="6" borderId="43" xfId="0" applyNumberFormat="1" applyFont="1" applyFill="1" applyBorder="1" applyAlignment="1">
      <alignment horizontal="center"/>
    </xf>
    <xf numFmtId="166" fontId="4" fillId="5" borderId="35" xfId="0" applyNumberFormat="1" applyFont="1" applyFill="1" applyBorder="1" applyAlignment="1">
      <alignment horizontal="center"/>
    </xf>
    <xf numFmtId="166" fontId="4" fillId="5" borderId="31" xfId="0" applyNumberFormat="1" applyFont="1" applyFill="1" applyBorder="1" applyAlignment="1">
      <alignment horizontal="center"/>
    </xf>
    <xf numFmtId="166" fontId="4" fillId="5" borderId="34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/>
    <xf numFmtId="2" fontId="10" fillId="5" borderId="35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auto="1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5"/>
  <sheetViews>
    <sheetView tabSelected="1" topLeftCell="S226" zoomScale="70" zoomScaleNormal="70" workbookViewId="0">
      <selection activeCell="AB202" sqref="AB202"/>
    </sheetView>
  </sheetViews>
  <sheetFormatPr defaultColWidth="9.109375" defaultRowHeight="15.6" x14ac:dyDescent="0.3"/>
  <cols>
    <col min="1" max="1" width="9.109375" style="387"/>
    <col min="2" max="2" width="6.109375" style="1" customWidth="1"/>
    <col min="3" max="3" width="7.88671875" style="2" customWidth="1"/>
    <col min="4" max="4" width="10.44140625" style="3" customWidth="1"/>
    <col min="5" max="5" width="11" style="3" customWidth="1"/>
    <col min="6" max="6" width="14.6640625" style="3" customWidth="1"/>
    <col min="7" max="7" width="9.109375" style="3" customWidth="1"/>
    <col min="8" max="9" width="10.88671875" style="3" customWidth="1"/>
    <col min="10" max="10" width="8.109375" style="3" customWidth="1"/>
    <col min="11" max="11" width="9.88671875" style="3" customWidth="1"/>
    <col min="12" max="12" width="6.5546875" style="3" customWidth="1"/>
    <col min="13" max="13" width="10.6640625" style="4" customWidth="1"/>
    <col min="14" max="14" width="10.6640625" style="3" customWidth="1"/>
    <col min="15" max="15" width="8" style="3" customWidth="1"/>
    <col min="16" max="16" width="9" style="3" customWidth="1"/>
    <col min="17" max="17" width="8" style="3" customWidth="1"/>
    <col min="18" max="18" width="8.109375" style="3" customWidth="1"/>
    <col min="19" max="19" width="11" style="3" customWidth="1"/>
    <col min="20" max="20" width="9.44140625" style="3" customWidth="1"/>
    <col min="21" max="21" width="7.109375" style="3" customWidth="1"/>
    <col min="22" max="22" width="8" style="3" customWidth="1"/>
    <col min="23" max="25" width="8.5546875" style="3" customWidth="1"/>
    <col min="26" max="26" width="9.44140625" style="3" customWidth="1"/>
    <col min="27" max="27" width="7.44140625" style="3" customWidth="1"/>
    <col min="28" max="28" width="8.44140625" style="3" customWidth="1"/>
    <col min="29" max="29" width="9.5546875" style="3" customWidth="1"/>
    <col min="30" max="30" width="11.109375" style="3" customWidth="1"/>
    <col min="31" max="32" width="8.5546875" style="3" customWidth="1"/>
    <col min="33" max="33" width="12.44140625" style="3" customWidth="1"/>
    <col min="34" max="34" width="11.88671875" style="3" customWidth="1"/>
    <col min="35" max="35" width="11.109375" style="3" customWidth="1"/>
    <col min="36" max="37" width="8.33203125" style="3" customWidth="1"/>
    <col min="38" max="39" width="8.5546875" style="3" bestFit="1" customWidth="1"/>
    <col min="40" max="16384" width="9.109375" style="3"/>
  </cols>
  <sheetData>
    <row r="1" spans="1:27" ht="16.2" thickBot="1" x14ac:dyDescent="0.35"/>
    <row r="2" spans="1:27" ht="15.75" customHeight="1" thickTop="1" x14ac:dyDescent="0.3">
      <c r="C2" s="457" t="s">
        <v>0</v>
      </c>
      <c r="D2" s="458"/>
      <c r="E2" s="412">
        <v>44785</v>
      </c>
      <c r="G2" s="450" t="s">
        <v>285</v>
      </c>
      <c r="H2" s="450"/>
      <c r="I2" s="420">
        <f>IFERROR(ROUND($E$5/12,6),0)</f>
        <v>6.8329999999999997E-3</v>
      </c>
      <c r="K2" s="7"/>
      <c r="M2" s="3"/>
      <c r="N2" s="4"/>
    </row>
    <row r="3" spans="1:27" ht="15" customHeight="1" x14ac:dyDescent="0.3">
      <c r="C3" s="451" t="s">
        <v>1</v>
      </c>
      <c r="D3" s="452"/>
      <c r="E3" s="413">
        <v>12000</v>
      </c>
      <c r="G3" s="450" t="s">
        <v>286</v>
      </c>
      <c r="H3" s="450"/>
      <c r="I3" s="420">
        <f>IFERROR(ROUND($E$6/12,6),0)</f>
        <v>1.9914999999999999E-2</v>
      </c>
      <c r="K3" s="7"/>
      <c r="M3" s="3"/>
      <c r="N3" s="4"/>
      <c r="O3" s="8"/>
      <c r="P3" s="8"/>
      <c r="Q3" s="9"/>
      <c r="R3" s="9"/>
      <c r="S3" s="9"/>
      <c r="T3" s="9"/>
      <c r="U3" s="9"/>
      <c r="V3" s="9"/>
      <c r="X3" s="4"/>
      <c r="Y3" s="4"/>
      <c r="Z3" s="4"/>
    </row>
    <row r="4" spans="1:27" ht="15" customHeight="1" x14ac:dyDescent="0.3">
      <c r="C4" s="453" t="s">
        <v>2</v>
      </c>
      <c r="D4" s="454"/>
      <c r="E4" s="414">
        <v>12</v>
      </c>
      <c r="G4" s="450" t="s">
        <v>3</v>
      </c>
      <c r="H4" s="450"/>
      <c r="I4" s="420">
        <f>IFERROR(ROUND($E$5/360,6),0)</f>
        <v>2.2800000000000001E-4</v>
      </c>
      <c r="K4" s="7"/>
      <c r="P4" s="8"/>
      <c r="Q4" s="9"/>
      <c r="R4" s="9"/>
      <c r="S4" s="9"/>
      <c r="T4" s="9"/>
      <c r="U4" s="9"/>
      <c r="V4" s="9"/>
      <c r="X4" s="4"/>
      <c r="AA4" s="4"/>
    </row>
    <row r="5" spans="1:27" x14ac:dyDescent="0.3">
      <c r="C5" s="451" t="s">
        <v>4</v>
      </c>
      <c r="D5" s="452"/>
      <c r="E5" s="415">
        <v>8.2000000000000003E-2</v>
      </c>
      <c r="G5" s="450" t="s">
        <v>284</v>
      </c>
      <c r="H5" s="450"/>
      <c r="I5" s="421">
        <v>1</v>
      </c>
      <c r="K5" s="7"/>
      <c r="P5" s="8"/>
      <c r="Q5" s="9"/>
      <c r="R5" s="9"/>
      <c r="S5" s="9"/>
      <c r="T5" s="9"/>
      <c r="U5" s="9"/>
      <c r="V5" s="9"/>
    </row>
    <row r="6" spans="1:27" ht="15" customHeight="1" x14ac:dyDescent="0.3">
      <c r="C6" s="453" t="s">
        <v>6</v>
      </c>
      <c r="D6" s="454"/>
      <c r="E6" s="416">
        <v>0.23898</v>
      </c>
      <c r="G6" s="450" t="s">
        <v>5</v>
      </c>
      <c r="H6" s="450"/>
      <c r="I6" s="420">
        <f>IFERROR(ROUND($I$4*$I$5,6),0)</f>
        <v>2.2800000000000001E-4</v>
      </c>
      <c r="K6" s="7"/>
      <c r="P6" s="8"/>
      <c r="Q6" s="9"/>
      <c r="R6" s="9"/>
      <c r="S6" s="9"/>
      <c r="T6" s="9"/>
      <c r="U6" s="9"/>
      <c r="V6" s="9"/>
      <c r="X6" s="4"/>
    </row>
    <row r="7" spans="1:27" ht="15.75" customHeight="1" x14ac:dyDescent="0.3">
      <c r="C7" s="451" t="s">
        <v>8</v>
      </c>
      <c r="D7" s="452"/>
      <c r="E7" s="417">
        <f>IFERROR(ROUND(PMT(I2,$E$4,-$E$3),2),0)</f>
        <v>1044.97</v>
      </c>
      <c r="G7" s="450" t="s">
        <v>7</v>
      </c>
      <c r="H7" s="450"/>
      <c r="I7" s="422">
        <v>6.2E-4</v>
      </c>
      <c r="K7" s="7"/>
      <c r="P7" s="8"/>
      <c r="T7" s="4"/>
      <c r="U7" s="10"/>
      <c r="V7" s="10"/>
      <c r="X7" s="4"/>
    </row>
    <row r="8" spans="1:27" ht="15.75" customHeight="1" x14ac:dyDescent="0.3">
      <c r="C8" s="453" t="s">
        <v>10</v>
      </c>
      <c r="D8" s="454"/>
      <c r="E8" s="418">
        <f>IFERROR(ROUND(PMT($E$6/12,$E$4,-$E$3),2),0)</f>
        <v>1134.1199999999999</v>
      </c>
      <c r="G8" s="450" t="s">
        <v>9</v>
      </c>
      <c r="H8" s="450"/>
      <c r="I8" s="422">
        <v>9.7000000000000005E-4</v>
      </c>
      <c r="K8" s="7"/>
    </row>
    <row r="9" spans="1:27" ht="15.75" customHeight="1" thickBot="1" x14ac:dyDescent="0.35">
      <c r="C9" s="455" t="s">
        <v>12</v>
      </c>
      <c r="D9" s="456"/>
      <c r="E9" s="419">
        <f>IFERROR(IRR($F$13:$F$25)*12,0)</f>
        <v>0.23897500766057966</v>
      </c>
      <c r="G9" s="450" t="s">
        <v>11</v>
      </c>
      <c r="H9" s="450"/>
      <c r="I9" s="422">
        <v>9.7000000000000005E-4</v>
      </c>
      <c r="K9" s="7"/>
      <c r="T9" s="4"/>
    </row>
    <row r="10" spans="1:27" ht="16.2" thickTop="1" x14ac:dyDescent="0.3">
      <c r="K10" s="7"/>
      <c r="M10" s="3"/>
      <c r="N10" s="4"/>
    </row>
    <row r="11" spans="1:27" ht="16.2" thickBot="1" x14ac:dyDescent="0.35">
      <c r="K11" s="7"/>
      <c r="M11" s="3"/>
      <c r="N11" s="4"/>
    </row>
    <row r="12" spans="1:27" s="12" customFormat="1" ht="39" customHeight="1" thickBot="1" x14ac:dyDescent="0.35">
      <c r="A12" s="388"/>
      <c r="C12" s="13" t="s">
        <v>14</v>
      </c>
      <c r="D12" s="14" t="s">
        <v>15</v>
      </c>
      <c r="E12" s="13" t="s">
        <v>16</v>
      </c>
      <c r="F12" s="15" t="s">
        <v>17</v>
      </c>
      <c r="G12" s="13" t="s">
        <v>18</v>
      </c>
      <c r="H12" s="16" t="s">
        <v>19</v>
      </c>
      <c r="I12" s="13" t="s">
        <v>20</v>
      </c>
      <c r="J12" s="7"/>
    </row>
    <row r="13" spans="1:27" s="22" customFormat="1" x14ac:dyDescent="0.3">
      <c r="A13" s="389"/>
      <c r="B13" s="17"/>
      <c r="C13" s="18"/>
      <c r="D13" s="19">
        <f>IF(DAY($E$2)&gt;28,DATE(YEAR($E$2),MONTH($E$2)+1,1),$E$2)</f>
        <v>44785</v>
      </c>
      <c r="E13" s="20"/>
      <c r="F13" s="21">
        <f>-$E$3</f>
        <v>-12000</v>
      </c>
      <c r="G13" s="20"/>
      <c r="H13" s="21"/>
      <c r="I13" s="20"/>
      <c r="J13" s="7"/>
      <c r="K13" s="401">
        <v>1</v>
      </c>
      <c r="L13" s="254" t="s">
        <v>261</v>
      </c>
      <c r="M13" s="254"/>
      <c r="N13" s="254"/>
      <c r="R13" s="423" t="s">
        <v>288</v>
      </c>
      <c r="S13" s="423"/>
      <c r="T13" s="423"/>
      <c r="U13" s="423"/>
      <c r="V13" s="423"/>
      <c r="W13" s="423"/>
      <c r="X13" s="423"/>
      <c r="Y13" s="423"/>
    </row>
    <row r="14" spans="1:27" s="28" customFormat="1" x14ac:dyDescent="0.3">
      <c r="A14" s="390"/>
      <c r="B14" s="23"/>
      <c r="C14" s="24">
        <v>1</v>
      </c>
      <c r="D14" s="25">
        <f>DATE(YEAR(D13),MONTH(D13)+1,DAY(D13))</f>
        <v>44816</v>
      </c>
      <c r="E14" s="26">
        <f>$E$3</f>
        <v>12000</v>
      </c>
      <c r="F14" s="27">
        <f t="shared" ref="F14:F25" si="0">IF($C14&lt;=$E$4,$E$8,0)</f>
        <v>1134.1199999999999</v>
      </c>
      <c r="G14" s="26">
        <f t="shared" ref="G14:G25" si="1">IF($C14&gt;$E$4,0,$F14-$H14-$I14)</f>
        <v>962.97</v>
      </c>
      <c r="H14" s="27">
        <f t="shared" ref="H14:H20" si="2">ROUND($E14*$I$2,2)</f>
        <v>82</v>
      </c>
      <c r="I14" s="26">
        <f t="shared" ref="I14:I25" si="3">$E$8-$E$7</f>
        <v>89.149999999999864</v>
      </c>
      <c r="J14" s="7"/>
      <c r="K14" s="115">
        <v>2</v>
      </c>
      <c r="L14" s="254" t="s">
        <v>287</v>
      </c>
      <c r="M14" s="142"/>
      <c r="N14" s="142"/>
      <c r="R14" s="424" t="s">
        <v>289</v>
      </c>
      <c r="S14" s="424"/>
      <c r="T14" s="424"/>
      <c r="U14" s="424"/>
      <c r="V14" s="424"/>
      <c r="W14" s="424"/>
      <c r="X14" s="424"/>
      <c r="Y14" s="424"/>
    </row>
    <row r="15" spans="1:27" s="28" customFormat="1" x14ac:dyDescent="0.3">
      <c r="A15" s="390"/>
      <c r="B15" s="23"/>
      <c r="C15" s="24">
        <f>C14+1</f>
        <v>2</v>
      </c>
      <c r="D15" s="25">
        <f>DATE(YEAR(D14),MONTH(D14)+1,DAY(D14))</f>
        <v>44846</v>
      </c>
      <c r="E15" s="26">
        <f t="shared" ref="E15:E25" si="4">$E14-$G14</f>
        <v>11037.03</v>
      </c>
      <c r="F15" s="27">
        <f t="shared" si="0"/>
        <v>1134.1199999999999</v>
      </c>
      <c r="G15" s="26">
        <f t="shared" si="1"/>
        <v>969.55</v>
      </c>
      <c r="H15" s="27">
        <f t="shared" si="2"/>
        <v>75.42</v>
      </c>
      <c r="I15" s="26">
        <f t="shared" si="3"/>
        <v>89.149999999999864</v>
      </c>
      <c r="J15" s="7"/>
      <c r="K15" s="23">
        <v>3</v>
      </c>
      <c r="L15" s="28" t="s">
        <v>270</v>
      </c>
      <c r="R15" s="424"/>
      <c r="S15" s="424"/>
      <c r="T15" s="424"/>
      <c r="U15" s="424"/>
      <c r="V15" s="424"/>
      <c r="W15" s="424"/>
      <c r="X15" s="424"/>
      <c r="Y15" s="424"/>
    </row>
    <row r="16" spans="1:27" s="28" customFormat="1" x14ac:dyDescent="0.3">
      <c r="A16" s="390"/>
      <c r="B16" s="23"/>
      <c r="C16" s="24">
        <f t="shared" ref="C16:C25" si="5">C15+1</f>
        <v>3</v>
      </c>
      <c r="D16" s="25">
        <f t="shared" ref="D16:D25" si="6">DATE(YEAR(D15),MONTH(D15)+1,DAY(D15))</f>
        <v>44877</v>
      </c>
      <c r="E16" s="26">
        <f t="shared" si="4"/>
        <v>10067.480000000001</v>
      </c>
      <c r="F16" s="27">
        <f t="shared" si="0"/>
        <v>1134.1199999999999</v>
      </c>
      <c r="G16" s="26">
        <f t="shared" si="1"/>
        <v>976.18000000000006</v>
      </c>
      <c r="H16" s="27">
        <f t="shared" si="2"/>
        <v>68.790000000000006</v>
      </c>
      <c r="I16" s="26">
        <f t="shared" si="3"/>
        <v>89.149999999999864</v>
      </c>
      <c r="J16" s="7"/>
      <c r="K16" s="23">
        <v>4</v>
      </c>
      <c r="L16" s="28" t="s">
        <v>273</v>
      </c>
      <c r="R16" s="424" t="s">
        <v>290</v>
      </c>
      <c r="S16" s="424"/>
      <c r="T16" s="424"/>
      <c r="U16" s="424"/>
      <c r="V16" s="424"/>
      <c r="W16" s="424"/>
      <c r="X16" s="424"/>
      <c r="Y16" s="424"/>
    </row>
    <row r="17" spans="1:41" s="28" customFormat="1" x14ac:dyDescent="0.3">
      <c r="A17" s="390"/>
      <c r="B17" s="23"/>
      <c r="C17" s="24">
        <f t="shared" si="5"/>
        <v>4</v>
      </c>
      <c r="D17" s="25">
        <f t="shared" si="6"/>
        <v>44907</v>
      </c>
      <c r="E17" s="26">
        <f t="shared" si="4"/>
        <v>9091.3000000000011</v>
      </c>
      <c r="F17" s="27">
        <f t="shared" si="0"/>
        <v>1134.1199999999999</v>
      </c>
      <c r="G17" s="26">
        <f t="shared" si="1"/>
        <v>982.85000000000014</v>
      </c>
      <c r="H17" s="27">
        <f t="shared" si="2"/>
        <v>62.12</v>
      </c>
      <c r="I17" s="26">
        <f t="shared" si="3"/>
        <v>89.149999999999864</v>
      </c>
      <c r="J17" s="7"/>
      <c r="K17" s="23">
        <v>5</v>
      </c>
      <c r="L17" s="28" t="s">
        <v>271</v>
      </c>
      <c r="R17" s="424"/>
      <c r="S17" s="424"/>
      <c r="T17" s="424"/>
      <c r="U17" s="424"/>
      <c r="V17" s="424"/>
      <c r="W17" s="424"/>
      <c r="X17" s="424"/>
      <c r="Y17" s="424"/>
    </row>
    <row r="18" spans="1:41" s="28" customFormat="1" x14ac:dyDescent="0.3">
      <c r="A18" s="390"/>
      <c r="B18" s="23"/>
      <c r="C18" s="24">
        <f t="shared" si="5"/>
        <v>5</v>
      </c>
      <c r="D18" s="25">
        <f t="shared" si="6"/>
        <v>44938</v>
      </c>
      <c r="E18" s="26">
        <f t="shared" si="4"/>
        <v>8108.4500000000007</v>
      </c>
      <c r="F18" s="27">
        <f t="shared" si="0"/>
        <v>1134.1199999999999</v>
      </c>
      <c r="G18" s="26">
        <f t="shared" si="1"/>
        <v>989.56</v>
      </c>
      <c r="H18" s="27">
        <f t="shared" si="2"/>
        <v>55.41</v>
      </c>
      <c r="I18" s="26">
        <f t="shared" si="3"/>
        <v>89.149999999999864</v>
      </c>
      <c r="J18" s="7"/>
      <c r="K18" s="23">
        <v>6</v>
      </c>
      <c r="L18" s="28" t="s">
        <v>272</v>
      </c>
      <c r="R18" s="424" t="s">
        <v>291</v>
      </c>
      <c r="S18" s="424"/>
      <c r="T18" s="424"/>
      <c r="U18" s="424"/>
      <c r="V18" s="424"/>
      <c r="W18" s="424"/>
      <c r="X18" s="424"/>
      <c r="Y18" s="424"/>
    </row>
    <row r="19" spans="1:41" s="28" customFormat="1" x14ac:dyDescent="0.3">
      <c r="A19" s="390"/>
      <c r="B19" s="23"/>
      <c r="C19" s="24">
        <f t="shared" si="5"/>
        <v>6</v>
      </c>
      <c r="D19" s="25">
        <f t="shared" si="6"/>
        <v>44969</v>
      </c>
      <c r="E19" s="26">
        <f t="shared" si="4"/>
        <v>7118.8900000000012</v>
      </c>
      <c r="F19" s="27">
        <f t="shared" si="0"/>
        <v>1134.1199999999999</v>
      </c>
      <c r="G19" s="26">
        <f t="shared" si="1"/>
        <v>996.32999999999993</v>
      </c>
      <c r="H19" s="27">
        <f t="shared" si="2"/>
        <v>48.64</v>
      </c>
      <c r="I19" s="26">
        <f t="shared" si="3"/>
        <v>89.149999999999864</v>
      </c>
      <c r="J19" s="7"/>
      <c r="R19" s="424"/>
      <c r="S19" s="424"/>
      <c r="T19" s="424"/>
      <c r="U19" s="424"/>
      <c r="V19" s="424"/>
      <c r="W19" s="424"/>
      <c r="X19" s="424"/>
      <c r="Y19" s="424"/>
    </row>
    <row r="20" spans="1:41" s="28" customFormat="1" x14ac:dyDescent="0.3">
      <c r="A20" s="390"/>
      <c r="B20" s="23"/>
      <c r="C20" s="24">
        <f t="shared" si="5"/>
        <v>7</v>
      </c>
      <c r="D20" s="25">
        <f t="shared" si="6"/>
        <v>44997</v>
      </c>
      <c r="E20" s="26">
        <f t="shared" si="4"/>
        <v>6122.5600000000013</v>
      </c>
      <c r="F20" s="27">
        <f t="shared" si="0"/>
        <v>1134.1199999999999</v>
      </c>
      <c r="G20" s="26">
        <f t="shared" si="1"/>
        <v>1003.1300000000001</v>
      </c>
      <c r="H20" s="27">
        <f t="shared" si="2"/>
        <v>41.84</v>
      </c>
      <c r="I20" s="26">
        <f t="shared" si="3"/>
        <v>89.149999999999864</v>
      </c>
      <c r="J20" s="7"/>
    </row>
    <row r="21" spans="1:41" s="28" customFormat="1" x14ac:dyDescent="0.3">
      <c r="A21" s="390"/>
      <c r="B21" s="23"/>
      <c r="C21" s="24">
        <f t="shared" si="5"/>
        <v>8</v>
      </c>
      <c r="D21" s="25">
        <f t="shared" si="6"/>
        <v>45028</v>
      </c>
      <c r="E21" s="26">
        <f t="shared" si="4"/>
        <v>5119.4300000000012</v>
      </c>
      <c r="F21" s="27">
        <f t="shared" si="0"/>
        <v>1134.1199999999999</v>
      </c>
      <c r="G21" s="26">
        <f t="shared" si="1"/>
        <v>1009.9889350000001</v>
      </c>
      <c r="H21" s="27">
        <f>ROUND($E21*$I$2,6)</f>
        <v>34.981065000000001</v>
      </c>
      <c r="I21" s="26">
        <f t="shared" si="3"/>
        <v>89.149999999999864</v>
      </c>
    </row>
    <row r="22" spans="1:41" s="28" customFormat="1" x14ac:dyDescent="0.3">
      <c r="A22" s="390"/>
      <c r="B22" s="23"/>
      <c r="C22" s="24">
        <f t="shared" si="5"/>
        <v>9</v>
      </c>
      <c r="D22" s="25">
        <f t="shared" si="6"/>
        <v>45058</v>
      </c>
      <c r="E22" s="26">
        <f t="shared" si="4"/>
        <v>4109.4410650000009</v>
      </c>
      <c r="F22" s="27">
        <f t="shared" si="0"/>
        <v>1134.1199999999999</v>
      </c>
      <c r="G22" s="26">
        <f t="shared" si="1"/>
        <v>1016.890189</v>
      </c>
      <c r="H22" s="27">
        <f>ROUND($E22*$I$2,6)</f>
        <v>28.079810999999999</v>
      </c>
      <c r="I22" s="26">
        <f t="shared" si="3"/>
        <v>89.149999999999864</v>
      </c>
    </row>
    <row r="23" spans="1:41" s="28" customFormat="1" x14ac:dyDescent="0.3">
      <c r="A23" s="390"/>
      <c r="B23" s="23"/>
      <c r="C23" s="24">
        <f t="shared" si="5"/>
        <v>10</v>
      </c>
      <c r="D23" s="25">
        <f t="shared" si="6"/>
        <v>45089</v>
      </c>
      <c r="E23" s="26">
        <f t="shared" si="4"/>
        <v>3092.5508760000012</v>
      </c>
      <c r="F23" s="27">
        <f t="shared" si="0"/>
        <v>1134.1199999999999</v>
      </c>
      <c r="G23" s="26">
        <f t="shared" si="1"/>
        <v>1023.8386</v>
      </c>
      <c r="H23" s="27">
        <f>ROUND($E23*$I$2,6)</f>
        <v>21.131399999999999</v>
      </c>
      <c r="I23" s="26">
        <f t="shared" si="3"/>
        <v>89.149999999999864</v>
      </c>
    </row>
    <row r="24" spans="1:41" s="28" customFormat="1" x14ac:dyDescent="0.3">
      <c r="A24" s="390"/>
      <c r="B24" s="23"/>
      <c r="C24" s="24">
        <f t="shared" si="5"/>
        <v>11</v>
      </c>
      <c r="D24" s="25">
        <f t="shared" si="6"/>
        <v>45119</v>
      </c>
      <c r="E24" s="26">
        <f t="shared" si="4"/>
        <v>2068.7122760000011</v>
      </c>
      <c r="F24" s="27">
        <f t="shared" si="0"/>
        <v>1134.1199999999999</v>
      </c>
      <c r="G24" s="26">
        <f t="shared" si="1"/>
        <v>1030.8344890000001</v>
      </c>
      <c r="H24" s="27">
        <f>ROUND($E24*$I$2,6)</f>
        <v>14.135510999999999</v>
      </c>
      <c r="I24" s="26">
        <f t="shared" si="3"/>
        <v>89.149999999999864</v>
      </c>
    </row>
    <row r="25" spans="1:41" s="28" customFormat="1" ht="16.2" thickBot="1" x14ac:dyDescent="0.35">
      <c r="A25" s="390"/>
      <c r="B25" s="23"/>
      <c r="C25" s="29">
        <f t="shared" si="5"/>
        <v>12</v>
      </c>
      <c r="D25" s="30">
        <f t="shared" si="6"/>
        <v>45150</v>
      </c>
      <c r="E25" s="31">
        <f t="shared" si="4"/>
        <v>1037.877787000001</v>
      </c>
      <c r="F25" s="32">
        <f t="shared" si="0"/>
        <v>1134.1199999999999</v>
      </c>
      <c r="G25" s="31">
        <f t="shared" si="1"/>
        <v>1037.878181</v>
      </c>
      <c r="H25" s="32">
        <f>ROUND($E25*I$2,6)</f>
        <v>7.0918190000000001</v>
      </c>
      <c r="I25" s="31">
        <f t="shared" si="3"/>
        <v>89.149999999999864</v>
      </c>
    </row>
    <row r="26" spans="1:41" ht="16.2" thickBot="1" x14ac:dyDescent="0.35">
      <c r="M26" s="33"/>
    </row>
    <row r="27" spans="1:41" s="36" customFormat="1" ht="15.75" customHeight="1" x14ac:dyDescent="0.3">
      <c r="A27" s="448" t="s">
        <v>274</v>
      </c>
      <c r="B27" s="5" t="s">
        <v>21</v>
      </c>
      <c r="C27" s="6" t="s">
        <v>22</v>
      </c>
      <c r="D27" s="34" t="s">
        <v>23</v>
      </c>
      <c r="E27" s="6" t="s">
        <v>24</v>
      </c>
      <c r="F27" s="35"/>
      <c r="G27" s="430" t="s">
        <v>25</v>
      </c>
      <c r="H27" s="431"/>
      <c r="I27" s="431"/>
      <c r="J27" s="431"/>
      <c r="K27" s="432"/>
      <c r="L27" s="430" t="s">
        <v>26</v>
      </c>
      <c r="M27" s="431"/>
      <c r="N27" s="431"/>
      <c r="O27" s="431"/>
      <c r="P27" s="43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7" customFormat="1" ht="13.8" x14ac:dyDescent="0.3">
      <c r="A28" s="435"/>
      <c r="B28" s="37">
        <v>1.1000000000000001</v>
      </c>
      <c r="C28" s="38" t="s">
        <v>27</v>
      </c>
      <c r="D28" s="39">
        <v>44816</v>
      </c>
      <c r="E28" s="40">
        <f>$E$8</f>
        <v>1134.1199999999999</v>
      </c>
      <c r="F28" s="41"/>
      <c r="G28" s="37"/>
      <c r="H28" s="38"/>
      <c r="I28" s="38"/>
      <c r="J28" s="38"/>
      <c r="K28" s="42"/>
      <c r="L28" s="43"/>
      <c r="M28" s="44"/>
      <c r="N28" s="45"/>
      <c r="O28" s="45"/>
      <c r="P28" s="46"/>
    </row>
    <row r="29" spans="1:41" s="7" customFormat="1" ht="13.8" x14ac:dyDescent="0.3">
      <c r="A29" s="435"/>
      <c r="B29" s="47">
        <v>2.1</v>
      </c>
      <c r="C29" s="48"/>
      <c r="D29" s="49">
        <v>44846</v>
      </c>
      <c r="E29" s="50">
        <v>0</v>
      </c>
      <c r="F29" s="51"/>
      <c r="G29" s="47"/>
      <c r="H29" s="52"/>
      <c r="I29" s="52"/>
      <c r="J29" s="52"/>
      <c r="K29" s="53"/>
      <c r="L29" s="54"/>
      <c r="M29" s="55"/>
      <c r="N29" s="52"/>
      <c r="O29" s="52"/>
      <c r="P29" s="53"/>
    </row>
    <row r="30" spans="1:41" s="7" customFormat="1" ht="13.8" x14ac:dyDescent="0.3">
      <c r="A30" s="435"/>
      <c r="B30" s="47">
        <v>2.2000000000000002</v>
      </c>
      <c r="C30" s="48"/>
      <c r="D30" s="49">
        <v>44847</v>
      </c>
      <c r="E30" s="50">
        <v>0</v>
      </c>
      <c r="F30" s="51"/>
      <c r="G30" s="56" t="s">
        <v>28</v>
      </c>
      <c r="H30" s="449" t="s">
        <v>29</v>
      </c>
      <c r="I30" s="449"/>
      <c r="J30" s="57">
        <f>ROUND($G$15*$I$6,2)</f>
        <v>0.22</v>
      </c>
      <c r="K30" s="53"/>
      <c r="L30" s="56" t="s">
        <v>30</v>
      </c>
      <c r="M30" s="449" t="s">
        <v>31</v>
      </c>
      <c r="N30" s="449"/>
      <c r="O30" s="58">
        <f>ROUND($G$15*$I$7,2)</f>
        <v>0.6</v>
      </c>
      <c r="P30" s="59"/>
    </row>
    <row r="31" spans="1:41" s="7" customFormat="1" ht="13.8" x14ac:dyDescent="0.3">
      <c r="A31" s="435"/>
      <c r="B31" s="47">
        <v>2.2999999999999998</v>
      </c>
      <c r="C31" s="48"/>
      <c r="D31" s="49">
        <v>44848</v>
      </c>
      <c r="E31" s="50">
        <v>0</v>
      </c>
      <c r="F31" s="51"/>
      <c r="G31" s="56" t="s">
        <v>32</v>
      </c>
      <c r="H31" s="449" t="s">
        <v>29</v>
      </c>
      <c r="I31" s="449"/>
      <c r="J31" s="57">
        <f>ROUND($G$15*$I$6,2)</f>
        <v>0.22</v>
      </c>
      <c r="K31" s="53"/>
      <c r="L31" s="56" t="s">
        <v>33</v>
      </c>
      <c r="M31" s="449" t="s">
        <v>31</v>
      </c>
      <c r="N31" s="449"/>
      <c r="O31" s="58">
        <f>ROUND($G$15*$I$7,2)</f>
        <v>0.6</v>
      </c>
      <c r="P31" s="59"/>
    </row>
    <row r="32" spans="1:41" s="7" customFormat="1" ht="13.8" x14ac:dyDescent="0.3">
      <c r="A32" s="435"/>
      <c r="B32" s="47">
        <v>2.4</v>
      </c>
      <c r="C32" s="48"/>
      <c r="D32" s="49">
        <v>44849</v>
      </c>
      <c r="E32" s="50">
        <v>0</v>
      </c>
      <c r="F32" s="51"/>
      <c r="G32" s="56" t="s">
        <v>34</v>
      </c>
      <c r="H32" s="449" t="s">
        <v>29</v>
      </c>
      <c r="I32" s="449"/>
      <c r="J32" s="57">
        <f>ROUND($G$15*$I$6,2)</f>
        <v>0.22</v>
      </c>
      <c r="K32" s="53"/>
      <c r="L32" s="56" t="s">
        <v>33</v>
      </c>
      <c r="M32" s="449" t="s">
        <v>31</v>
      </c>
      <c r="N32" s="449"/>
      <c r="O32" s="58">
        <f>ROUND($G$15*$I$7,2)</f>
        <v>0.6</v>
      </c>
      <c r="P32" s="59"/>
    </row>
    <row r="33" spans="1:42" s="7" customFormat="1" ht="13.8" x14ac:dyDescent="0.3">
      <c r="A33" s="435"/>
      <c r="B33" s="47">
        <v>2.5</v>
      </c>
      <c r="C33" s="48"/>
      <c r="D33" s="49">
        <v>44850</v>
      </c>
      <c r="E33" s="50">
        <v>0</v>
      </c>
      <c r="F33" s="51"/>
      <c r="G33" s="56" t="s">
        <v>35</v>
      </c>
      <c r="H33" s="449" t="s">
        <v>29</v>
      </c>
      <c r="I33" s="449"/>
      <c r="J33" s="57">
        <f>ROUND($G$15*$I$6,2)</f>
        <v>0.22</v>
      </c>
      <c r="K33" s="53"/>
      <c r="L33" s="56" t="s">
        <v>33</v>
      </c>
      <c r="M33" s="449" t="s">
        <v>31</v>
      </c>
      <c r="N33" s="449"/>
      <c r="O33" s="58">
        <f>ROUND($G$15*$I$7,2)</f>
        <v>0.6</v>
      </c>
      <c r="P33" s="59"/>
    </row>
    <row r="34" spans="1:42" s="7" customFormat="1" ht="13.8" x14ac:dyDescent="0.3">
      <c r="A34" s="435"/>
      <c r="B34" s="47">
        <v>2.6</v>
      </c>
      <c r="C34" s="48" t="s">
        <v>27</v>
      </c>
      <c r="D34" s="49">
        <v>44851</v>
      </c>
      <c r="E34" s="60">
        <f>$E$8</f>
        <v>1134.1199999999999</v>
      </c>
      <c r="F34" s="51"/>
      <c r="G34" s="56" t="s">
        <v>36</v>
      </c>
      <c r="H34" s="449" t="s">
        <v>29</v>
      </c>
      <c r="I34" s="449"/>
      <c r="J34" s="57">
        <f>ROUND($G$15*$I$6,2)</f>
        <v>0.22</v>
      </c>
      <c r="K34" s="53"/>
      <c r="L34" s="56" t="s">
        <v>33</v>
      </c>
      <c r="M34" s="449" t="s">
        <v>31</v>
      </c>
      <c r="N34" s="449"/>
      <c r="O34" s="58">
        <f>ROUND($G$15*$I$7,2)</f>
        <v>0.6</v>
      </c>
      <c r="P34" s="59"/>
    </row>
    <row r="35" spans="1:42" s="63" customFormat="1" ht="15.75" customHeight="1" thickBot="1" x14ac:dyDescent="0.35">
      <c r="A35" s="435"/>
      <c r="B35" s="61"/>
      <c r="C35" s="62"/>
      <c r="F35" s="64"/>
      <c r="G35" s="64"/>
      <c r="H35" s="65"/>
      <c r="I35" s="65"/>
      <c r="J35" s="65"/>
      <c r="K35" s="65"/>
      <c r="L35" s="65"/>
      <c r="M35" s="65"/>
      <c r="N35" s="11"/>
      <c r="O35" s="11"/>
      <c r="P35" s="11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66"/>
    </row>
    <row r="36" spans="1:42" s="12" customFormat="1" ht="62.25" customHeight="1" thickBot="1" x14ac:dyDescent="0.35">
      <c r="A36" s="435"/>
      <c r="B36" s="67" t="s">
        <v>14</v>
      </c>
      <c r="C36" s="13" t="s">
        <v>37</v>
      </c>
      <c r="D36" s="68" t="s">
        <v>15</v>
      </c>
      <c r="E36" s="13" t="s">
        <v>16</v>
      </c>
      <c r="F36" s="69" t="s">
        <v>17</v>
      </c>
      <c r="G36" s="70" t="s">
        <v>38</v>
      </c>
      <c r="H36" s="71" t="s">
        <v>39</v>
      </c>
      <c r="I36" s="72" t="s">
        <v>40</v>
      </c>
      <c r="J36" s="73" t="s">
        <v>41</v>
      </c>
      <c r="K36" s="71" t="s">
        <v>42</v>
      </c>
      <c r="L36" s="71" t="s">
        <v>43</v>
      </c>
      <c r="M36" s="72" t="s">
        <v>44</v>
      </c>
      <c r="N36" s="73" t="s">
        <v>45</v>
      </c>
      <c r="O36" s="71" t="s">
        <v>46</v>
      </c>
      <c r="P36" s="74" t="s">
        <v>47</v>
      </c>
      <c r="R36" s="7"/>
    </row>
    <row r="37" spans="1:42" s="22" customFormat="1" ht="13.8" x14ac:dyDescent="0.3">
      <c r="A37" s="435"/>
      <c r="B37" s="75"/>
      <c r="C37" s="76"/>
      <c r="D37" s="77">
        <f>IF(DAY($E$2)&gt;28,DATE(YEAR($E$2),MONTH($E$2)+1,1),$E$2)</f>
        <v>44785</v>
      </c>
      <c r="E37" s="20"/>
      <c r="F37" s="78">
        <f>-$E$3</f>
        <v>-12000</v>
      </c>
      <c r="G37" s="79"/>
      <c r="H37" s="80"/>
      <c r="I37" s="81"/>
      <c r="J37" s="82"/>
      <c r="K37" s="83"/>
      <c r="L37" s="80"/>
      <c r="M37" s="81"/>
      <c r="N37" s="82"/>
      <c r="O37" s="84"/>
      <c r="P37" s="85"/>
      <c r="R37" s="7"/>
    </row>
    <row r="38" spans="1:42" s="28" customFormat="1" ht="13.8" x14ac:dyDescent="0.3">
      <c r="A38" s="435"/>
      <c r="B38" s="86">
        <v>1</v>
      </c>
      <c r="C38" s="87" t="s">
        <v>48</v>
      </c>
      <c r="D38" s="88">
        <f>DATE(YEAR(D37),MONTH(D37)+1,DAY(D37))</f>
        <v>44816</v>
      </c>
      <c r="E38" s="26">
        <f>$E$3</f>
        <v>12000</v>
      </c>
      <c r="F38" s="89">
        <f t="shared" ref="F38:F49" si="7">IF($B38&lt;=$E$4,$E$8,0)</f>
        <v>1134.1199999999999</v>
      </c>
      <c r="G38" s="90">
        <f t="shared" ref="G38:G49" si="8">IF($B38&gt;$E$4,0,$F38-$I38-$M38)</f>
        <v>962.97</v>
      </c>
      <c r="H38" s="91">
        <f>-G38</f>
        <v>-962.97</v>
      </c>
      <c r="I38" s="92">
        <f t="shared" ref="I38:I44" si="9">ROUND($E38*$I$2,2)</f>
        <v>82</v>
      </c>
      <c r="J38" s="93">
        <f t="shared" ref="J38:J39" si="10">-I38</f>
        <v>-82</v>
      </c>
      <c r="K38" s="94"/>
      <c r="L38" s="95"/>
      <c r="M38" s="92">
        <f t="shared" ref="M38:M49" si="11">$E$8-$E$7</f>
        <v>89.149999999999864</v>
      </c>
      <c r="N38" s="93">
        <f>-M38</f>
        <v>-89.149999999999864</v>
      </c>
      <c r="O38" s="84"/>
      <c r="P38" s="96"/>
      <c r="R38" s="7"/>
    </row>
    <row r="39" spans="1:42" s="28" customFormat="1" ht="13.8" x14ac:dyDescent="0.3">
      <c r="A39" s="435"/>
      <c r="B39" s="86">
        <f>B38+1</f>
        <v>2</v>
      </c>
      <c r="C39" s="87" t="s">
        <v>48</v>
      </c>
      <c r="D39" s="88">
        <f>DATE(YEAR(D38),MONTH(D38)+1,DAY(D38))</f>
        <v>44846</v>
      </c>
      <c r="E39" s="26">
        <f t="shared" ref="E39:E49" si="12">$E38-$G38</f>
        <v>11037.03</v>
      </c>
      <c r="F39" s="89">
        <f t="shared" si="7"/>
        <v>1134.1199999999999</v>
      </c>
      <c r="G39" s="90">
        <f t="shared" si="8"/>
        <v>969.55</v>
      </c>
      <c r="H39" s="91">
        <f>-G39</f>
        <v>-969.55</v>
      </c>
      <c r="I39" s="92">
        <f t="shared" si="9"/>
        <v>75.42</v>
      </c>
      <c r="J39" s="93">
        <f t="shared" si="10"/>
        <v>-75.42</v>
      </c>
      <c r="K39" s="97"/>
      <c r="L39" s="95"/>
      <c r="M39" s="92">
        <f t="shared" si="11"/>
        <v>89.149999999999864</v>
      </c>
      <c r="N39" s="93">
        <f>-M39</f>
        <v>-89.149999999999864</v>
      </c>
      <c r="O39" s="84"/>
      <c r="P39" s="96"/>
      <c r="R39" s="7"/>
    </row>
    <row r="40" spans="1:42" s="28" customFormat="1" ht="13.8" x14ac:dyDescent="0.3">
      <c r="A40" s="435"/>
      <c r="B40" s="86">
        <f t="shared" ref="B40:B49" si="13">B39+1</f>
        <v>3</v>
      </c>
      <c r="C40" s="98"/>
      <c r="D40" s="88">
        <f t="shared" ref="D40:D49" si="14">DATE(YEAR(D39),MONTH(D39)+1,DAY(D39))</f>
        <v>44877</v>
      </c>
      <c r="E40" s="26">
        <f t="shared" si="12"/>
        <v>10067.480000000001</v>
      </c>
      <c r="F40" s="89">
        <f t="shared" si="7"/>
        <v>1134.1199999999999</v>
      </c>
      <c r="G40" s="90">
        <f t="shared" si="8"/>
        <v>976.18000000000006</v>
      </c>
      <c r="H40" s="91"/>
      <c r="I40" s="92">
        <f t="shared" si="9"/>
        <v>68.790000000000006</v>
      </c>
      <c r="J40" s="93"/>
      <c r="K40" s="94"/>
      <c r="L40" s="91"/>
      <c r="M40" s="92">
        <f t="shared" si="11"/>
        <v>89.149999999999864</v>
      </c>
      <c r="N40" s="93"/>
      <c r="O40" s="94"/>
      <c r="P40" s="96"/>
      <c r="R40" s="7"/>
    </row>
    <row r="41" spans="1:42" s="28" customFormat="1" ht="13.8" x14ac:dyDescent="0.3">
      <c r="A41" s="435"/>
      <c r="B41" s="86">
        <f t="shared" si="13"/>
        <v>4</v>
      </c>
      <c r="C41" s="98"/>
      <c r="D41" s="88">
        <f t="shared" si="14"/>
        <v>44907</v>
      </c>
      <c r="E41" s="26">
        <f t="shared" si="12"/>
        <v>9091.3000000000011</v>
      </c>
      <c r="F41" s="89">
        <f t="shared" si="7"/>
        <v>1134.1199999999999</v>
      </c>
      <c r="G41" s="90">
        <f t="shared" si="8"/>
        <v>982.85000000000014</v>
      </c>
      <c r="H41" s="91"/>
      <c r="I41" s="92">
        <f t="shared" si="9"/>
        <v>62.12</v>
      </c>
      <c r="J41" s="93"/>
      <c r="K41" s="94"/>
      <c r="L41" s="95"/>
      <c r="M41" s="92">
        <f t="shared" si="11"/>
        <v>89.149999999999864</v>
      </c>
      <c r="N41" s="93"/>
      <c r="O41" s="84"/>
      <c r="P41" s="96"/>
      <c r="R41" s="7"/>
    </row>
    <row r="42" spans="1:42" s="28" customFormat="1" ht="13.8" x14ac:dyDescent="0.3">
      <c r="A42" s="435"/>
      <c r="B42" s="86">
        <f t="shared" si="13"/>
        <v>5</v>
      </c>
      <c r="C42" s="98"/>
      <c r="D42" s="88">
        <f t="shared" si="14"/>
        <v>44938</v>
      </c>
      <c r="E42" s="26">
        <f t="shared" si="12"/>
        <v>8108.4500000000007</v>
      </c>
      <c r="F42" s="89">
        <f t="shared" si="7"/>
        <v>1134.1199999999999</v>
      </c>
      <c r="G42" s="90">
        <f t="shared" si="8"/>
        <v>989.56</v>
      </c>
      <c r="H42" s="91"/>
      <c r="I42" s="92">
        <f t="shared" si="9"/>
        <v>55.41</v>
      </c>
      <c r="J42" s="99"/>
      <c r="K42" s="94"/>
      <c r="L42" s="100"/>
      <c r="M42" s="92">
        <f t="shared" si="11"/>
        <v>89.149999999999864</v>
      </c>
      <c r="N42" s="93"/>
      <c r="O42" s="94"/>
      <c r="P42" s="96"/>
      <c r="R42" s="7"/>
    </row>
    <row r="43" spans="1:42" s="28" customFormat="1" ht="13.8" x14ac:dyDescent="0.3">
      <c r="A43" s="435"/>
      <c r="B43" s="86">
        <f t="shared" si="13"/>
        <v>6</v>
      </c>
      <c r="C43" s="98"/>
      <c r="D43" s="88">
        <f t="shared" si="14"/>
        <v>44969</v>
      </c>
      <c r="E43" s="26">
        <f t="shared" si="12"/>
        <v>7118.8900000000012</v>
      </c>
      <c r="F43" s="89">
        <f t="shared" si="7"/>
        <v>1134.1199999999999</v>
      </c>
      <c r="G43" s="90">
        <f t="shared" si="8"/>
        <v>996.32999999999993</v>
      </c>
      <c r="H43" s="100"/>
      <c r="I43" s="92">
        <f t="shared" si="9"/>
        <v>48.64</v>
      </c>
      <c r="J43" s="99"/>
      <c r="K43" s="94"/>
      <c r="L43" s="100"/>
      <c r="M43" s="92">
        <f t="shared" si="11"/>
        <v>89.149999999999864</v>
      </c>
      <c r="N43" s="93"/>
      <c r="O43" s="94"/>
      <c r="P43" s="96"/>
      <c r="R43" s="7"/>
    </row>
    <row r="44" spans="1:42" s="28" customFormat="1" ht="13.8" x14ac:dyDescent="0.3">
      <c r="A44" s="435"/>
      <c r="B44" s="86">
        <f t="shared" si="13"/>
        <v>7</v>
      </c>
      <c r="C44" s="98"/>
      <c r="D44" s="88">
        <f t="shared" si="14"/>
        <v>44997</v>
      </c>
      <c r="E44" s="26">
        <f t="shared" si="12"/>
        <v>6122.5600000000013</v>
      </c>
      <c r="F44" s="89">
        <f t="shared" si="7"/>
        <v>1134.1199999999999</v>
      </c>
      <c r="G44" s="90">
        <f t="shared" si="8"/>
        <v>1003.1300000000001</v>
      </c>
      <c r="H44" s="95"/>
      <c r="I44" s="92">
        <f t="shared" si="9"/>
        <v>41.84</v>
      </c>
      <c r="J44" s="101"/>
      <c r="K44" s="94"/>
      <c r="L44" s="95"/>
      <c r="M44" s="92">
        <f t="shared" si="11"/>
        <v>89.149999999999864</v>
      </c>
      <c r="N44" s="101"/>
      <c r="O44" s="94"/>
      <c r="P44" s="96"/>
      <c r="R44" s="7"/>
    </row>
    <row r="45" spans="1:42" s="28" customFormat="1" ht="13.8" x14ac:dyDescent="0.3">
      <c r="A45" s="435"/>
      <c r="B45" s="86">
        <f t="shared" si="13"/>
        <v>8</v>
      </c>
      <c r="C45" s="87"/>
      <c r="D45" s="88">
        <f t="shared" si="14"/>
        <v>45028</v>
      </c>
      <c r="E45" s="26">
        <f t="shared" si="12"/>
        <v>5119.4300000000012</v>
      </c>
      <c r="F45" s="89">
        <f t="shared" si="7"/>
        <v>1134.1199999999999</v>
      </c>
      <c r="G45" s="90">
        <f t="shared" si="8"/>
        <v>1009.9889350000001</v>
      </c>
      <c r="H45" s="95"/>
      <c r="I45" s="92">
        <f>ROUND($E45*$I$2,6)</f>
        <v>34.981065000000001</v>
      </c>
      <c r="J45" s="101"/>
      <c r="K45" s="102"/>
      <c r="L45" s="95"/>
      <c r="M45" s="92">
        <f t="shared" si="11"/>
        <v>89.149999999999864</v>
      </c>
      <c r="N45" s="101"/>
      <c r="O45" s="103"/>
      <c r="P45" s="96"/>
    </row>
    <row r="46" spans="1:42" s="28" customFormat="1" ht="13.8" x14ac:dyDescent="0.3">
      <c r="A46" s="435"/>
      <c r="B46" s="86">
        <f t="shared" si="13"/>
        <v>9</v>
      </c>
      <c r="C46" s="87"/>
      <c r="D46" s="88">
        <f t="shared" si="14"/>
        <v>45058</v>
      </c>
      <c r="E46" s="26">
        <f t="shared" si="12"/>
        <v>4109.4410650000009</v>
      </c>
      <c r="F46" s="89">
        <f t="shared" si="7"/>
        <v>1134.1199999999999</v>
      </c>
      <c r="G46" s="90">
        <f t="shared" si="8"/>
        <v>1016.890189</v>
      </c>
      <c r="H46" s="95"/>
      <c r="I46" s="92">
        <f>ROUND($E46*$I$2,6)</f>
        <v>28.079810999999999</v>
      </c>
      <c r="J46" s="101"/>
      <c r="K46" s="102"/>
      <c r="L46" s="95"/>
      <c r="M46" s="92">
        <f t="shared" si="11"/>
        <v>89.149999999999864</v>
      </c>
      <c r="N46" s="101"/>
      <c r="O46" s="103"/>
      <c r="P46" s="96"/>
    </row>
    <row r="47" spans="1:42" s="28" customFormat="1" ht="13.8" x14ac:dyDescent="0.3">
      <c r="A47" s="435"/>
      <c r="B47" s="86">
        <f t="shared" si="13"/>
        <v>10</v>
      </c>
      <c r="C47" s="87"/>
      <c r="D47" s="88">
        <f t="shared" si="14"/>
        <v>45089</v>
      </c>
      <c r="E47" s="26">
        <f t="shared" si="12"/>
        <v>3092.5508760000012</v>
      </c>
      <c r="F47" s="89">
        <f t="shared" si="7"/>
        <v>1134.1199999999999</v>
      </c>
      <c r="G47" s="90">
        <f t="shared" si="8"/>
        <v>1023.8386</v>
      </c>
      <c r="H47" s="95"/>
      <c r="I47" s="92">
        <f>ROUND($E47*$I$2,6)</f>
        <v>21.131399999999999</v>
      </c>
      <c r="J47" s="101"/>
      <c r="K47" s="102"/>
      <c r="L47" s="95"/>
      <c r="M47" s="92">
        <f t="shared" si="11"/>
        <v>89.149999999999864</v>
      </c>
      <c r="N47" s="101"/>
      <c r="O47" s="103"/>
      <c r="P47" s="96"/>
    </row>
    <row r="48" spans="1:42" s="28" customFormat="1" ht="13.8" x14ac:dyDescent="0.3">
      <c r="A48" s="435"/>
      <c r="B48" s="86">
        <f t="shared" si="13"/>
        <v>11</v>
      </c>
      <c r="C48" s="87"/>
      <c r="D48" s="88">
        <f t="shared" si="14"/>
        <v>45119</v>
      </c>
      <c r="E48" s="26">
        <f t="shared" si="12"/>
        <v>2068.7122760000011</v>
      </c>
      <c r="F48" s="89">
        <f t="shared" si="7"/>
        <v>1134.1199999999999</v>
      </c>
      <c r="G48" s="90">
        <f t="shared" si="8"/>
        <v>1030.8344890000001</v>
      </c>
      <c r="H48" s="95"/>
      <c r="I48" s="92">
        <f>ROUND($E48*$I$2,6)</f>
        <v>14.135510999999999</v>
      </c>
      <c r="J48" s="101"/>
      <c r="K48" s="102"/>
      <c r="L48" s="95"/>
      <c r="M48" s="92">
        <f t="shared" si="11"/>
        <v>89.149999999999864</v>
      </c>
      <c r="N48" s="101"/>
      <c r="O48" s="103"/>
      <c r="P48" s="96"/>
    </row>
    <row r="49" spans="1:40" s="28" customFormat="1" ht="14.4" thickBot="1" x14ac:dyDescent="0.35">
      <c r="A49" s="435"/>
      <c r="B49" s="104">
        <f t="shared" si="13"/>
        <v>12</v>
      </c>
      <c r="C49" s="105"/>
      <c r="D49" s="106">
        <f t="shared" si="14"/>
        <v>45150</v>
      </c>
      <c r="E49" s="31">
        <f t="shared" si="12"/>
        <v>1037.877787000001</v>
      </c>
      <c r="F49" s="107">
        <f t="shared" si="7"/>
        <v>1134.1199999999999</v>
      </c>
      <c r="G49" s="108">
        <f t="shared" si="8"/>
        <v>1037.878181</v>
      </c>
      <c r="H49" s="109"/>
      <c r="I49" s="110">
        <f>ROUND($E49*I$2,6)</f>
        <v>7.0918190000000001</v>
      </c>
      <c r="J49" s="111"/>
      <c r="K49" s="112"/>
      <c r="L49" s="109"/>
      <c r="M49" s="110">
        <f t="shared" si="11"/>
        <v>89.149999999999864</v>
      </c>
      <c r="N49" s="111"/>
      <c r="O49" s="113"/>
      <c r="P49" s="114"/>
    </row>
    <row r="50" spans="1:40" s="28" customFormat="1" x14ac:dyDescent="0.3">
      <c r="A50" s="390"/>
      <c r="B50" s="115"/>
      <c r="C50" s="116"/>
      <c r="D50" s="117"/>
      <c r="E50" s="118"/>
      <c r="F50" s="118"/>
      <c r="G50" s="118"/>
      <c r="H50" s="118"/>
      <c r="I50" s="118"/>
      <c r="J50" s="118"/>
      <c r="K50" s="119"/>
      <c r="L50" s="118"/>
      <c r="M50" s="118"/>
      <c r="N50" s="118"/>
      <c r="O50" s="120"/>
    </row>
    <row r="51" spans="1:40" s="28" customFormat="1" ht="16.2" thickBot="1" x14ac:dyDescent="0.35">
      <c r="A51" s="390"/>
      <c r="B51" s="115"/>
      <c r="C51" s="116"/>
      <c r="D51" s="117"/>
      <c r="E51" s="117"/>
      <c r="F51" s="118"/>
      <c r="G51" s="118"/>
      <c r="H51" s="118"/>
      <c r="I51" s="118"/>
      <c r="J51" s="118"/>
      <c r="K51" s="118"/>
      <c r="L51" s="118"/>
      <c r="M51" s="118"/>
      <c r="N51" s="119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</row>
    <row r="52" spans="1:40" s="36" customFormat="1" ht="15.75" customHeight="1" x14ac:dyDescent="0.3">
      <c r="A52" s="448" t="s">
        <v>276</v>
      </c>
      <c r="B52" s="5" t="s">
        <v>21</v>
      </c>
      <c r="C52" s="6" t="s">
        <v>22</v>
      </c>
      <c r="D52" s="34" t="s">
        <v>23</v>
      </c>
      <c r="E52" s="6" t="s">
        <v>24</v>
      </c>
      <c r="F52" s="35"/>
      <c r="G52" s="430" t="s">
        <v>25</v>
      </c>
      <c r="H52" s="431"/>
      <c r="I52" s="431"/>
      <c r="J52" s="431"/>
      <c r="K52" s="432"/>
      <c r="L52" s="430" t="s">
        <v>26</v>
      </c>
      <c r="M52" s="431"/>
      <c r="N52" s="431"/>
      <c r="O52" s="431"/>
      <c r="P52" s="432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"/>
      <c r="AN52" s="1"/>
    </row>
    <row r="53" spans="1:40" s="7" customFormat="1" ht="15" customHeight="1" x14ac:dyDescent="0.3">
      <c r="A53" s="435"/>
      <c r="B53" s="121">
        <v>3.1</v>
      </c>
      <c r="C53" s="122"/>
      <c r="D53" s="123">
        <v>44877</v>
      </c>
      <c r="E53" s="124">
        <v>0</v>
      </c>
      <c r="F53" s="41"/>
      <c r="G53" s="37"/>
      <c r="H53" s="45"/>
      <c r="I53" s="45"/>
      <c r="J53" s="45"/>
      <c r="K53" s="125"/>
      <c r="L53" s="126"/>
      <c r="M53" s="127"/>
      <c r="N53" s="128"/>
      <c r="O53" s="45"/>
      <c r="P53" s="46"/>
      <c r="Q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</row>
    <row r="54" spans="1:40" s="7" customFormat="1" ht="15" customHeight="1" x14ac:dyDescent="0.3">
      <c r="A54" s="435"/>
      <c r="B54" s="121">
        <v>3.2</v>
      </c>
      <c r="C54" s="122"/>
      <c r="D54" s="123">
        <v>44878</v>
      </c>
      <c r="E54" s="124">
        <v>0</v>
      </c>
      <c r="F54" s="41"/>
      <c r="G54" s="129" t="s">
        <v>28</v>
      </c>
      <c r="H54" s="445" t="s">
        <v>49</v>
      </c>
      <c r="I54" s="445"/>
      <c r="J54" s="130">
        <f t="shared" ref="J54:J59" si="15">ROUND($G$40*$I$6,2)</f>
        <v>0.22</v>
      </c>
      <c r="K54" s="433">
        <f>SUM(J54:J59)</f>
        <v>1.32</v>
      </c>
      <c r="L54" s="129" t="s">
        <v>30</v>
      </c>
      <c r="M54" s="445" t="s">
        <v>50</v>
      </c>
      <c r="N54" s="445"/>
      <c r="O54" s="131">
        <f t="shared" ref="O54:O59" si="16">ROUND($G$40*$I$7,2)</f>
        <v>0.61</v>
      </c>
      <c r="P54" s="433">
        <f>SUM(O54:O59)</f>
        <v>3.6599999999999997</v>
      </c>
      <c r="Q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</row>
    <row r="55" spans="1:40" s="7" customFormat="1" ht="13.8" x14ac:dyDescent="0.3">
      <c r="A55" s="435"/>
      <c r="B55" s="121">
        <v>3.3</v>
      </c>
      <c r="C55" s="122"/>
      <c r="D55" s="123">
        <v>44879</v>
      </c>
      <c r="E55" s="124">
        <v>0</v>
      </c>
      <c r="F55" s="41"/>
      <c r="G55" s="129" t="s">
        <v>32</v>
      </c>
      <c r="H55" s="445" t="s">
        <v>49</v>
      </c>
      <c r="I55" s="445"/>
      <c r="J55" s="130">
        <f t="shared" si="15"/>
        <v>0.22</v>
      </c>
      <c r="K55" s="433"/>
      <c r="L55" s="129" t="s">
        <v>33</v>
      </c>
      <c r="M55" s="445" t="s">
        <v>50</v>
      </c>
      <c r="N55" s="445"/>
      <c r="O55" s="131">
        <f t="shared" si="16"/>
        <v>0.61</v>
      </c>
      <c r="P55" s="433"/>
      <c r="Q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</row>
    <row r="56" spans="1:40" s="7" customFormat="1" ht="13.8" x14ac:dyDescent="0.3">
      <c r="A56" s="435"/>
      <c r="B56" s="121">
        <v>3.4</v>
      </c>
      <c r="C56" s="122"/>
      <c r="D56" s="123">
        <v>44880</v>
      </c>
      <c r="E56" s="124">
        <v>0</v>
      </c>
      <c r="F56" s="41"/>
      <c r="G56" s="129" t="s">
        <v>34</v>
      </c>
      <c r="H56" s="445" t="s">
        <v>49</v>
      </c>
      <c r="I56" s="445"/>
      <c r="J56" s="130">
        <f t="shared" si="15"/>
        <v>0.22</v>
      </c>
      <c r="K56" s="433"/>
      <c r="L56" s="129" t="s">
        <v>51</v>
      </c>
      <c r="M56" s="445" t="s">
        <v>50</v>
      </c>
      <c r="N56" s="445"/>
      <c r="O56" s="131">
        <f t="shared" si="16"/>
        <v>0.61</v>
      </c>
      <c r="P56" s="433"/>
      <c r="Q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</row>
    <row r="57" spans="1:40" s="7" customFormat="1" ht="13.8" x14ac:dyDescent="0.3">
      <c r="A57" s="435"/>
      <c r="B57" s="37">
        <v>3.5</v>
      </c>
      <c r="C57" s="132"/>
      <c r="D57" s="39">
        <v>44881</v>
      </c>
      <c r="E57" s="124">
        <v>0</v>
      </c>
      <c r="F57" s="41"/>
      <c r="G57" s="129" t="s">
        <v>35</v>
      </c>
      <c r="H57" s="445" t="s">
        <v>49</v>
      </c>
      <c r="I57" s="445"/>
      <c r="J57" s="130">
        <f t="shared" si="15"/>
        <v>0.22</v>
      </c>
      <c r="K57" s="433"/>
      <c r="L57" s="129" t="s">
        <v>52</v>
      </c>
      <c r="M57" s="445" t="s">
        <v>50</v>
      </c>
      <c r="N57" s="445"/>
      <c r="O57" s="131">
        <f t="shared" si="16"/>
        <v>0.61</v>
      </c>
      <c r="P57" s="433"/>
      <c r="Q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</row>
    <row r="58" spans="1:40" s="7" customFormat="1" ht="13.8" x14ac:dyDescent="0.3">
      <c r="A58" s="435"/>
      <c r="B58" s="37">
        <v>3.6</v>
      </c>
      <c r="C58" s="132"/>
      <c r="D58" s="39">
        <v>44882</v>
      </c>
      <c r="E58" s="124">
        <v>0</v>
      </c>
      <c r="F58" s="41"/>
      <c r="G58" s="129" t="s">
        <v>36</v>
      </c>
      <c r="H58" s="445" t="s">
        <v>49</v>
      </c>
      <c r="I58" s="445"/>
      <c r="J58" s="130">
        <f t="shared" si="15"/>
        <v>0.22</v>
      </c>
      <c r="K58" s="433"/>
      <c r="L58" s="129" t="s">
        <v>53</v>
      </c>
      <c r="M58" s="445" t="s">
        <v>50</v>
      </c>
      <c r="N58" s="445"/>
      <c r="O58" s="131">
        <f t="shared" si="16"/>
        <v>0.61</v>
      </c>
      <c r="P58" s="433"/>
      <c r="Q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</row>
    <row r="59" spans="1:40" s="7" customFormat="1" ht="13.8" x14ac:dyDescent="0.3">
      <c r="A59" s="435"/>
      <c r="B59" s="37">
        <v>3.7</v>
      </c>
      <c r="C59" s="132" t="s">
        <v>27</v>
      </c>
      <c r="D59" s="39">
        <v>44883</v>
      </c>
      <c r="E59" s="40">
        <f>F66+K66+O66</f>
        <v>1139.0999999999999</v>
      </c>
      <c r="F59" s="41"/>
      <c r="G59" s="129" t="s">
        <v>54</v>
      </c>
      <c r="H59" s="445" t="s">
        <v>49</v>
      </c>
      <c r="I59" s="445"/>
      <c r="J59" s="130">
        <f t="shared" si="15"/>
        <v>0.22</v>
      </c>
      <c r="K59" s="434"/>
      <c r="L59" s="129" t="s">
        <v>55</v>
      </c>
      <c r="M59" s="445" t="s">
        <v>50</v>
      </c>
      <c r="N59" s="445"/>
      <c r="O59" s="131">
        <f t="shared" si="16"/>
        <v>0.61</v>
      </c>
      <c r="P59" s="434"/>
      <c r="Q59" s="118"/>
      <c r="R59" s="133" t="s">
        <v>56</v>
      </c>
      <c r="S59" s="118"/>
      <c r="T59" s="118">
        <f>F66+K66+O66</f>
        <v>1139.0999999999999</v>
      </c>
      <c r="V59" s="399"/>
      <c r="W59" s="135"/>
      <c r="X59" s="118"/>
      <c r="Y59" s="134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</row>
    <row r="60" spans="1:40" s="7" customFormat="1" ht="13.8" x14ac:dyDescent="0.3">
      <c r="A60" s="435"/>
      <c r="B60" s="47">
        <v>4.0999999999999996</v>
      </c>
      <c r="C60" s="136" t="s">
        <v>27</v>
      </c>
      <c r="D60" s="49">
        <v>44907</v>
      </c>
      <c r="E60" s="60">
        <f>$E$8</f>
        <v>1134.1199999999999</v>
      </c>
      <c r="F60" s="51"/>
      <c r="G60" s="137"/>
      <c r="H60" s="52"/>
      <c r="I60" s="52"/>
      <c r="J60" s="52"/>
      <c r="K60" s="53"/>
      <c r="L60" s="54"/>
      <c r="M60" s="55"/>
      <c r="N60" s="52"/>
      <c r="O60" s="52"/>
      <c r="P60" s="53"/>
      <c r="Q60" s="118"/>
      <c r="R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40" s="28" customFormat="1" ht="14.4" thickBot="1" x14ac:dyDescent="0.35">
      <c r="A61" s="435"/>
      <c r="B61" s="138"/>
      <c r="C61" s="139"/>
      <c r="D61" s="140"/>
      <c r="E61" s="141"/>
      <c r="G61" s="142"/>
      <c r="H61" s="142"/>
      <c r="I61" s="142"/>
      <c r="J61" s="142"/>
      <c r="K61" s="142"/>
      <c r="L61" s="143"/>
      <c r="N61" s="142"/>
      <c r="O61" s="142"/>
      <c r="P61" s="142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</row>
    <row r="62" spans="1:40" s="12" customFormat="1" ht="62.25" customHeight="1" thickBot="1" x14ac:dyDescent="0.35">
      <c r="A62" s="435"/>
      <c r="B62" s="67" t="s">
        <v>14</v>
      </c>
      <c r="C62" s="13" t="s">
        <v>37</v>
      </c>
      <c r="D62" s="68" t="s">
        <v>15</v>
      </c>
      <c r="E62" s="13" t="s">
        <v>16</v>
      </c>
      <c r="F62" s="69" t="s">
        <v>17</v>
      </c>
      <c r="G62" s="70" t="s">
        <v>38</v>
      </c>
      <c r="H62" s="71" t="s">
        <v>39</v>
      </c>
      <c r="I62" s="72" t="s">
        <v>40</v>
      </c>
      <c r="J62" s="73" t="s">
        <v>41</v>
      </c>
      <c r="K62" s="71" t="s">
        <v>42</v>
      </c>
      <c r="L62" s="71" t="s">
        <v>43</v>
      </c>
      <c r="M62" s="72" t="s">
        <v>44</v>
      </c>
      <c r="N62" s="73" t="s">
        <v>45</v>
      </c>
      <c r="O62" s="71" t="s">
        <v>46</v>
      </c>
      <c r="P62" s="74" t="s">
        <v>47</v>
      </c>
      <c r="R62" s="7"/>
    </row>
    <row r="63" spans="1:40" s="22" customFormat="1" ht="13.8" x14ac:dyDescent="0.3">
      <c r="A63" s="435"/>
      <c r="B63" s="144"/>
      <c r="C63" s="145"/>
      <c r="D63" s="146">
        <f>IF(DAY($E$2)&gt;28,DATE(YEAR($E$2),MONTH($E$2)+1,1),$E$2)</f>
        <v>44785</v>
      </c>
      <c r="E63" s="147"/>
      <c r="F63" s="148">
        <f>-$E$3</f>
        <v>-12000</v>
      </c>
      <c r="G63" s="149"/>
      <c r="H63" s="150"/>
      <c r="I63" s="149"/>
      <c r="J63" s="151"/>
      <c r="K63" s="152"/>
      <c r="L63" s="150"/>
      <c r="M63" s="149"/>
      <c r="N63" s="151"/>
      <c r="O63" s="153"/>
      <c r="P63" s="154"/>
      <c r="R63" s="66" t="s">
        <v>57</v>
      </c>
      <c r="S63" s="66" t="s">
        <v>58</v>
      </c>
      <c r="T63" s="28"/>
      <c r="U63" s="28"/>
      <c r="V63" s="28"/>
    </row>
    <row r="64" spans="1:40" s="28" customFormat="1" ht="13.8" x14ac:dyDescent="0.3">
      <c r="A64" s="435"/>
      <c r="B64" s="155">
        <v>1</v>
      </c>
      <c r="C64" s="156" t="s">
        <v>48</v>
      </c>
      <c r="D64" s="157">
        <f>DATE(YEAR(D63),MONTH(D63)+1,DAY(D63))</f>
        <v>44816</v>
      </c>
      <c r="E64" s="158">
        <f>$E$3</f>
        <v>12000</v>
      </c>
      <c r="F64" s="159">
        <f t="shared" ref="F64:F75" si="17">IF($B64&lt;=$E$4,$E$8,0)</f>
        <v>1134.1199999999999</v>
      </c>
      <c r="G64" s="160">
        <f t="shared" ref="G64:G75" si="18">IF($B64&gt;$E$4,0,$F64-$I64-$M64)</f>
        <v>962.97</v>
      </c>
      <c r="H64" s="161">
        <f>-G64</f>
        <v>-962.97</v>
      </c>
      <c r="I64" s="160">
        <f t="shared" ref="I64:I70" si="19">ROUND($E64*$I$2,2)</f>
        <v>82</v>
      </c>
      <c r="J64" s="162">
        <f t="shared" ref="J64:J65" si="20">-I64</f>
        <v>-82</v>
      </c>
      <c r="K64" s="163"/>
      <c r="L64" s="161"/>
      <c r="M64" s="160">
        <f t="shared" ref="M64:M75" si="21">$E$8-$E$7</f>
        <v>89.149999999999864</v>
      </c>
      <c r="N64" s="162">
        <f>-M64</f>
        <v>-89.149999999999864</v>
      </c>
      <c r="O64" s="153"/>
      <c r="P64" s="164"/>
      <c r="R64" s="12">
        <v>1</v>
      </c>
      <c r="S64" s="7" t="s">
        <v>59</v>
      </c>
      <c r="T64" s="165">
        <f>L66</f>
        <v>-1.32</v>
      </c>
    </row>
    <row r="65" spans="1:39" s="28" customFormat="1" ht="13.8" x14ac:dyDescent="0.3">
      <c r="A65" s="435"/>
      <c r="B65" s="155">
        <f>B64+1</f>
        <v>2</v>
      </c>
      <c r="C65" s="156" t="s">
        <v>48</v>
      </c>
      <c r="D65" s="157">
        <f>DATE(YEAR(D64),MONTH(D64)+1,DAY(D64))</f>
        <v>44846</v>
      </c>
      <c r="E65" s="158">
        <f t="shared" ref="E65:E75" si="22">$E64-$G64</f>
        <v>11037.03</v>
      </c>
      <c r="F65" s="159">
        <f t="shared" si="17"/>
        <v>1134.1199999999999</v>
      </c>
      <c r="G65" s="160">
        <f t="shared" si="18"/>
        <v>969.55</v>
      </c>
      <c r="H65" s="161">
        <f>-G65</f>
        <v>-969.55</v>
      </c>
      <c r="I65" s="160">
        <f t="shared" si="19"/>
        <v>75.42</v>
      </c>
      <c r="J65" s="162">
        <f t="shared" si="20"/>
        <v>-75.42</v>
      </c>
      <c r="K65" s="166"/>
      <c r="L65" s="161"/>
      <c r="M65" s="160">
        <f t="shared" si="21"/>
        <v>89.149999999999864</v>
      </c>
      <c r="N65" s="162">
        <f>-M65</f>
        <v>-89.149999999999864</v>
      </c>
      <c r="O65" s="153"/>
      <c r="P65" s="164"/>
      <c r="R65" s="12">
        <v>2</v>
      </c>
      <c r="S65" s="7" t="s">
        <v>60</v>
      </c>
      <c r="T65" s="165">
        <f>J66</f>
        <v>-68.790000000000006</v>
      </c>
    </row>
    <row r="66" spans="1:39" s="28" customFormat="1" ht="13.8" x14ac:dyDescent="0.3">
      <c r="A66" s="435"/>
      <c r="B66" s="86">
        <f t="shared" ref="B66:B75" si="23">B65+1</f>
        <v>3</v>
      </c>
      <c r="C66" s="167" t="s">
        <v>61</v>
      </c>
      <c r="D66" s="88">
        <f t="shared" ref="D66:D75" si="24">DATE(YEAR(D65),MONTH(D65)+1,DAY(D65))</f>
        <v>44877</v>
      </c>
      <c r="E66" s="26">
        <f t="shared" si="22"/>
        <v>10067.480000000001</v>
      </c>
      <c r="F66" s="89">
        <f t="shared" si="17"/>
        <v>1134.1199999999999</v>
      </c>
      <c r="G66" s="90">
        <f t="shared" si="18"/>
        <v>976.18000000000006</v>
      </c>
      <c r="H66" s="91">
        <f>-G66</f>
        <v>-976.18000000000006</v>
      </c>
      <c r="I66" s="92">
        <f t="shared" si="19"/>
        <v>68.790000000000006</v>
      </c>
      <c r="J66" s="93">
        <f>-I66</f>
        <v>-68.790000000000006</v>
      </c>
      <c r="K66" s="94">
        <f>$K$54</f>
        <v>1.32</v>
      </c>
      <c r="L66" s="91">
        <f>-K66</f>
        <v>-1.32</v>
      </c>
      <c r="M66" s="92">
        <f t="shared" si="21"/>
        <v>89.149999999999864</v>
      </c>
      <c r="N66" s="93">
        <f>-M66</f>
        <v>-89.149999999999864</v>
      </c>
      <c r="O66" s="94">
        <f>$P$54</f>
        <v>3.6599999999999997</v>
      </c>
      <c r="P66" s="168">
        <f>-O66</f>
        <v>-3.6599999999999997</v>
      </c>
      <c r="R66" s="12">
        <v>3</v>
      </c>
      <c r="S66" s="7" t="s">
        <v>62</v>
      </c>
      <c r="T66" s="165">
        <f>H66</f>
        <v>-976.18000000000006</v>
      </c>
    </row>
    <row r="67" spans="1:39" s="28" customFormat="1" ht="13.8" x14ac:dyDescent="0.3">
      <c r="A67" s="435"/>
      <c r="B67" s="86">
        <f t="shared" si="23"/>
        <v>4</v>
      </c>
      <c r="C67" s="98" t="s">
        <v>48</v>
      </c>
      <c r="D67" s="88">
        <f t="shared" si="24"/>
        <v>44907</v>
      </c>
      <c r="E67" s="26">
        <f t="shared" si="22"/>
        <v>9091.3000000000011</v>
      </c>
      <c r="F67" s="89">
        <f t="shared" si="17"/>
        <v>1134.1199999999999</v>
      </c>
      <c r="G67" s="90">
        <f t="shared" si="18"/>
        <v>982.85000000000014</v>
      </c>
      <c r="H67" s="91">
        <f>-G67</f>
        <v>-982.85000000000014</v>
      </c>
      <c r="I67" s="92">
        <f t="shared" si="19"/>
        <v>62.12</v>
      </c>
      <c r="J67" s="93">
        <f>-I67</f>
        <v>-62.12</v>
      </c>
      <c r="K67" s="94"/>
      <c r="L67" s="95"/>
      <c r="M67" s="92">
        <f t="shared" si="21"/>
        <v>89.149999999999864</v>
      </c>
      <c r="N67" s="93">
        <f>-M67</f>
        <v>-89.149999999999864</v>
      </c>
      <c r="O67" s="84"/>
      <c r="P67" s="96"/>
      <c r="R67" s="12">
        <v>4</v>
      </c>
      <c r="S67" s="7" t="s">
        <v>63</v>
      </c>
      <c r="T67" s="165">
        <f>P66</f>
        <v>-3.6599999999999997</v>
      </c>
    </row>
    <row r="68" spans="1:39" s="28" customFormat="1" ht="13.8" x14ac:dyDescent="0.3">
      <c r="A68" s="435"/>
      <c r="B68" s="86">
        <f t="shared" si="23"/>
        <v>5</v>
      </c>
      <c r="C68" s="98"/>
      <c r="D68" s="88">
        <f t="shared" si="24"/>
        <v>44938</v>
      </c>
      <c r="E68" s="26">
        <f t="shared" si="22"/>
        <v>8108.4500000000007</v>
      </c>
      <c r="F68" s="89">
        <f t="shared" si="17"/>
        <v>1134.1199999999999</v>
      </c>
      <c r="G68" s="90">
        <f t="shared" si="18"/>
        <v>989.56</v>
      </c>
      <c r="H68" s="91"/>
      <c r="I68" s="92">
        <f t="shared" si="19"/>
        <v>55.41</v>
      </c>
      <c r="J68" s="99"/>
      <c r="K68" s="94"/>
      <c r="L68" s="100"/>
      <c r="M68" s="92">
        <f t="shared" si="21"/>
        <v>89.149999999999864</v>
      </c>
      <c r="N68" s="93"/>
      <c r="O68" s="94"/>
      <c r="P68" s="96"/>
      <c r="R68" s="12">
        <v>5</v>
      </c>
      <c r="S68" s="7" t="s">
        <v>64</v>
      </c>
      <c r="T68" s="165">
        <f>N66</f>
        <v>-89.149999999999864</v>
      </c>
    </row>
    <row r="69" spans="1:39" s="28" customFormat="1" ht="13.8" x14ac:dyDescent="0.3">
      <c r="A69" s="435"/>
      <c r="B69" s="86">
        <f t="shared" si="23"/>
        <v>6</v>
      </c>
      <c r="C69" s="98"/>
      <c r="D69" s="88">
        <f t="shared" si="24"/>
        <v>44969</v>
      </c>
      <c r="E69" s="26">
        <f t="shared" si="22"/>
        <v>7118.8900000000012</v>
      </c>
      <c r="F69" s="89">
        <f t="shared" si="17"/>
        <v>1134.1199999999999</v>
      </c>
      <c r="G69" s="90">
        <f t="shared" si="18"/>
        <v>996.32999999999993</v>
      </c>
      <c r="H69" s="100"/>
      <c r="I69" s="92">
        <f t="shared" si="19"/>
        <v>48.64</v>
      </c>
      <c r="J69" s="99"/>
      <c r="K69" s="94"/>
      <c r="L69" s="100"/>
      <c r="M69" s="92">
        <f t="shared" si="21"/>
        <v>89.149999999999864</v>
      </c>
      <c r="N69" s="93"/>
      <c r="O69" s="94"/>
      <c r="P69" s="96"/>
      <c r="R69" s="23" t="s">
        <v>65</v>
      </c>
      <c r="S69" s="169">
        <f>$E$59</f>
        <v>1139.0999999999999</v>
      </c>
      <c r="T69" s="170">
        <f>SUM(T64:T68)</f>
        <v>-1139.0999999999999</v>
      </c>
    </row>
    <row r="70" spans="1:39" s="28" customFormat="1" ht="13.8" x14ac:dyDescent="0.3">
      <c r="A70" s="435"/>
      <c r="B70" s="86">
        <f t="shared" si="23"/>
        <v>7</v>
      </c>
      <c r="C70" s="98"/>
      <c r="D70" s="88">
        <f t="shared" si="24"/>
        <v>44997</v>
      </c>
      <c r="E70" s="26">
        <f t="shared" si="22"/>
        <v>6122.5600000000013</v>
      </c>
      <c r="F70" s="89">
        <f t="shared" si="17"/>
        <v>1134.1199999999999</v>
      </c>
      <c r="G70" s="90">
        <f t="shared" si="18"/>
        <v>1003.1300000000001</v>
      </c>
      <c r="H70" s="95"/>
      <c r="I70" s="92">
        <f t="shared" si="19"/>
        <v>41.84</v>
      </c>
      <c r="J70" s="101"/>
      <c r="K70" s="94"/>
      <c r="L70" s="95"/>
      <c r="M70" s="92">
        <f t="shared" si="21"/>
        <v>89.149999999999864</v>
      </c>
      <c r="N70" s="101"/>
      <c r="O70" s="94"/>
      <c r="P70" s="96"/>
    </row>
    <row r="71" spans="1:39" s="28" customFormat="1" ht="13.8" x14ac:dyDescent="0.3">
      <c r="A71" s="435"/>
      <c r="B71" s="86">
        <f t="shared" si="23"/>
        <v>8</v>
      </c>
      <c r="C71" s="87"/>
      <c r="D71" s="88">
        <f t="shared" si="24"/>
        <v>45028</v>
      </c>
      <c r="E71" s="26">
        <f t="shared" si="22"/>
        <v>5119.4300000000012</v>
      </c>
      <c r="F71" s="89">
        <f t="shared" si="17"/>
        <v>1134.1199999999999</v>
      </c>
      <c r="G71" s="90">
        <f t="shared" si="18"/>
        <v>1009.9889350000001</v>
      </c>
      <c r="H71" s="95"/>
      <c r="I71" s="92">
        <f>ROUND($E71*$I$2,6)</f>
        <v>34.981065000000001</v>
      </c>
      <c r="J71" s="101"/>
      <c r="K71" s="102"/>
      <c r="L71" s="95"/>
      <c r="M71" s="92">
        <f t="shared" si="21"/>
        <v>89.149999999999864</v>
      </c>
      <c r="N71" s="101"/>
      <c r="O71" s="103"/>
      <c r="P71" s="96"/>
    </row>
    <row r="72" spans="1:39" s="28" customFormat="1" ht="13.8" x14ac:dyDescent="0.3">
      <c r="A72" s="435"/>
      <c r="B72" s="86">
        <f t="shared" si="23"/>
        <v>9</v>
      </c>
      <c r="C72" s="87"/>
      <c r="D72" s="88">
        <f t="shared" si="24"/>
        <v>45058</v>
      </c>
      <c r="E72" s="26">
        <f t="shared" si="22"/>
        <v>4109.4410650000009</v>
      </c>
      <c r="F72" s="89">
        <f t="shared" si="17"/>
        <v>1134.1199999999999</v>
      </c>
      <c r="G72" s="90">
        <f t="shared" si="18"/>
        <v>1016.890189</v>
      </c>
      <c r="H72" s="95"/>
      <c r="I72" s="92">
        <f>ROUND($E72*$I$2,6)</f>
        <v>28.079810999999999</v>
      </c>
      <c r="J72" s="101"/>
      <c r="K72" s="102"/>
      <c r="L72" s="95"/>
      <c r="M72" s="92">
        <f t="shared" si="21"/>
        <v>89.149999999999864</v>
      </c>
      <c r="N72" s="101"/>
      <c r="O72" s="103"/>
      <c r="P72" s="96"/>
    </row>
    <row r="73" spans="1:39" s="28" customFormat="1" ht="13.8" x14ac:dyDescent="0.3">
      <c r="A73" s="435"/>
      <c r="B73" s="86">
        <f t="shared" si="23"/>
        <v>10</v>
      </c>
      <c r="C73" s="87"/>
      <c r="D73" s="88">
        <f t="shared" si="24"/>
        <v>45089</v>
      </c>
      <c r="E73" s="26">
        <f t="shared" si="22"/>
        <v>3092.5508760000012</v>
      </c>
      <c r="F73" s="89">
        <f t="shared" si="17"/>
        <v>1134.1199999999999</v>
      </c>
      <c r="G73" s="90">
        <f t="shared" si="18"/>
        <v>1023.8386</v>
      </c>
      <c r="H73" s="95"/>
      <c r="I73" s="92">
        <f>ROUND($E73*$I$2,6)</f>
        <v>21.131399999999999</v>
      </c>
      <c r="J73" s="101"/>
      <c r="K73" s="102"/>
      <c r="L73" s="95"/>
      <c r="M73" s="92">
        <f t="shared" si="21"/>
        <v>89.149999999999864</v>
      </c>
      <c r="N73" s="101"/>
      <c r="O73" s="103"/>
      <c r="P73" s="96"/>
    </row>
    <row r="74" spans="1:39" s="28" customFormat="1" ht="13.8" x14ac:dyDescent="0.3">
      <c r="A74" s="435"/>
      <c r="B74" s="86">
        <f t="shared" si="23"/>
        <v>11</v>
      </c>
      <c r="C74" s="87"/>
      <c r="D74" s="88">
        <f t="shared" si="24"/>
        <v>45119</v>
      </c>
      <c r="E74" s="26">
        <f t="shared" si="22"/>
        <v>2068.7122760000011</v>
      </c>
      <c r="F74" s="89">
        <f t="shared" si="17"/>
        <v>1134.1199999999999</v>
      </c>
      <c r="G74" s="90">
        <f t="shared" si="18"/>
        <v>1030.8344890000001</v>
      </c>
      <c r="H74" s="95"/>
      <c r="I74" s="92">
        <f>ROUND($E74*$I$2,6)</f>
        <v>14.135510999999999</v>
      </c>
      <c r="J74" s="101"/>
      <c r="K74" s="102"/>
      <c r="L74" s="95"/>
      <c r="M74" s="92">
        <f t="shared" si="21"/>
        <v>89.149999999999864</v>
      </c>
      <c r="N74" s="101"/>
      <c r="O74" s="103"/>
      <c r="P74" s="96"/>
    </row>
    <row r="75" spans="1:39" s="28" customFormat="1" ht="14.4" thickBot="1" x14ac:dyDescent="0.35">
      <c r="A75" s="435"/>
      <c r="B75" s="104">
        <f t="shared" si="23"/>
        <v>12</v>
      </c>
      <c r="C75" s="105"/>
      <c r="D75" s="106">
        <f t="shared" si="24"/>
        <v>45150</v>
      </c>
      <c r="E75" s="31">
        <f t="shared" si="22"/>
        <v>1037.877787000001</v>
      </c>
      <c r="F75" s="107">
        <f t="shared" si="17"/>
        <v>1134.1199999999999</v>
      </c>
      <c r="G75" s="108">
        <f t="shared" si="18"/>
        <v>1037.878181</v>
      </c>
      <c r="H75" s="109"/>
      <c r="I75" s="110">
        <f>ROUND($E75*I$2,6)</f>
        <v>7.0918190000000001</v>
      </c>
      <c r="J75" s="111"/>
      <c r="K75" s="112"/>
      <c r="L75" s="109"/>
      <c r="M75" s="110">
        <f t="shared" si="21"/>
        <v>89.149999999999864</v>
      </c>
      <c r="N75" s="111"/>
      <c r="O75" s="113"/>
      <c r="P75" s="114"/>
    </row>
    <row r="76" spans="1:39" s="28" customFormat="1" x14ac:dyDescent="0.3">
      <c r="A76" s="390"/>
      <c r="B76" s="138"/>
      <c r="C76" s="139"/>
      <c r="D76" s="140"/>
      <c r="E76" s="141"/>
      <c r="G76" s="142"/>
      <c r="H76" s="142"/>
      <c r="I76" s="142"/>
      <c r="J76" s="142"/>
      <c r="K76" s="142"/>
      <c r="L76" s="143"/>
      <c r="N76" s="142"/>
      <c r="O76" s="142"/>
      <c r="P76" s="142"/>
      <c r="Q76" s="142"/>
      <c r="R76" s="142"/>
      <c r="S76" s="142"/>
      <c r="T76" s="142"/>
      <c r="U76" s="171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72"/>
    </row>
    <row r="77" spans="1:39" s="28" customFormat="1" ht="16.2" thickBot="1" x14ac:dyDescent="0.35">
      <c r="A77" s="390"/>
      <c r="B77" s="138"/>
      <c r="C77" s="139"/>
      <c r="D77" s="140"/>
      <c r="E77" s="141"/>
      <c r="G77" s="142"/>
      <c r="H77" s="142"/>
      <c r="I77" s="142"/>
      <c r="J77" s="142"/>
      <c r="K77" s="142"/>
      <c r="L77" s="143"/>
      <c r="N77" s="142"/>
      <c r="O77" s="142"/>
      <c r="P77" s="142"/>
      <c r="Q77" s="142"/>
      <c r="R77" s="142"/>
      <c r="S77" s="142"/>
      <c r="T77" s="142"/>
      <c r="U77" s="171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72"/>
    </row>
    <row r="78" spans="1:39" s="28" customFormat="1" ht="15" customHeight="1" x14ac:dyDescent="0.3">
      <c r="A78" s="435" t="s">
        <v>262</v>
      </c>
      <c r="B78" s="5" t="s">
        <v>21</v>
      </c>
      <c r="C78" s="6" t="s">
        <v>22</v>
      </c>
      <c r="D78" s="34" t="s">
        <v>23</v>
      </c>
      <c r="E78" s="6" t="s">
        <v>24</v>
      </c>
      <c r="F78" s="35"/>
      <c r="G78" s="430" t="s">
        <v>25</v>
      </c>
      <c r="H78" s="431"/>
      <c r="I78" s="431"/>
      <c r="J78" s="431"/>
      <c r="K78" s="432"/>
      <c r="L78" s="430" t="s">
        <v>26</v>
      </c>
      <c r="M78" s="431"/>
      <c r="N78" s="431"/>
      <c r="O78" s="431"/>
      <c r="P78" s="432"/>
      <c r="Q78" s="430" t="s">
        <v>66</v>
      </c>
      <c r="R78" s="431"/>
      <c r="S78" s="431"/>
      <c r="T78" s="431"/>
      <c r="U78" s="432"/>
    </row>
    <row r="79" spans="1:39" s="7" customFormat="1" ht="15" customHeight="1" x14ac:dyDescent="0.3">
      <c r="A79" s="435"/>
      <c r="B79" s="173" t="s">
        <v>67</v>
      </c>
      <c r="C79" s="45"/>
      <c r="D79" s="39">
        <v>44938</v>
      </c>
      <c r="E79" s="124">
        <v>0</v>
      </c>
      <c r="F79" s="41"/>
      <c r="G79" s="37"/>
      <c r="H79" s="45"/>
      <c r="I79" s="45"/>
      <c r="J79" s="45"/>
      <c r="K79" s="174" t="s">
        <v>65</v>
      </c>
      <c r="L79" s="175"/>
      <c r="M79" s="127"/>
      <c r="N79" s="45"/>
      <c r="O79" s="45"/>
      <c r="P79" s="174" t="s">
        <v>65</v>
      </c>
      <c r="Q79" s="176"/>
      <c r="R79" s="45"/>
      <c r="S79" s="45"/>
      <c r="T79" s="45"/>
      <c r="U79" s="174"/>
      <c r="W79" s="66" t="s">
        <v>57</v>
      </c>
      <c r="X79" s="66" t="s">
        <v>58</v>
      </c>
      <c r="Y79" s="169">
        <f>$E$81</f>
        <v>300</v>
      </c>
      <c r="Z79" s="169">
        <f>$E$86</f>
        <v>200</v>
      </c>
      <c r="AA79" s="28"/>
      <c r="AB79" s="120"/>
      <c r="AC79" s="120"/>
      <c r="AD79" s="120"/>
      <c r="AE79" s="120"/>
      <c r="AF79" s="172"/>
      <c r="AG79" s="28"/>
      <c r="AH79" s="28"/>
      <c r="AI79" s="28"/>
      <c r="AJ79" s="28"/>
      <c r="AK79" s="28"/>
      <c r="AL79" s="28"/>
      <c r="AM79" s="28"/>
    </row>
    <row r="80" spans="1:39" s="7" customFormat="1" ht="15" customHeight="1" x14ac:dyDescent="0.3">
      <c r="A80" s="435"/>
      <c r="B80" s="173" t="s">
        <v>68</v>
      </c>
      <c r="C80" s="45"/>
      <c r="D80" s="39">
        <v>44939</v>
      </c>
      <c r="E80" s="124">
        <v>0</v>
      </c>
      <c r="F80" s="41"/>
      <c r="G80" s="177" t="s">
        <v>28</v>
      </c>
      <c r="H80" s="446" t="s">
        <v>69</v>
      </c>
      <c r="I80" s="446"/>
      <c r="J80" s="131">
        <f>ROUND($H$117*$I$6,2)</f>
        <v>0.23</v>
      </c>
      <c r="K80" s="433">
        <f>SUM(J80:J86)</f>
        <v>1.31</v>
      </c>
      <c r="L80" s="129" t="s">
        <v>30</v>
      </c>
      <c r="M80" s="446" t="s">
        <v>70</v>
      </c>
      <c r="N80" s="446"/>
      <c r="O80" s="131">
        <f>ROUND($H$117*$I$7,2)</f>
        <v>0.61</v>
      </c>
      <c r="P80" s="433">
        <f>SUM(O80:O89)</f>
        <v>4.54</v>
      </c>
      <c r="Q80" s="176"/>
      <c r="R80" s="45"/>
      <c r="S80" s="45"/>
      <c r="T80" s="45"/>
      <c r="U80" s="46"/>
      <c r="W80" s="12">
        <v>1</v>
      </c>
      <c r="X80" s="7" t="s">
        <v>59</v>
      </c>
      <c r="Y80" s="165">
        <v>0</v>
      </c>
      <c r="Z80" s="165">
        <f>P117</f>
        <v>-1.31</v>
      </c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7" customFormat="1" ht="13.8" x14ac:dyDescent="0.3">
      <c r="A81" s="435"/>
      <c r="B81" s="173" t="s">
        <v>71</v>
      </c>
      <c r="C81" s="45" t="s">
        <v>27</v>
      </c>
      <c r="D81" s="39">
        <v>44940</v>
      </c>
      <c r="E81" s="178">
        <v>300</v>
      </c>
      <c r="F81" s="41"/>
      <c r="G81" s="177" t="s">
        <v>32</v>
      </c>
      <c r="H81" s="45" t="s">
        <v>72</v>
      </c>
      <c r="I81" s="45"/>
      <c r="J81" s="131">
        <f>ROUND($H$117*$I$6,2)</f>
        <v>0.23</v>
      </c>
      <c r="K81" s="433"/>
      <c r="L81" s="129" t="s">
        <v>33</v>
      </c>
      <c r="M81" s="45" t="s">
        <v>72</v>
      </c>
      <c r="N81" s="45"/>
      <c r="O81" s="131">
        <f>ROUND($H$117*$I$7,2)</f>
        <v>0.61</v>
      </c>
      <c r="P81" s="433"/>
      <c r="Q81" s="176"/>
      <c r="R81" s="45"/>
      <c r="S81" s="45"/>
      <c r="T81" s="45"/>
      <c r="U81" s="46"/>
      <c r="W81" s="12">
        <v>2</v>
      </c>
      <c r="X81" s="7" t="s">
        <v>60</v>
      </c>
      <c r="Y81" s="165">
        <f>M117</f>
        <v>-55.41</v>
      </c>
      <c r="Z81" s="165">
        <v>0</v>
      </c>
      <c r="AA81" s="28"/>
      <c r="AB81" s="120"/>
      <c r="AC81" s="120"/>
      <c r="AD81" s="120"/>
      <c r="AE81" s="120"/>
      <c r="AF81" s="172"/>
      <c r="AG81" s="28"/>
      <c r="AH81" s="28"/>
      <c r="AI81" s="28"/>
      <c r="AJ81" s="28"/>
      <c r="AK81" s="28"/>
      <c r="AL81" s="28"/>
      <c r="AM81" s="28"/>
    </row>
    <row r="82" spans="1:39" s="7" customFormat="1" ht="13.8" x14ac:dyDescent="0.3">
      <c r="A82" s="435"/>
      <c r="B82" s="173" t="s">
        <v>73</v>
      </c>
      <c r="C82" s="45"/>
      <c r="D82" s="39">
        <v>44941</v>
      </c>
      <c r="E82" s="124">
        <v>0</v>
      </c>
      <c r="F82" s="41"/>
      <c r="G82" s="177" t="s">
        <v>28</v>
      </c>
      <c r="H82" s="446" t="s">
        <v>254</v>
      </c>
      <c r="I82" s="446"/>
      <c r="J82" s="131">
        <f>ROUND(SUM($H$117:$I$117)*$I$6,2)</f>
        <v>0.17</v>
      </c>
      <c r="K82" s="433"/>
      <c r="L82" s="129" t="s">
        <v>30</v>
      </c>
      <c r="M82" s="446" t="s">
        <v>255</v>
      </c>
      <c r="N82" s="446"/>
      <c r="O82" s="131">
        <f>ROUND(SUM($H$117:$I$117)*$I$7,2)</f>
        <v>0.46</v>
      </c>
      <c r="P82" s="433"/>
      <c r="Q82" s="176"/>
      <c r="R82" s="45"/>
      <c r="S82" s="45"/>
      <c r="T82" s="45"/>
      <c r="U82" s="46"/>
      <c r="W82" s="12">
        <v>3</v>
      </c>
      <c r="X82" s="7" t="s">
        <v>62</v>
      </c>
      <c r="Y82" s="165">
        <f>-(Y79+Y80+Y81)</f>
        <v>-244.59</v>
      </c>
      <c r="Z82" s="165">
        <f>-(Z79+Z80+Z81)</f>
        <v>-198.69</v>
      </c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7" customFormat="1" ht="13.8" x14ac:dyDescent="0.3">
      <c r="A83" s="435"/>
      <c r="B83" s="173" t="s">
        <v>74</v>
      </c>
      <c r="C83" s="45"/>
      <c r="D83" s="39">
        <v>44942</v>
      </c>
      <c r="E83" s="124">
        <v>0</v>
      </c>
      <c r="F83" s="41"/>
      <c r="G83" s="177" t="s">
        <v>32</v>
      </c>
      <c r="H83" s="45" t="s">
        <v>72</v>
      </c>
      <c r="I83" s="45"/>
      <c r="J83" s="131">
        <f>ROUND(SUM($H$117:$I$117)*$I$6,2)</f>
        <v>0.17</v>
      </c>
      <c r="K83" s="433"/>
      <c r="L83" s="129" t="s">
        <v>33</v>
      </c>
      <c r="M83" s="45" t="s">
        <v>72</v>
      </c>
      <c r="N83" s="45"/>
      <c r="O83" s="131">
        <f>ROUND(SUM($H$117:$I$117)*$I$7,2)</f>
        <v>0.46</v>
      </c>
      <c r="P83" s="433"/>
      <c r="Q83" s="176"/>
      <c r="R83" s="45"/>
      <c r="S83" s="45"/>
      <c r="T83" s="45"/>
      <c r="U83" s="46"/>
      <c r="W83" s="12">
        <v>4</v>
      </c>
      <c r="X83" s="7" t="s">
        <v>63</v>
      </c>
      <c r="Y83" s="165">
        <f>U82</f>
        <v>0</v>
      </c>
      <c r="Z83" s="165">
        <f>V82</f>
        <v>0</v>
      </c>
      <c r="AA83" s="28"/>
      <c r="AB83" s="120"/>
      <c r="AC83" s="120"/>
      <c r="AD83" s="120"/>
      <c r="AE83" s="120"/>
      <c r="AF83" s="172"/>
      <c r="AG83" s="28"/>
      <c r="AH83" s="28"/>
      <c r="AI83" s="28"/>
      <c r="AJ83" s="28"/>
      <c r="AK83" s="28"/>
      <c r="AL83" s="28"/>
      <c r="AM83" s="28"/>
    </row>
    <row r="84" spans="1:39" s="7" customFormat="1" ht="13.8" x14ac:dyDescent="0.3">
      <c r="A84" s="435"/>
      <c r="B84" s="173" t="s">
        <v>75</v>
      </c>
      <c r="C84" s="45"/>
      <c r="D84" s="39">
        <v>44943</v>
      </c>
      <c r="E84" s="124">
        <v>0</v>
      </c>
      <c r="F84" s="41"/>
      <c r="G84" s="177" t="s">
        <v>34</v>
      </c>
      <c r="H84" s="45" t="s">
        <v>72</v>
      </c>
      <c r="I84" s="45"/>
      <c r="J84" s="131">
        <f>ROUND(SUM($H$117:$I$117)*$I$6,2)</f>
        <v>0.17</v>
      </c>
      <c r="K84" s="433"/>
      <c r="L84" s="129" t="s">
        <v>51</v>
      </c>
      <c r="M84" s="45" t="s">
        <v>72</v>
      </c>
      <c r="N84" s="45"/>
      <c r="O84" s="131">
        <f>ROUND(SUM($H$117:$I$117)*$I$7,2)</f>
        <v>0.46</v>
      </c>
      <c r="P84" s="433"/>
      <c r="Q84" s="176"/>
      <c r="R84" s="45"/>
      <c r="S84" s="45"/>
      <c r="T84" s="45"/>
      <c r="U84" s="46"/>
      <c r="W84" s="12">
        <v>5</v>
      </c>
      <c r="X84" s="7" t="s">
        <v>64</v>
      </c>
      <c r="Y84" s="165">
        <f>S82</f>
        <v>0</v>
      </c>
      <c r="Z84" s="165">
        <f>T82</f>
        <v>0</v>
      </c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s="7" customFormat="1" ht="13.8" x14ac:dyDescent="0.3">
      <c r="A85" s="435"/>
      <c r="B85" s="173" t="s">
        <v>76</v>
      </c>
      <c r="C85" s="45"/>
      <c r="D85" s="39">
        <v>44944</v>
      </c>
      <c r="E85" s="124">
        <v>0</v>
      </c>
      <c r="F85" s="41"/>
      <c r="G85" s="177" t="s">
        <v>35</v>
      </c>
      <c r="H85" s="45" t="s">
        <v>72</v>
      </c>
      <c r="I85" s="45"/>
      <c r="J85" s="131">
        <f>ROUND(SUM($H$117:$I$117)*$I$6,2)</f>
        <v>0.17</v>
      </c>
      <c r="K85" s="433"/>
      <c r="L85" s="129" t="s">
        <v>52</v>
      </c>
      <c r="M85" s="45" t="s">
        <v>72</v>
      </c>
      <c r="N85" s="45"/>
      <c r="O85" s="131">
        <f>ROUND(SUM($H$117:$I$117)*$I$7,2)</f>
        <v>0.46</v>
      </c>
      <c r="P85" s="433"/>
      <c r="Q85" s="176"/>
      <c r="R85" s="45"/>
      <c r="S85" s="45"/>
      <c r="T85" s="45"/>
      <c r="U85" s="46"/>
      <c r="W85" s="23" t="s">
        <v>65</v>
      </c>
      <c r="Y85" s="170">
        <f>SUM(Y80:Y84)</f>
        <v>-300</v>
      </c>
      <c r="Z85" s="170">
        <f>SUM(Z80:Z84)</f>
        <v>-200</v>
      </c>
      <c r="AA85" s="28"/>
      <c r="AB85" s="120"/>
      <c r="AC85" s="120"/>
      <c r="AD85" s="120"/>
      <c r="AE85" s="120"/>
      <c r="AF85" s="172"/>
      <c r="AG85" s="28"/>
      <c r="AH85" s="28"/>
      <c r="AI85" s="28"/>
      <c r="AJ85" s="28"/>
      <c r="AK85" s="28"/>
      <c r="AL85" s="28"/>
      <c r="AM85" s="28"/>
    </row>
    <row r="86" spans="1:39" s="7" customFormat="1" ht="13.8" x14ac:dyDescent="0.3">
      <c r="A86" s="435"/>
      <c r="B86" s="173" t="s">
        <v>77</v>
      </c>
      <c r="C86" s="45" t="s">
        <v>27</v>
      </c>
      <c r="D86" s="39">
        <v>44945</v>
      </c>
      <c r="E86" s="242">
        <v>200</v>
      </c>
      <c r="F86" s="179"/>
      <c r="G86" s="177" t="s">
        <v>36</v>
      </c>
      <c r="H86" s="45" t="s">
        <v>72</v>
      </c>
      <c r="I86" s="45"/>
      <c r="J86" s="131">
        <f>ROUND(SUM($H$117:$I$117)*$I$6,2)</f>
        <v>0.17</v>
      </c>
      <c r="K86" s="434"/>
      <c r="L86" s="129" t="s">
        <v>53</v>
      </c>
      <c r="M86" s="45" t="s">
        <v>72</v>
      </c>
      <c r="N86" s="45"/>
      <c r="O86" s="131">
        <f>ROUND(SUM($H$117:$I$117)*$I$7,2)</f>
        <v>0.46</v>
      </c>
      <c r="P86" s="433"/>
      <c r="Q86" s="176"/>
      <c r="R86" s="45"/>
      <c r="S86" s="45"/>
      <c r="T86" s="45"/>
      <c r="U86" s="46"/>
      <c r="W86" s="23"/>
      <c r="Y86" s="165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s="7" customFormat="1" ht="13.8" x14ac:dyDescent="0.3">
      <c r="A87" s="435"/>
      <c r="B87" s="173" t="s">
        <v>78</v>
      </c>
      <c r="C87" s="45"/>
      <c r="D87" s="39">
        <v>44946</v>
      </c>
      <c r="E87" s="124">
        <v>0</v>
      </c>
      <c r="F87" s="41"/>
      <c r="G87" s="177" t="s">
        <v>54</v>
      </c>
      <c r="H87" s="446" t="s">
        <v>256</v>
      </c>
      <c r="I87" s="446"/>
      <c r="J87" s="131">
        <f>ROUND(SUM($H$117:$J$117)*$I$6,2)</f>
        <v>0.12</v>
      </c>
      <c r="K87" s="447">
        <f>SUM(J87:J89)</f>
        <v>0.36</v>
      </c>
      <c r="L87" s="129" t="s">
        <v>55</v>
      </c>
      <c r="M87" s="446" t="s">
        <v>256</v>
      </c>
      <c r="N87" s="446"/>
      <c r="O87" s="131">
        <f>ROUND(SUM($H$117:$J$117)*$I$7,2)</f>
        <v>0.34</v>
      </c>
      <c r="P87" s="433"/>
      <c r="Q87" s="176"/>
      <c r="R87" s="45"/>
      <c r="S87" s="45"/>
      <c r="T87" s="45"/>
      <c r="U87" s="46"/>
      <c r="W87" s="23"/>
      <c r="X87" s="28"/>
      <c r="Y87" s="165"/>
      <c r="Z87" s="28"/>
      <c r="AA87" s="28"/>
      <c r="AB87" s="120"/>
      <c r="AC87" s="120"/>
      <c r="AD87" s="120"/>
      <c r="AE87" s="120"/>
      <c r="AF87" s="172"/>
      <c r="AG87" s="28"/>
      <c r="AH87" s="28"/>
      <c r="AI87" s="28"/>
      <c r="AJ87" s="28"/>
      <c r="AK87" s="28"/>
      <c r="AL87" s="28"/>
      <c r="AM87" s="28"/>
    </row>
    <row r="88" spans="1:39" s="7" customFormat="1" ht="13.8" x14ac:dyDescent="0.3">
      <c r="A88" s="435"/>
      <c r="B88" s="173" t="s">
        <v>79</v>
      </c>
      <c r="C88" s="45"/>
      <c r="D88" s="39">
        <v>44947</v>
      </c>
      <c r="E88" s="124">
        <v>0</v>
      </c>
      <c r="F88" s="41"/>
      <c r="G88" s="177" t="s">
        <v>80</v>
      </c>
      <c r="H88" s="45" t="s">
        <v>72</v>
      </c>
      <c r="I88" s="45"/>
      <c r="J88" s="131">
        <f>ROUND(SUM($H$117:$J$117)*$I$6,2)</f>
        <v>0.12</v>
      </c>
      <c r="K88" s="433"/>
      <c r="L88" s="129" t="s">
        <v>81</v>
      </c>
      <c r="M88" s="45" t="s">
        <v>72</v>
      </c>
      <c r="N88" s="45"/>
      <c r="O88" s="131">
        <f>ROUND(SUM($H$117:$J$117)*$I$7,2)</f>
        <v>0.34</v>
      </c>
      <c r="P88" s="433"/>
      <c r="Q88" s="176"/>
      <c r="R88" s="45"/>
      <c r="S88" s="45"/>
      <c r="T88" s="45"/>
      <c r="U88" s="46"/>
      <c r="W88" s="23"/>
      <c r="X88" s="28"/>
      <c r="Y88" s="165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spans="1:39" s="7" customFormat="1" ht="13.8" x14ac:dyDescent="0.3">
      <c r="A89" s="435"/>
      <c r="B89" s="173" t="s">
        <v>82</v>
      </c>
      <c r="C89" s="45" t="s">
        <v>83</v>
      </c>
      <c r="D89" s="39">
        <v>44948</v>
      </c>
      <c r="E89" s="180">
        <f>-(K117+N117+S117)</f>
        <v>546.64</v>
      </c>
      <c r="F89" s="41"/>
      <c r="G89" s="177" t="s">
        <v>84</v>
      </c>
      <c r="H89" s="45" t="s">
        <v>72</v>
      </c>
      <c r="I89" s="45"/>
      <c r="J89" s="131">
        <f>ROUND(SUM($H$117:$J$117)*$I$6,2)</f>
        <v>0.12</v>
      </c>
      <c r="K89" s="434"/>
      <c r="L89" s="129" t="s">
        <v>85</v>
      </c>
      <c r="M89" s="45" t="s">
        <v>72</v>
      </c>
      <c r="N89" s="45"/>
      <c r="O89" s="131">
        <f>ROUND(SUM($H$117:$J$117)*$I$7,2)</f>
        <v>0.34</v>
      </c>
      <c r="P89" s="434"/>
      <c r="Q89" s="176"/>
      <c r="R89" s="45"/>
      <c r="S89" s="45"/>
      <c r="T89" s="45"/>
      <c r="U89" s="174" t="s">
        <v>65</v>
      </c>
      <c r="W89" s="23"/>
      <c r="X89" s="165"/>
      <c r="Y89" s="170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spans="1:39" s="185" customFormat="1" ht="13.8" x14ac:dyDescent="0.3">
      <c r="A90" s="435"/>
      <c r="B90" s="173" t="s">
        <v>86</v>
      </c>
      <c r="C90" s="45"/>
      <c r="D90" s="39">
        <v>44949</v>
      </c>
      <c r="E90" s="124">
        <v>0</v>
      </c>
      <c r="F90" s="181"/>
      <c r="G90" s="129"/>
      <c r="H90" s="182"/>
      <c r="I90" s="45"/>
      <c r="J90" s="45"/>
      <c r="K90" s="131"/>
      <c r="L90" s="183"/>
      <c r="M90" s="184"/>
      <c r="N90" s="128"/>
      <c r="O90" s="45"/>
      <c r="P90" s="46"/>
      <c r="Q90" s="129" t="s">
        <v>230</v>
      </c>
      <c r="R90" s="446" t="s">
        <v>257</v>
      </c>
      <c r="S90" s="446"/>
      <c r="T90" s="131">
        <f t="shared" ref="T90:T109" si="25">ROUND($X$117*$I$8,2)</f>
        <v>0.53</v>
      </c>
      <c r="U90" s="433"/>
      <c r="W90" s="186" t="s">
        <v>87</v>
      </c>
      <c r="X90" s="186"/>
      <c r="Y90" s="143">
        <f>SUM($H$117:$AC$117)</f>
        <v>640.32999999999981</v>
      </c>
      <c r="Z90" s="187" t="s">
        <v>88</v>
      </c>
      <c r="AA90" s="28"/>
      <c r="AB90" s="28"/>
      <c r="AC90" s="28"/>
      <c r="AD90" s="120"/>
      <c r="AE90" s="120"/>
      <c r="AF90" s="172"/>
      <c r="AG90" s="28"/>
      <c r="AH90" s="28"/>
      <c r="AI90" s="28"/>
      <c r="AJ90" s="28"/>
      <c r="AK90" s="28"/>
      <c r="AL90" s="28"/>
      <c r="AM90" s="28"/>
    </row>
    <row r="91" spans="1:39" s="7" customFormat="1" ht="13.8" x14ac:dyDescent="0.3">
      <c r="A91" s="435"/>
      <c r="B91" s="173" t="s">
        <v>89</v>
      </c>
      <c r="C91" s="45"/>
      <c r="D91" s="39">
        <v>44950</v>
      </c>
      <c r="E91" s="124">
        <v>0</v>
      </c>
      <c r="F91" s="41"/>
      <c r="G91" s="176"/>
      <c r="H91" s="45"/>
      <c r="I91" s="45"/>
      <c r="J91" s="45"/>
      <c r="K91" s="45"/>
      <c r="L91" s="175"/>
      <c r="M91" s="127"/>
      <c r="N91" s="128"/>
      <c r="O91" s="45"/>
      <c r="P91" s="46"/>
      <c r="Q91" s="129" t="s">
        <v>211</v>
      </c>
      <c r="R91" s="45" t="s">
        <v>72</v>
      </c>
      <c r="S91" s="45"/>
      <c r="T91" s="131">
        <f t="shared" si="25"/>
        <v>0.53</v>
      </c>
      <c r="U91" s="433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spans="1:39" s="7" customFormat="1" ht="13.8" x14ac:dyDescent="0.3">
      <c r="A92" s="435"/>
      <c r="B92" s="173" t="s">
        <v>90</v>
      </c>
      <c r="C92" s="45"/>
      <c r="D92" s="39">
        <v>44951</v>
      </c>
      <c r="E92" s="124">
        <v>0</v>
      </c>
      <c r="F92" s="41"/>
      <c r="G92" s="176"/>
      <c r="H92" s="45"/>
      <c r="I92" s="45"/>
      <c r="J92" s="45"/>
      <c r="K92" s="45"/>
      <c r="L92" s="175"/>
      <c r="M92" s="127"/>
      <c r="N92" s="128"/>
      <c r="O92" s="45"/>
      <c r="P92" s="46"/>
      <c r="Q92" s="129" t="s">
        <v>212</v>
      </c>
      <c r="R92" s="45" t="s">
        <v>72</v>
      </c>
      <c r="S92" s="45"/>
      <c r="T92" s="131">
        <f t="shared" si="25"/>
        <v>0.53</v>
      </c>
      <c r="U92" s="433"/>
      <c r="X92" s="120"/>
      <c r="Y92" s="120"/>
      <c r="Z92" s="120"/>
      <c r="AA92" s="120"/>
      <c r="AB92" s="120"/>
      <c r="AC92" s="120"/>
      <c r="AD92" s="120"/>
      <c r="AE92" s="120"/>
      <c r="AF92" s="172"/>
      <c r="AG92" s="28"/>
      <c r="AH92" s="28"/>
      <c r="AI92" s="28"/>
      <c r="AJ92" s="28"/>
      <c r="AK92" s="28"/>
      <c r="AL92" s="28"/>
      <c r="AM92" s="28"/>
    </row>
    <row r="93" spans="1:39" s="7" customFormat="1" ht="13.8" x14ac:dyDescent="0.3">
      <c r="A93" s="435"/>
      <c r="B93" s="173" t="s">
        <v>91</v>
      </c>
      <c r="C93" s="45"/>
      <c r="D93" s="39">
        <v>44952</v>
      </c>
      <c r="E93" s="124">
        <v>0</v>
      </c>
      <c r="F93" s="41"/>
      <c r="G93" s="176"/>
      <c r="H93" s="45"/>
      <c r="I93" s="45"/>
      <c r="J93" s="45"/>
      <c r="K93" s="45"/>
      <c r="L93" s="175"/>
      <c r="M93" s="127"/>
      <c r="N93" s="128"/>
      <c r="O93" s="45"/>
      <c r="P93" s="46"/>
      <c r="Q93" s="129" t="s">
        <v>213</v>
      </c>
      <c r="R93" s="45" t="s">
        <v>72</v>
      </c>
      <c r="S93" s="45"/>
      <c r="T93" s="131">
        <f t="shared" si="25"/>
        <v>0.53</v>
      </c>
      <c r="U93" s="433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spans="1:39" s="7" customFormat="1" ht="13.8" x14ac:dyDescent="0.3">
      <c r="A94" s="435"/>
      <c r="B94" s="173" t="s">
        <v>92</v>
      </c>
      <c r="C94" s="45"/>
      <c r="D94" s="39">
        <v>44953</v>
      </c>
      <c r="E94" s="124">
        <v>0</v>
      </c>
      <c r="F94" s="41"/>
      <c r="G94" s="176"/>
      <c r="H94" s="45"/>
      <c r="I94" s="45"/>
      <c r="J94" s="45"/>
      <c r="K94" s="45"/>
      <c r="L94" s="175"/>
      <c r="M94" s="127"/>
      <c r="N94" s="128"/>
      <c r="O94" s="45"/>
      <c r="P94" s="46"/>
      <c r="Q94" s="129" t="s">
        <v>214</v>
      </c>
      <c r="R94" s="45" t="s">
        <v>72</v>
      </c>
      <c r="S94" s="45"/>
      <c r="T94" s="131">
        <f t="shared" si="25"/>
        <v>0.53</v>
      </c>
      <c r="U94" s="433"/>
      <c r="X94" s="120"/>
      <c r="Y94" s="120"/>
      <c r="Z94" s="120"/>
      <c r="AA94" s="120"/>
      <c r="AB94" s="120"/>
      <c r="AC94" s="120"/>
      <c r="AD94" s="120"/>
      <c r="AE94" s="120"/>
      <c r="AF94" s="172"/>
      <c r="AG94" s="28"/>
      <c r="AH94" s="28"/>
      <c r="AI94" s="28"/>
      <c r="AJ94" s="28"/>
      <c r="AK94" s="28"/>
      <c r="AL94" s="28"/>
      <c r="AM94" s="28"/>
    </row>
    <row r="95" spans="1:39" s="7" customFormat="1" ht="13.8" x14ac:dyDescent="0.3">
      <c r="A95" s="435"/>
      <c r="B95" s="173" t="s">
        <v>93</v>
      </c>
      <c r="C95" s="45"/>
      <c r="D95" s="39">
        <v>44954</v>
      </c>
      <c r="E95" s="124">
        <v>0</v>
      </c>
      <c r="F95" s="41"/>
      <c r="G95" s="176"/>
      <c r="H95" s="45"/>
      <c r="I95" s="45"/>
      <c r="J95" s="45"/>
      <c r="K95" s="45"/>
      <c r="L95" s="175"/>
      <c r="M95" s="127"/>
      <c r="N95" s="128"/>
      <c r="O95" s="45"/>
      <c r="P95" s="46"/>
      <c r="Q95" s="129" t="s">
        <v>215</v>
      </c>
      <c r="R95" s="45" t="s">
        <v>72</v>
      </c>
      <c r="S95" s="45"/>
      <c r="T95" s="131">
        <f t="shared" si="25"/>
        <v>0.53</v>
      </c>
      <c r="U95" s="433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spans="1:39" s="7" customFormat="1" ht="13.8" x14ac:dyDescent="0.3">
      <c r="A96" s="435"/>
      <c r="B96" s="173" t="s">
        <v>94</v>
      </c>
      <c r="C96" s="45"/>
      <c r="D96" s="39">
        <v>44955</v>
      </c>
      <c r="E96" s="124">
        <v>0</v>
      </c>
      <c r="F96" s="41"/>
      <c r="G96" s="176"/>
      <c r="H96" s="45"/>
      <c r="I96" s="45"/>
      <c r="J96" s="45"/>
      <c r="K96" s="45"/>
      <c r="L96" s="175"/>
      <c r="M96" s="127"/>
      <c r="N96" s="128"/>
      <c r="O96" s="45"/>
      <c r="P96" s="46"/>
      <c r="Q96" s="129" t="s">
        <v>216</v>
      </c>
      <c r="R96" s="45" t="s">
        <v>72</v>
      </c>
      <c r="S96" s="45"/>
      <c r="T96" s="131">
        <f t="shared" si="25"/>
        <v>0.53</v>
      </c>
      <c r="U96" s="433"/>
      <c r="X96" s="120"/>
      <c r="Y96" s="120"/>
      <c r="Z96" s="120"/>
      <c r="AA96" s="120"/>
      <c r="AB96" s="120"/>
      <c r="AC96" s="120"/>
      <c r="AD96" s="120"/>
      <c r="AE96" s="120"/>
      <c r="AF96" s="172"/>
      <c r="AG96" s="28"/>
      <c r="AH96" s="28"/>
      <c r="AI96" s="28"/>
      <c r="AJ96" s="28"/>
      <c r="AK96" s="28"/>
      <c r="AL96" s="28"/>
      <c r="AM96" s="28"/>
    </row>
    <row r="97" spans="1:39" s="7" customFormat="1" ht="13.8" x14ac:dyDescent="0.3">
      <c r="A97" s="435"/>
      <c r="B97" s="173" t="s">
        <v>95</v>
      </c>
      <c r="C97" s="45"/>
      <c r="D97" s="39">
        <v>44956</v>
      </c>
      <c r="E97" s="124">
        <v>0</v>
      </c>
      <c r="F97" s="41"/>
      <c r="G97" s="176"/>
      <c r="H97" s="45"/>
      <c r="I97" s="45"/>
      <c r="J97" s="45"/>
      <c r="K97" s="45"/>
      <c r="L97" s="175"/>
      <c r="M97" s="127"/>
      <c r="N97" s="128"/>
      <c r="O97" s="45"/>
      <c r="P97" s="46"/>
      <c r="Q97" s="129" t="s">
        <v>217</v>
      </c>
      <c r="R97" s="45" t="s">
        <v>72</v>
      </c>
      <c r="S97" s="45"/>
      <c r="T97" s="131">
        <f t="shared" si="25"/>
        <v>0.53</v>
      </c>
      <c r="U97" s="433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spans="1:39" s="7" customFormat="1" ht="13.8" x14ac:dyDescent="0.3">
      <c r="A98" s="435"/>
      <c r="B98" s="173" t="s">
        <v>96</v>
      </c>
      <c r="C98" s="45"/>
      <c r="D98" s="39">
        <v>44957</v>
      </c>
      <c r="E98" s="124">
        <v>0</v>
      </c>
      <c r="F98" s="41"/>
      <c r="G98" s="176"/>
      <c r="H98" s="45"/>
      <c r="I98" s="45"/>
      <c r="J98" s="45"/>
      <c r="K98" s="45"/>
      <c r="L98" s="175"/>
      <c r="M98" s="127"/>
      <c r="N98" s="128"/>
      <c r="O98" s="45"/>
      <c r="P98" s="46"/>
      <c r="Q98" s="129" t="s">
        <v>218</v>
      </c>
      <c r="R98" s="45" t="s">
        <v>72</v>
      </c>
      <c r="S98" s="45"/>
      <c r="T98" s="131">
        <f t="shared" si="25"/>
        <v>0.53</v>
      </c>
      <c r="U98" s="433"/>
      <c r="X98" s="120"/>
      <c r="Y98" s="120"/>
      <c r="Z98" s="120"/>
      <c r="AA98" s="120"/>
      <c r="AB98" s="120"/>
      <c r="AC98" s="120"/>
      <c r="AD98" s="120"/>
      <c r="AE98" s="120"/>
      <c r="AF98" s="172"/>
      <c r="AG98" s="28"/>
      <c r="AH98" s="28"/>
      <c r="AI98" s="28"/>
      <c r="AJ98" s="28"/>
      <c r="AK98" s="28"/>
      <c r="AL98" s="28"/>
      <c r="AM98" s="28"/>
    </row>
    <row r="99" spans="1:39" s="7" customFormat="1" ht="13.8" x14ac:dyDescent="0.3">
      <c r="A99" s="435"/>
      <c r="B99" s="173" t="s">
        <v>97</v>
      </c>
      <c r="C99" s="45"/>
      <c r="D99" s="39">
        <v>44958</v>
      </c>
      <c r="E99" s="124">
        <v>0</v>
      </c>
      <c r="F99" s="41"/>
      <c r="G99" s="176"/>
      <c r="H99" s="45"/>
      <c r="I99" s="45"/>
      <c r="J99" s="45"/>
      <c r="K99" s="45"/>
      <c r="L99" s="175"/>
      <c r="M99" s="127"/>
      <c r="N99" s="128"/>
      <c r="O99" s="45"/>
      <c r="P99" s="46"/>
      <c r="Q99" s="129" t="s">
        <v>219</v>
      </c>
      <c r="R99" s="45" t="s">
        <v>72</v>
      </c>
      <c r="S99" s="45"/>
      <c r="T99" s="131">
        <f t="shared" si="25"/>
        <v>0.53</v>
      </c>
      <c r="U99" s="433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spans="1:39" s="7" customFormat="1" ht="13.8" x14ac:dyDescent="0.3">
      <c r="A100" s="435"/>
      <c r="B100" s="173" t="s">
        <v>98</v>
      </c>
      <c r="C100" s="45"/>
      <c r="D100" s="39">
        <v>44959</v>
      </c>
      <c r="E100" s="124">
        <v>0</v>
      </c>
      <c r="F100" s="41"/>
      <c r="G100" s="176"/>
      <c r="H100" s="45"/>
      <c r="I100" s="45"/>
      <c r="J100" s="45"/>
      <c r="K100" s="45"/>
      <c r="L100" s="175"/>
      <c r="M100" s="127"/>
      <c r="N100" s="128"/>
      <c r="O100" s="45"/>
      <c r="P100" s="46"/>
      <c r="Q100" s="129" t="s">
        <v>220</v>
      </c>
      <c r="R100" s="45" t="s">
        <v>72</v>
      </c>
      <c r="S100" s="45"/>
      <c r="T100" s="131">
        <f t="shared" si="25"/>
        <v>0.53</v>
      </c>
      <c r="U100" s="433"/>
      <c r="X100" s="425"/>
      <c r="Y100" s="425"/>
      <c r="Z100" s="425"/>
      <c r="AA100" s="425"/>
      <c r="AB100" s="425"/>
      <c r="AC100" s="425"/>
      <c r="AD100" s="425"/>
      <c r="AE100" s="120"/>
      <c r="AF100" s="172"/>
      <c r="AG100" s="28"/>
      <c r="AH100" s="28"/>
      <c r="AI100" s="28"/>
      <c r="AJ100" s="28"/>
      <c r="AK100" s="28"/>
      <c r="AL100" s="28"/>
      <c r="AM100" s="28"/>
    </row>
    <row r="101" spans="1:39" s="7" customFormat="1" ht="13.8" x14ac:dyDescent="0.3">
      <c r="A101" s="435"/>
      <c r="B101" s="173" t="s">
        <v>99</v>
      </c>
      <c r="C101" s="45"/>
      <c r="D101" s="39">
        <v>44960</v>
      </c>
      <c r="E101" s="124">
        <v>0</v>
      </c>
      <c r="F101" s="41"/>
      <c r="G101" s="176"/>
      <c r="H101" s="45"/>
      <c r="I101" s="45"/>
      <c r="J101" s="45"/>
      <c r="K101" s="45"/>
      <c r="L101" s="175"/>
      <c r="M101" s="127"/>
      <c r="N101" s="128"/>
      <c r="O101" s="45"/>
      <c r="P101" s="46"/>
      <c r="Q101" s="129" t="s">
        <v>221</v>
      </c>
      <c r="R101" s="45" t="s">
        <v>72</v>
      </c>
      <c r="S101" s="45"/>
      <c r="T101" s="131">
        <f t="shared" si="25"/>
        <v>0.53</v>
      </c>
      <c r="U101" s="433"/>
      <c r="X101" s="424" t="s">
        <v>292</v>
      </c>
      <c r="Y101" s="424"/>
      <c r="Z101" s="424"/>
      <c r="AA101" s="424"/>
      <c r="AB101" s="424"/>
      <c r="AC101" s="424"/>
      <c r="AD101" s="424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spans="1:39" s="7" customFormat="1" ht="13.8" x14ac:dyDescent="0.3">
      <c r="A102" s="435"/>
      <c r="B102" s="173" t="s">
        <v>100</v>
      </c>
      <c r="C102" s="45"/>
      <c r="D102" s="39">
        <v>44961</v>
      </c>
      <c r="E102" s="124">
        <v>0</v>
      </c>
      <c r="F102" s="41"/>
      <c r="G102" s="176"/>
      <c r="H102" s="45"/>
      <c r="I102" s="45"/>
      <c r="J102" s="45"/>
      <c r="K102" s="45"/>
      <c r="L102" s="175"/>
      <c r="M102" s="127"/>
      <c r="N102" s="128"/>
      <c r="O102" s="45"/>
      <c r="P102" s="46"/>
      <c r="Q102" s="129" t="s">
        <v>222</v>
      </c>
      <c r="R102" s="45" t="s">
        <v>72</v>
      </c>
      <c r="S102" s="45"/>
      <c r="T102" s="131">
        <f t="shared" si="25"/>
        <v>0.53</v>
      </c>
      <c r="U102" s="433"/>
      <c r="X102" s="424"/>
      <c r="Y102" s="424"/>
      <c r="Z102" s="424"/>
      <c r="AA102" s="424"/>
      <c r="AB102" s="424"/>
      <c r="AC102" s="424"/>
      <c r="AD102" s="424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1:39" s="7" customFormat="1" ht="13.8" x14ac:dyDescent="0.3">
      <c r="A103" s="435"/>
      <c r="B103" s="173" t="s">
        <v>101</v>
      </c>
      <c r="C103" s="45"/>
      <c r="D103" s="39">
        <v>44962</v>
      </c>
      <c r="E103" s="124">
        <v>0</v>
      </c>
      <c r="F103" s="41"/>
      <c r="G103" s="176"/>
      <c r="H103" s="45"/>
      <c r="I103" s="45"/>
      <c r="J103" s="45"/>
      <c r="K103" s="45"/>
      <c r="L103" s="175"/>
      <c r="M103" s="127"/>
      <c r="N103" s="128"/>
      <c r="O103" s="45"/>
      <c r="P103" s="46"/>
      <c r="Q103" s="129" t="s">
        <v>223</v>
      </c>
      <c r="R103" s="45" t="s">
        <v>72</v>
      </c>
      <c r="S103" s="45"/>
      <c r="T103" s="131">
        <f t="shared" si="25"/>
        <v>0.53</v>
      </c>
      <c r="U103" s="433"/>
      <c r="X103" s="425" t="s">
        <v>138</v>
      </c>
      <c r="Y103" s="425"/>
      <c r="Z103" s="425"/>
      <c r="AA103" s="425"/>
      <c r="AB103" s="425"/>
      <c r="AC103" s="425"/>
      <c r="AD103" s="425"/>
      <c r="AE103" s="120"/>
      <c r="AF103" s="172"/>
      <c r="AG103" s="28"/>
      <c r="AH103" s="28"/>
      <c r="AI103" s="28"/>
      <c r="AJ103" s="28"/>
      <c r="AK103" s="28"/>
      <c r="AL103" s="28"/>
      <c r="AM103" s="28"/>
    </row>
    <row r="104" spans="1:39" s="7" customFormat="1" ht="13.8" x14ac:dyDescent="0.3">
      <c r="A104" s="435"/>
      <c r="B104" s="173" t="s">
        <v>102</v>
      </c>
      <c r="C104" s="45"/>
      <c r="D104" s="39">
        <v>44963</v>
      </c>
      <c r="E104" s="124">
        <v>0</v>
      </c>
      <c r="F104" s="41"/>
      <c r="G104" s="176"/>
      <c r="H104" s="45"/>
      <c r="I104" s="45"/>
      <c r="J104" s="45"/>
      <c r="K104" s="45"/>
      <c r="L104" s="175"/>
      <c r="M104" s="127"/>
      <c r="N104" s="128"/>
      <c r="O104" s="45"/>
      <c r="P104" s="46"/>
      <c r="Q104" s="129" t="s">
        <v>224</v>
      </c>
      <c r="R104" s="45" t="s">
        <v>72</v>
      </c>
      <c r="S104" s="45"/>
      <c r="T104" s="131">
        <f t="shared" si="25"/>
        <v>0.53</v>
      </c>
      <c r="U104" s="433"/>
      <c r="X104" s="424" t="s">
        <v>132</v>
      </c>
      <c r="Y104" s="424"/>
      <c r="Z104" s="424"/>
      <c r="AA104" s="424"/>
      <c r="AB104" s="424"/>
      <c r="AC104" s="424"/>
      <c r="AD104" s="424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1:39" s="7" customFormat="1" ht="13.8" x14ac:dyDescent="0.3">
      <c r="A105" s="435"/>
      <c r="B105" s="173" t="s">
        <v>103</v>
      </c>
      <c r="C105" s="45"/>
      <c r="D105" s="39">
        <v>44964</v>
      </c>
      <c r="E105" s="124">
        <v>0</v>
      </c>
      <c r="F105" s="41"/>
      <c r="G105" s="176"/>
      <c r="H105" s="45"/>
      <c r="I105" s="45"/>
      <c r="J105" s="45"/>
      <c r="K105" s="45"/>
      <c r="L105" s="175"/>
      <c r="M105" s="127"/>
      <c r="N105" s="128"/>
      <c r="O105" s="45"/>
      <c r="P105" s="46"/>
      <c r="Q105" s="129" t="s">
        <v>225</v>
      </c>
      <c r="R105" s="45" t="s">
        <v>72</v>
      </c>
      <c r="S105" s="45"/>
      <c r="T105" s="131">
        <f t="shared" si="25"/>
        <v>0.53</v>
      </c>
      <c r="U105" s="433"/>
      <c r="X105" s="425" t="s">
        <v>130</v>
      </c>
      <c r="Y105" s="425"/>
      <c r="Z105" s="425"/>
      <c r="AA105" s="425"/>
      <c r="AB105" s="425"/>
      <c r="AC105" s="425"/>
      <c r="AD105" s="425"/>
      <c r="AE105" s="120"/>
      <c r="AF105" s="172"/>
      <c r="AG105" s="28"/>
      <c r="AH105" s="28"/>
      <c r="AI105" s="28"/>
      <c r="AJ105" s="28"/>
      <c r="AK105" s="28"/>
      <c r="AL105" s="28"/>
      <c r="AM105" s="28"/>
    </row>
    <row r="106" spans="1:39" s="7" customFormat="1" ht="13.8" x14ac:dyDescent="0.3">
      <c r="A106" s="435"/>
      <c r="B106" s="173" t="s">
        <v>104</v>
      </c>
      <c r="C106" s="45"/>
      <c r="D106" s="39">
        <v>44965</v>
      </c>
      <c r="E106" s="124">
        <v>0</v>
      </c>
      <c r="F106" s="41"/>
      <c r="G106" s="176"/>
      <c r="H106" s="45"/>
      <c r="I106" s="45"/>
      <c r="J106" s="45"/>
      <c r="K106" s="45"/>
      <c r="L106" s="175"/>
      <c r="M106" s="127"/>
      <c r="N106" s="128"/>
      <c r="O106" s="45"/>
      <c r="P106" s="46"/>
      <c r="Q106" s="129" t="s">
        <v>226</v>
      </c>
      <c r="R106" s="45" t="s">
        <v>72</v>
      </c>
      <c r="S106" s="45"/>
      <c r="T106" s="131">
        <f t="shared" si="25"/>
        <v>0.53</v>
      </c>
      <c r="U106" s="433"/>
      <c r="X106" s="424" t="s">
        <v>293</v>
      </c>
      <c r="Y106" s="424"/>
      <c r="Z106" s="424"/>
      <c r="AA106" s="424"/>
      <c r="AB106" s="424"/>
      <c r="AC106" s="424"/>
      <c r="AD106" s="424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1:39" s="7" customFormat="1" ht="13.8" x14ac:dyDescent="0.3">
      <c r="A107" s="435"/>
      <c r="B107" s="173" t="s">
        <v>105</v>
      </c>
      <c r="C107" s="45"/>
      <c r="D107" s="39">
        <v>44966</v>
      </c>
      <c r="E107" s="124">
        <v>0</v>
      </c>
      <c r="F107" s="41"/>
      <c r="G107" s="176"/>
      <c r="H107" s="45"/>
      <c r="I107" s="45"/>
      <c r="J107" s="45"/>
      <c r="K107" s="45"/>
      <c r="L107" s="175"/>
      <c r="M107" s="127"/>
      <c r="N107" s="128"/>
      <c r="O107" s="45"/>
      <c r="P107" s="46"/>
      <c r="Q107" s="129" t="s">
        <v>227</v>
      </c>
      <c r="R107" s="45" t="s">
        <v>72</v>
      </c>
      <c r="S107" s="45"/>
      <c r="T107" s="131">
        <f t="shared" si="25"/>
        <v>0.53</v>
      </c>
      <c r="U107" s="433"/>
      <c r="X107" s="120"/>
      <c r="Y107" s="120"/>
      <c r="Z107" s="120"/>
      <c r="AA107" s="119"/>
      <c r="AB107" s="120"/>
      <c r="AC107" s="120"/>
      <c r="AD107" s="120"/>
      <c r="AE107" s="120"/>
      <c r="AF107" s="172"/>
      <c r="AG107" s="28"/>
      <c r="AH107" s="28"/>
      <c r="AI107" s="28"/>
      <c r="AJ107" s="28"/>
      <c r="AK107" s="28"/>
      <c r="AL107" s="28"/>
      <c r="AM107" s="28"/>
    </row>
    <row r="108" spans="1:39" s="7" customFormat="1" ht="13.8" x14ac:dyDescent="0.3">
      <c r="A108" s="435"/>
      <c r="B108" s="173" t="s">
        <v>106</v>
      </c>
      <c r="C108" s="45"/>
      <c r="D108" s="39">
        <v>44967</v>
      </c>
      <c r="E108" s="124">
        <v>0</v>
      </c>
      <c r="F108" s="41"/>
      <c r="G108" s="176"/>
      <c r="H108" s="45"/>
      <c r="I108" s="45"/>
      <c r="J108" s="45"/>
      <c r="K108" s="45"/>
      <c r="L108" s="175"/>
      <c r="M108" s="127"/>
      <c r="N108" s="128"/>
      <c r="O108" s="45"/>
      <c r="P108" s="46"/>
      <c r="Q108" s="129" t="s">
        <v>228</v>
      </c>
      <c r="R108" s="45" t="s">
        <v>72</v>
      </c>
      <c r="S108" s="45"/>
      <c r="T108" s="131">
        <f t="shared" si="25"/>
        <v>0.53</v>
      </c>
      <c r="U108" s="433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1:39" s="7" customFormat="1" ht="13.8" x14ac:dyDescent="0.3">
      <c r="A109" s="435"/>
      <c r="B109" s="173" t="s">
        <v>107</v>
      </c>
      <c r="C109" s="45"/>
      <c r="D109" s="39">
        <v>44968</v>
      </c>
      <c r="E109" s="124">
        <v>0</v>
      </c>
      <c r="F109" s="41"/>
      <c r="G109" s="176"/>
      <c r="H109" s="45"/>
      <c r="I109" s="45"/>
      <c r="J109" s="45"/>
      <c r="K109" s="45"/>
      <c r="L109" s="175"/>
      <c r="M109" s="127"/>
      <c r="N109" s="128"/>
      <c r="O109" s="45"/>
      <c r="P109" s="46"/>
      <c r="Q109" s="129" t="s">
        <v>229</v>
      </c>
      <c r="R109" s="45" t="s">
        <v>72</v>
      </c>
      <c r="S109" s="45"/>
      <c r="T109" s="131">
        <f t="shared" si="25"/>
        <v>0.53</v>
      </c>
      <c r="U109" s="433"/>
      <c r="X109" s="120"/>
      <c r="Y109" s="120"/>
      <c r="Z109" s="120"/>
      <c r="AA109" s="120"/>
      <c r="AB109" s="120"/>
      <c r="AC109" s="120"/>
      <c r="AD109" s="120"/>
      <c r="AE109" s="120"/>
      <c r="AF109" s="172"/>
      <c r="AG109" s="28"/>
      <c r="AH109" s="28"/>
      <c r="AI109" s="28"/>
      <c r="AJ109" s="28"/>
      <c r="AK109" s="28"/>
      <c r="AL109" s="28"/>
      <c r="AM109" s="28"/>
    </row>
    <row r="110" spans="1:39" s="28" customFormat="1" ht="14.4" thickBot="1" x14ac:dyDescent="0.35">
      <c r="A110" s="435"/>
      <c r="B110" s="23"/>
      <c r="D110" s="188"/>
      <c r="E110" s="119"/>
      <c r="G110" s="142"/>
      <c r="H110" s="142"/>
      <c r="I110" s="142"/>
      <c r="J110" s="142"/>
      <c r="K110" s="142"/>
      <c r="L110" s="143"/>
      <c r="W110" s="189"/>
      <c r="X110" s="120"/>
      <c r="Y110" s="120"/>
      <c r="Z110" s="120"/>
      <c r="AA110" s="120"/>
      <c r="AB110" s="120"/>
      <c r="AC110" s="120"/>
      <c r="AD110" s="120"/>
      <c r="AE110" s="120"/>
      <c r="AF110" s="172"/>
    </row>
    <row r="111" spans="1:39" s="12" customFormat="1" ht="74.25" customHeight="1" thickBot="1" x14ac:dyDescent="0.35">
      <c r="A111" s="435"/>
      <c r="B111" s="67" t="s">
        <v>14</v>
      </c>
      <c r="C111" s="13" t="s">
        <v>37</v>
      </c>
      <c r="D111" s="68" t="s">
        <v>15</v>
      </c>
      <c r="E111" s="69" t="s">
        <v>108</v>
      </c>
      <c r="F111" s="13" t="s">
        <v>16</v>
      </c>
      <c r="G111" s="69" t="s">
        <v>17</v>
      </c>
      <c r="H111" s="70" t="s">
        <v>38</v>
      </c>
      <c r="I111" s="71" t="s">
        <v>39</v>
      </c>
      <c r="J111" s="71" t="s">
        <v>39</v>
      </c>
      <c r="K111" s="74" t="s">
        <v>109</v>
      </c>
      <c r="L111" s="190" t="s">
        <v>40</v>
      </c>
      <c r="M111" s="190" t="s">
        <v>41</v>
      </c>
      <c r="N111" s="191" t="s">
        <v>110</v>
      </c>
      <c r="O111" s="70" t="s">
        <v>42</v>
      </c>
      <c r="P111" s="71" t="s">
        <v>43</v>
      </c>
      <c r="Q111" s="192" t="s">
        <v>42</v>
      </c>
      <c r="R111" s="71" t="s">
        <v>43</v>
      </c>
      <c r="S111" s="74" t="s">
        <v>111</v>
      </c>
      <c r="T111" s="190" t="s">
        <v>44</v>
      </c>
      <c r="U111" s="190" t="s">
        <v>45</v>
      </c>
      <c r="V111" s="70" t="s">
        <v>46</v>
      </c>
      <c r="W111" s="71" t="s">
        <v>47</v>
      </c>
      <c r="X111" s="72" t="s">
        <v>112</v>
      </c>
      <c r="Y111" s="73" t="s">
        <v>113</v>
      </c>
      <c r="Z111" s="70" t="s">
        <v>114</v>
      </c>
      <c r="AA111" s="74" t="s">
        <v>115</v>
      </c>
      <c r="AB111" s="190" t="s">
        <v>116</v>
      </c>
      <c r="AC111" s="190" t="s">
        <v>117</v>
      </c>
      <c r="AD111" s="70" t="s">
        <v>118</v>
      </c>
      <c r="AE111" s="74" t="s">
        <v>119</v>
      </c>
      <c r="AH111" s="7"/>
    </row>
    <row r="112" spans="1:39" s="22" customFormat="1" ht="13.8" x14ac:dyDescent="0.3">
      <c r="A112" s="435"/>
      <c r="B112" s="193"/>
      <c r="C112" s="194"/>
      <c r="D112" s="195">
        <f>IF(DAY($E$2)&gt;28,DATE(YEAR($E$2),MONTH($E$2)+1,1),$E$2)</f>
        <v>44785</v>
      </c>
      <c r="E112" s="196"/>
      <c r="F112" s="147"/>
      <c r="G112" s="148">
        <f>-$E$3</f>
        <v>-12000</v>
      </c>
      <c r="H112" s="149"/>
      <c r="I112" s="150"/>
      <c r="J112" s="382"/>
      <c r="K112" s="197"/>
      <c r="L112" s="148"/>
      <c r="M112" s="150"/>
      <c r="N112" s="198"/>
      <c r="O112" s="149"/>
      <c r="P112" s="150"/>
      <c r="Q112" s="199"/>
      <c r="R112" s="150"/>
      <c r="S112" s="197"/>
      <c r="T112" s="148"/>
      <c r="U112" s="150"/>
      <c r="V112" s="200"/>
      <c r="W112" s="201"/>
      <c r="X112" s="202"/>
      <c r="Y112" s="154"/>
      <c r="Z112" s="202"/>
      <c r="AA112" s="154"/>
      <c r="AB112" s="202"/>
      <c r="AC112" s="154"/>
      <c r="AD112" s="202"/>
      <c r="AE112" s="154"/>
      <c r="AH112" s="7"/>
    </row>
    <row r="113" spans="1:37" s="28" customFormat="1" ht="13.8" x14ac:dyDescent="0.3">
      <c r="A113" s="435"/>
      <c r="B113" s="155">
        <v>1</v>
      </c>
      <c r="C113" s="156" t="s">
        <v>48</v>
      </c>
      <c r="D113" s="157">
        <f>DATE(YEAR(D112),MONTH(D112)+1,DAY(D112))</f>
        <v>44816</v>
      </c>
      <c r="E113" s="157"/>
      <c r="F113" s="158">
        <f>$E$3</f>
        <v>12000</v>
      </c>
      <c r="G113" s="159">
        <f t="shared" ref="G113:G124" si="26">IF($B113&lt;=$E$4,$E$8,0)</f>
        <v>1134.1199999999999</v>
      </c>
      <c r="H113" s="160">
        <f t="shared" ref="H113:H124" si="27">IF($B113&gt;$E$4,0,$G113-$L113-$T113)</f>
        <v>962.97</v>
      </c>
      <c r="I113" s="161">
        <f>-H113</f>
        <v>-962.97</v>
      </c>
      <c r="J113" s="159"/>
      <c r="K113" s="203"/>
      <c r="L113" s="159">
        <f t="shared" ref="L113:L124" si="28">ROUND($F113*$I$2,2)</f>
        <v>82</v>
      </c>
      <c r="M113" s="161">
        <f>-L113</f>
        <v>-82</v>
      </c>
      <c r="N113" s="203"/>
      <c r="O113" s="160"/>
      <c r="P113" s="161"/>
      <c r="Q113" s="204"/>
      <c r="R113" s="161"/>
      <c r="S113" s="203"/>
      <c r="T113" s="159">
        <f t="shared" ref="T113:T124" si="29">$E$8-$E$7</f>
        <v>89.149999999999864</v>
      </c>
      <c r="U113" s="161">
        <f>-T113</f>
        <v>-89.149999999999864</v>
      </c>
      <c r="V113" s="200"/>
      <c r="W113" s="205"/>
      <c r="X113" s="206"/>
      <c r="Y113" s="162"/>
      <c r="Z113" s="206"/>
      <c r="AA113" s="162"/>
      <c r="AB113" s="206"/>
      <c r="AC113" s="162"/>
      <c r="AD113" s="207"/>
      <c r="AE113" s="162"/>
      <c r="AH113" s="7"/>
    </row>
    <row r="114" spans="1:37" s="28" customFormat="1" ht="13.8" x14ac:dyDescent="0.3">
      <c r="A114" s="435"/>
      <c r="B114" s="155">
        <f>B113+1</f>
        <v>2</v>
      </c>
      <c r="C114" s="156" t="s">
        <v>48</v>
      </c>
      <c r="D114" s="157">
        <f>DATE(YEAR(D113),MONTH(D113)+1,DAY(D113))</f>
        <v>44846</v>
      </c>
      <c r="E114" s="157"/>
      <c r="F114" s="158">
        <f t="shared" ref="F114:F124" si="30">$F113-$H113</f>
        <v>11037.03</v>
      </c>
      <c r="G114" s="159">
        <f t="shared" si="26"/>
        <v>1134.1199999999999</v>
      </c>
      <c r="H114" s="160">
        <f t="shared" si="27"/>
        <v>969.55</v>
      </c>
      <c r="I114" s="161">
        <f t="shared" ref="I114:I116" si="31">-H114</f>
        <v>-969.55</v>
      </c>
      <c r="J114" s="159"/>
      <c r="K114" s="203"/>
      <c r="L114" s="159">
        <f t="shared" si="28"/>
        <v>75.42</v>
      </c>
      <c r="M114" s="161">
        <f t="shared" ref="M114:M116" si="32">-L114</f>
        <v>-75.42</v>
      </c>
      <c r="N114" s="203"/>
      <c r="O114" s="208"/>
      <c r="P114" s="161"/>
      <c r="Q114" s="204"/>
      <c r="R114" s="161"/>
      <c r="S114" s="203"/>
      <c r="T114" s="159">
        <f t="shared" si="29"/>
        <v>89.149999999999864</v>
      </c>
      <c r="U114" s="161">
        <f t="shared" ref="U114:U116" si="33">-T114</f>
        <v>-89.149999999999864</v>
      </c>
      <c r="V114" s="200"/>
      <c r="W114" s="205"/>
      <c r="X114" s="206"/>
      <c r="Y114" s="162"/>
      <c r="Z114" s="206"/>
      <c r="AA114" s="162"/>
      <c r="AB114" s="206"/>
      <c r="AC114" s="162"/>
      <c r="AD114" s="207"/>
      <c r="AE114" s="162"/>
      <c r="AH114" s="7"/>
    </row>
    <row r="115" spans="1:37" s="28" customFormat="1" ht="13.8" x14ac:dyDescent="0.3">
      <c r="A115" s="435"/>
      <c r="B115" s="155">
        <f t="shared" ref="B115:B124" si="34">B114+1</f>
        <v>3</v>
      </c>
      <c r="C115" s="209" t="s">
        <v>61</v>
      </c>
      <c r="D115" s="157">
        <f t="shared" ref="D115:D124" si="35">DATE(YEAR(D114),MONTH(D114)+1,DAY(D114))</f>
        <v>44877</v>
      </c>
      <c r="E115" s="157">
        <f>D115+10</f>
        <v>44887</v>
      </c>
      <c r="F115" s="158">
        <f t="shared" si="30"/>
        <v>10067.480000000001</v>
      </c>
      <c r="G115" s="159">
        <f t="shared" si="26"/>
        <v>1134.1199999999999</v>
      </c>
      <c r="H115" s="160">
        <f t="shared" si="27"/>
        <v>976.18000000000006</v>
      </c>
      <c r="I115" s="161">
        <f t="shared" si="31"/>
        <v>-976.18000000000006</v>
      </c>
      <c r="J115" s="159"/>
      <c r="K115" s="203"/>
      <c r="L115" s="159">
        <f t="shared" si="28"/>
        <v>68.790000000000006</v>
      </c>
      <c r="M115" s="161">
        <f t="shared" si="32"/>
        <v>-68.790000000000006</v>
      </c>
      <c r="N115" s="203"/>
      <c r="O115" s="160">
        <f>$K$54</f>
        <v>1.32</v>
      </c>
      <c r="P115" s="161">
        <f>-O115</f>
        <v>-1.32</v>
      </c>
      <c r="Q115" s="204"/>
      <c r="R115" s="161"/>
      <c r="S115" s="203"/>
      <c r="T115" s="159">
        <f t="shared" si="29"/>
        <v>89.149999999999864</v>
      </c>
      <c r="U115" s="161">
        <f t="shared" si="33"/>
        <v>-89.149999999999864</v>
      </c>
      <c r="V115" s="160">
        <f>$P$54</f>
        <v>3.6599999999999997</v>
      </c>
      <c r="W115" s="161">
        <f>-V115</f>
        <v>-3.6599999999999997</v>
      </c>
      <c r="X115" s="206"/>
      <c r="Y115" s="162"/>
      <c r="Z115" s="206"/>
      <c r="AA115" s="162"/>
      <c r="AB115" s="206"/>
      <c r="AC115" s="162"/>
      <c r="AD115" s="207"/>
      <c r="AE115" s="162"/>
      <c r="AH115" s="7"/>
    </row>
    <row r="116" spans="1:37" s="28" customFormat="1" ht="13.8" x14ac:dyDescent="0.3">
      <c r="A116" s="435"/>
      <c r="B116" s="155">
        <f t="shared" si="34"/>
        <v>4</v>
      </c>
      <c r="C116" s="209" t="s">
        <v>48</v>
      </c>
      <c r="D116" s="157">
        <f t="shared" si="35"/>
        <v>44907</v>
      </c>
      <c r="E116" s="157"/>
      <c r="F116" s="158">
        <f t="shared" si="30"/>
        <v>9091.3000000000011</v>
      </c>
      <c r="G116" s="159">
        <f t="shared" si="26"/>
        <v>1134.1199999999999</v>
      </c>
      <c r="H116" s="160">
        <f t="shared" si="27"/>
        <v>982.85000000000014</v>
      </c>
      <c r="I116" s="161">
        <f t="shared" si="31"/>
        <v>-982.85000000000014</v>
      </c>
      <c r="J116" s="159"/>
      <c r="K116" s="203"/>
      <c r="L116" s="159">
        <f t="shared" si="28"/>
        <v>62.12</v>
      </c>
      <c r="M116" s="161">
        <f t="shared" si="32"/>
        <v>-62.12</v>
      </c>
      <c r="N116" s="203"/>
      <c r="O116" s="160"/>
      <c r="P116" s="161"/>
      <c r="Q116" s="204"/>
      <c r="R116" s="161"/>
      <c r="S116" s="203"/>
      <c r="T116" s="159">
        <f t="shared" si="29"/>
        <v>89.149999999999864</v>
      </c>
      <c r="U116" s="161">
        <f t="shared" si="33"/>
        <v>-89.149999999999864</v>
      </c>
      <c r="V116" s="200"/>
      <c r="W116" s="205"/>
      <c r="X116" s="206"/>
      <c r="Y116" s="162"/>
      <c r="Z116" s="206"/>
      <c r="AA116" s="162"/>
      <c r="AB116" s="206"/>
      <c r="AC116" s="162"/>
      <c r="AD116" s="207"/>
      <c r="AE116" s="162"/>
      <c r="AH116" s="7"/>
    </row>
    <row r="117" spans="1:37" s="28" customFormat="1" ht="13.8" x14ac:dyDescent="0.3">
      <c r="A117" s="435"/>
      <c r="B117" s="86">
        <f t="shared" si="34"/>
        <v>5</v>
      </c>
      <c r="C117" s="167" t="s">
        <v>61</v>
      </c>
      <c r="D117" s="88">
        <f t="shared" si="35"/>
        <v>44938</v>
      </c>
      <c r="E117" s="88">
        <f>D117+10</f>
        <v>44948</v>
      </c>
      <c r="F117" s="26">
        <f t="shared" si="30"/>
        <v>8108.4500000000007</v>
      </c>
      <c r="G117" s="89">
        <f t="shared" si="26"/>
        <v>1134.1199999999999</v>
      </c>
      <c r="H117" s="90">
        <f t="shared" si="27"/>
        <v>989.56</v>
      </c>
      <c r="I117" s="210">
        <f>$Y$82</f>
        <v>-244.59</v>
      </c>
      <c r="J117" s="242">
        <f>$Z$82</f>
        <v>-198.69</v>
      </c>
      <c r="K117" s="211">
        <f>-(H117+I117+J117)</f>
        <v>-546.28</v>
      </c>
      <c r="L117" s="89">
        <f t="shared" si="28"/>
        <v>55.41</v>
      </c>
      <c r="M117" s="210">
        <f>-L117</f>
        <v>-55.41</v>
      </c>
      <c r="N117" s="212">
        <v>0</v>
      </c>
      <c r="O117" s="213">
        <f>$K$80</f>
        <v>1.31</v>
      </c>
      <c r="P117" s="257">
        <f>-O117</f>
        <v>-1.31</v>
      </c>
      <c r="Q117" s="214">
        <f>$K$87</f>
        <v>0.36</v>
      </c>
      <c r="R117" s="100"/>
      <c r="S117" s="211">
        <f>-Q117</f>
        <v>-0.36</v>
      </c>
      <c r="T117" s="89">
        <f t="shared" si="29"/>
        <v>89.149999999999864</v>
      </c>
      <c r="U117" s="215"/>
      <c r="V117" s="213">
        <f>$P$80</f>
        <v>4.54</v>
      </c>
      <c r="W117" s="216"/>
      <c r="X117" s="217">
        <f>-K117</f>
        <v>546.28</v>
      </c>
      <c r="Y117" s="101"/>
      <c r="Z117" s="218">
        <f>N117</f>
        <v>0</v>
      </c>
      <c r="AA117" s="219"/>
      <c r="AB117" s="217">
        <f>-S117</f>
        <v>0.36</v>
      </c>
      <c r="AC117" s="101"/>
      <c r="AD117" s="220" t="s">
        <v>275</v>
      </c>
      <c r="AE117" s="219"/>
      <c r="AH117" s="7"/>
    </row>
    <row r="118" spans="1:37" s="28" customFormat="1" ht="13.8" x14ac:dyDescent="0.3">
      <c r="A118" s="435"/>
      <c r="B118" s="86">
        <f t="shared" si="34"/>
        <v>6</v>
      </c>
      <c r="C118" s="167"/>
      <c r="D118" s="88">
        <f t="shared" si="35"/>
        <v>44969</v>
      </c>
      <c r="E118" s="88"/>
      <c r="F118" s="26">
        <f t="shared" si="30"/>
        <v>7118.8900000000012</v>
      </c>
      <c r="G118" s="89">
        <f t="shared" si="26"/>
        <v>1134.1199999999999</v>
      </c>
      <c r="H118" s="90">
        <f t="shared" si="27"/>
        <v>996.32999999999993</v>
      </c>
      <c r="I118" s="100"/>
      <c r="J118" s="383"/>
      <c r="K118" s="211"/>
      <c r="L118" s="89">
        <f t="shared" si="28"/>
        <v>48.64</v>
      </c>
      <c r="M118" s="221"/>
      <c r="N118" s="212"/>
      <c r="O118" s="213"/>
      <c r="P118" s="100"/>
      <c r="Q118" s="222"/>
      <c r="R118" s="100"/>
      <c r="S118" s="211"/>
      <c r="T118" s="89">
        <f t="shared" si="29"/>
        <v>89.149999999999864</v>
      </c>
      <c r="U118" s="215"/>
      <c r="V118" s="213"/>
      <c r="W118" s="216"/>
      <c r="X118" s="217"/>
      <c r="Y118" s="101"/>
      <c r="Z118" s="218"/>
      <c r="AA118" s="219"/>
      <c r="AB118" s="223"/>
      <c r="AC118" s="101"/>
      <c r="AD118" s="224"/>
      <c r="AE118" s="219"/>
      <c r="AH118" s="7"/>
    </row>
    <row r="119" spans="1:37" s="28" customFormat="1" ht="13.8" x14ac:dyDescent="0.3">
      <c r="A119" s="435"/>
      <c r="B119" s="86">
        <f t="shared" si="34"/>
        <v>7</v>
      </c>
      <c r="C119" s="98"/>
      <c r="D119" s="88">
        <f t="shared" si="35"/>
        <v>44997</v>
      </c>
      <c r="E119" s="88"/>
      <c r="F119" s="26">
        <f t="shared" si="30"/>
        <v>6122.5600000000013</v>
      </c>
      <c r="G119" s="89">
        <f t="shared" si="26"/>
        <v>1134.1199999999999</v>
      </c>
      <c r="H119" s="90">
        <f t="shared" si="27"/>
        <v>1003.1300000000001</v>
      </c>
      <c r="I119" s="95"/>
      <c r="J119" s="384"/>
      <c r="K119" s="211"/>
      <c r="L119" s="89">
        <f t="shared" si="28"/>
        <v>41.84</v>
      </c>
      <c r="M119" s="225"/>
      <c r="N119" s="212"/>
      <c r="O119" s="213"/>
      <c r="P119" s="95"/>
      <c r="Q119" s="226"/>
      <c r="R119" s="95"/>
      <c r="S119" s="211"/>
      <c r="T119" s="89">
        <f t="shared" si="29"/>
        <v>89.149999999999864</v>
      </c>
      <c r="U119" s="225"/>
      <c r="V119" s="213"/>
      <c r="W119" s="216"/>
      <c r="X119" s="217"/>
      <c r="Y119" s="101"/>
      <c r="Z119" s="218"/>
      <c r="AA119" s="219"/>
      <c r="AB119" s="223"/>
      <c r="AC119" s="101"/>
      <c r="AD119" s="224"/>
      <c r="AE119" s="219"/>
      <c r="AH119" s="7"/>
    </row>
    <row r="120" spans="1:37" s="28" customFormat="1" ht="13.8" x14ac:dyDescent="0.3">
      <c r="A120" s="435"/>
      <c r="B120" s="86">
        <f t="shared" si="34"/>
        <v>8</v>
      </c>
      <c r="C120" s="98"/>
      <c r="D120" s="88">
        <f t="shared" si="35"/>
        <v>45028</v>
      </c>
      <c r="E120" s="88"/>
      <c r="F120" s="26">
        <f t="shared" si="30"/>
        <v>5119.4300000000012</v>
      </c>
      <c r="G120" s="89">
        <f t="shared" si="26"/>
        <v>1134.1199999999999</v>
      </c>
      <c r="H120" s="90">
        <f t="shared" si="27"/>
        <v>1009.99</v>
      </c>
      <c r="I120" s="95"/>
      <c r="J120" s="384"/>
      <c r="K120" s="211"/>
      <c r="L120" s="89">
        <f t="shared" si="28"/>
        <v>34.979999999999997</v>
      </c>
      <c r="M120" s="225"/>
      <c r="N120" s="212"/>
      <c r="O120" s="213"/>
      <c r="P120" s="95"/>
      <c r="Q120" s="226"/>
      <c r="R120" s="95"/>
      <c r="S120" s="211"/>
      <c r="T120" s="89">
        <f t="shared" si="29"/>
        <v>89.149999999999864</v>
      </c>
      <c r="U120" s="225"/>
      <c r="V120" s="213"/>
      <c r="W120" s="216"/>
      <c r="X120" s="217"/>
      <c r="Y120" s="101"/>
      <c r="Z120" s="218"/>
      <c r="AA120" s="219"/>
      <c r="AB120" s="223"/>
      <c r="AC120" s="101"/>
      <c r="AD120" s="224"/>
      <c r="AE120" s="219"/>
    </row>
    <row r="121" spans="1:37" s="28" customFormat="1" ht="13.8" x14ac:dyDescent="0.3">
      <c r="A121" s="435"/>
      <c r="B121" s="86">
        <f t="shared" si="34"/>
        <v>9</v>
      </c>
      <c r="C121" s="98"/>
      <c r="D121" s="88">
        <f t="shared" si="35"/>
        <v>45058</v>
      </c>
      <c r="E121" s="88"/>
      <c r="F121" s="26">
        <f t="shared" si="30"/>
        <v>4109.4400000000014</v>
      </c>
      <c r="G121" s="89">
        <f t="shared" si="26"/>
        <v>1134.1199999999999</v>
      </c>
      <c r="H121" s="90">
        <f t="shared" si="27"/>
        <v>1016.8900000000001</v>
      </c>
      <c r="I121" s="95"/>
      <c r="J121" s="384"/>
      <c r="K121" s="211"/>
      <c r="L121" s="89">
        <f t="shared" si="28"/>
        <v>28.08</v>
      </c>
      <c r="M121" s="225"/>
      <c r="N121" s="212"/>
      <c r="O121" s="213"/>
      <c r="P121" s="95"/>
      <c r="Q121" s="226"/>
      <c r="R121" s="95"/>
      <c r="S121" s="211"/>
      <c r="T121" s="89">
        <f t="shared" si="29"/>
        <v>89.149999999999864</v>
      </c>
      <c r="U121" s="225"/>
      <c r="V121" s="213"/>
      <c r="W121" s="216"/>
      <c r="X121" s="217"/>
      <c r="Y121" s="101"/>
      <c r="Z121" s="218"/>
      <c r="AA121" s="219"/>
      <c r="AB121" s="223"/>
      <c r="AC121" s="101"/>
      <c r="AD121" s="224"/>
      <c r="AE121" s="219"/>
    </row>
    <row r="122" spans="1:37" s="28" customFormat="1" ht="13.8" x14ac:dyDescent="0.3">
      <c r="A122" s="435"/>
      <c r="B122" s="86">
        <f t="shared" si="34"/>
        <v>10</v>
      </c>
      <c r="C122" s="98"/>
      <c r="D122" s="88">
        <f t="shared" si="35"/>
        <v>45089</v>
      </c>
      <c r="E122" s="88"/>
      <c r="F122" s="26">
        <f t="shared" si="30"/>
        <v>3092.5500000000011</v>
      </c>
      <c r="G122" s="89">
        <f t="shared" si="26"/>
        <v>1134.1199999999999</v>
      </c>
      <c r="H122" s="90">
        <f t="shared" si="27"/>
        <v>1023.8399999999999</v>
      </c>
      <c r="I122" s="95"/>
      <c r="J122" s="384"/>
      <c r="K122" s="211"/>
      <c r="L122" s="89">
        <f t="shared" si="28"/>
        <v>21.13</v>
      </c>
      <c r="M122" s="225"/>
      <c r="N122" s="212"/>
      <c r="O122" s="213"/>
      <c r="P122" s="95"/>
      <c r="Q122" s="226"/>
      <c r="R122" s="95"/>
      <c r="S122" s="211"/>
      <c r="T122" s="89">
        <f t="shared" si="29"/>
        <v>89.149999999999864</v>
      </c>
      <c r="U122" s="225"/>
      <c r="V122" s="213"/>
      <c r="W122" s="216"/>
      <c r="X122" s="217"/>
      <c r="Y122" s="101"/>
      <c r="Z122" s="218"/>
      <c r="AA122" s="219"/>
      <c r="AB122" s="223"/>
      <c r="AC122" s="101"/>
      <c r="AD122" s="224"/>
      <c r="AE122" s="219"/>
    </row>
    <row r="123" spans="1:37" s="28" customFormat="1" ht="13.8" x14ac:dyDescent="0.3">
      <c r="A123" s="435"/>
      <c r="B123" s="86">
        <f t="shared" si="34"/>
        <v>11</v>
      </c>
      <c r="C123" s="98"/>
      <c r="D123" s="88">
        <f t="shared" si="35"/>
        <v>45119</v>
      </c>
      <c r="E123" s="88"/>
      <c r="F123" s="26">
        <f t="shared" si="30"/>
        <v>2068.7100000000009</v>
      </c>
      <c r="G123" s="89">
        <f t="shared" si="26"/>
        <v>1134.1199999999999</v>
      </c>
      <c r="H123" s="90">
        <f t="shared" si="27"/>
        <v>1030.83</v>
      </c>
      <c r="I123" s="95"/>
      <c r="J123" s="384"/>
      <c r="K123" s="211"/>
      <c r="L123" s="89">
        <f t="shared" si="28"/>
        <v>14.14</v>
      </c>
      <c r="M123" s="225"/>
      <c r="N123" s="212"/>
      <c r="O123" s="213"/>
      <c r="P123" s="95"/>
      <c r="Q123" s="226"/>
      <c r="R123" s="95"/>
      <c r="S123" s="211"/>
      <c r="T123" s="89">
        <f t="shared" si="29"/>
        <v>89.149999999999864</v>
      </c>
      <c r="U123" s="225"/>
      <c r="V123" s="213"/>
      <c r="W123" s="216"/>
      <c r="X123" s="217"/>
      <c r="Y123" s="101"/>
      <c r="Z123" s="218"/>
      <c r="AA123" s="219"/>
      <c r="AB123" s="223"/>
      <c r="AC123" s="101"/>
      <c r="AD123" s="224"/>
      <c r="AE123" s="219"/>
    </row>
    <row r="124" spans="1:37" s="28" customFormat="1" ht="14.4" thickBot="1" x14ac:dyDescent="0.35">
      <c r="A124" s="435"/>
      <c r="B124" s="104">
        <f t="shared" si="34"/>
        <v>12</v>
      </c>
      <c r="C124" s="227"/>
      <c r="D124" s="106">
        <f t="shared" si="35"/>
        <v>45150</v>
      </c>
      <c r="E124" s="106"/>
      <c r="F124" s="31">
        <f t="shared" si="30"/>
        <v>1037.880000000001</v>
      </c>
      <c r="G124" s="107">
        <f t="shared" si="26"/>
        <v>1134.1199999999999</v>
      </c>
      <c r="H124" s="108">
        <f t="shared" si="27"/>
        <v>1037.8800000000001</v>
      </c>
      <c r="I124" s="109"/>
      <c r="J124" s="385"/>
      <c r="K124" s="228"/>
      <c r="L124" s="107">
        <f t="shared" si="28"/>
        <v>7.09</v>
      </c>
      <c r="M124" s="229"/>
      <c r="N124" s="230"/>
      <c r="O124" s="231"/>
      <c r="P124" s="109"/>
      <c r="Q124" s="232"/>
      <c r="R124" s="109"/>
      <c r="S124" s="228"/>
      <c r="T124" s="107">
        <f t="shared" si="29"/>
        <v>89.149999999999864</v>
      </c>
      <c r="U124" s="229"/>
      <c r="V124" s="231"/>
      <c r="W124" s="233"/>
      <c r="X124" s="234"/>
      <c r="Y124" s="111"/>
      <c r="Z124" s="235"/>
      <c r="AA124" s="236"/>
      <c r="AB124" s="237"/>
      <c r="AC124" s="111"/>
      <c r="AD124" s="238"/>
      <c r="AE124" s="236"/>
    </row>
    <row r="125" spans="1:37" x14ac:dyDescent="0.3">
      <c r="M125" s="33"/>
      <c r="V125" s="63"/>
    </row>
    <row r="126" spans="1:37" ht="16.2" thickBot="1" x14ac:dyDescent="0.35">
      <c r="M126" s="33"/>
      <c r="V126" s="63"/>
    </row>
    <row r="127" spans="1:37" s="28" customFormat="1" ht="15" customHeight="1" x14ac:dyDescent="0.3">
      <c r="A127" s="435" t="s">
        <v>263</v>
      </c>
      <c r="B127" s="5" t="s">
        <v>21</v>
      </c>
      <c r="C127" s="6" t="s">
        <v>22</v>
      </c>
      <c r="D127" s="34" t="s">
        <v>23</v>
      </c>
      <c r="E127" s="6" t="s">
        <v>24</v>
      </c>
      <c r="F127" s="35"/>
      <c r="G127" s="430" t="s">
        <v>25</v>
      </c>
      <c r="H127" s="431"/>
      <c r="I127" s="431"/>
      <c r="J127" s="431"/>
      <c r="K127" s="432"/>
      <c r="L127" s="430" t="s">
        <v>26</v>
      </c>
      <c r="M127" s="431"/>
      <c r="N127" s="431"/>
      <c r="O127" s="431"/>
      <c r="P127" s="432"/>
      <c r="Q127" s="430" t="s">
        <v>66</v>
      </c>
      <c r="R127" s="431"/>
      <c r="S127" s="431"/>
      <c r="T127" s="431"/>
      <c r="U127" s="431"/>
      <c r="V127" s="431"/>
      <c r="W127" s="431"/>
      <c r="X127" s="431"/>
      <c r="Y127" s="431"/>
      <c r="Z127" s="432"/>
      <c r="AJ127" s="3"/>
      <c r="AK127" s="3"/>
    </row>
    <row r="128" spans="1:37" s="28" customFormat="1" ht="15" customHeight="1" x14ac:dyDescent="0.3">
      <c r="A128" s="435"/>
      <c r="B128" s="239">
        <v>6.1</v>
      </c>
      <c r="C128" s="55"/>
      <c r="D128" s="240">
        <v>44969</v>
      </c>
      <c r="E128" s="50">
        <v>0</v>
      </c>
      <c r="F128" s="51"/>
      <c r="G128" s="137"/>
      <c r="H128" s="52"/>
      <c r="I128" s="52"/>
      <c r="J128" s="52"/>
      <c r="K128" s="53"/>
      <c r="L128" s="54"/>
      <c r="M128" s="55"/>
      <c r="N128" s="55"/>
      <c r="O128" s="55"/>
      <c r="P128" s="59"/>
      <c r="Q128" s="56" t="s">
        <v>237</v>
      </c>
      <c r="R128" s="52" t="s">
        <v>72</v>
      </c>
      <c r="S128" s="52"/>
      <c r="T128" s="58">
        <f t="shared" ref="T128:T134" si="36">ROUND($X$117*$I$8,2)</f>
        <v>0.53</v>
      </c>
      <c r="U128" s="440">
        <f>SUM(T128:T134,T90:T109)</f>
        <v>14.309999999999995</v>
      </c>
      <c r="V128" s="55"/>
      <c r="W128" s="55"/>
      <c r="X128" s="55"/>
      <c r="Y128" s="55"/>
      <c r="Z128" s="51"/>
      <c r="AB128" s="186" t="s">
        <v>120</v>
      </c>
      <c r="AC128" s="118"/>
      <c r="AD128" s="186" t="s">
        <v>121</v>
      </c>
      <c r="AJ128" s="3"/>
      <c r="AK128" s="3"/>
    </row>
    <row r="129" spans="1:38" s="7" customFormat="1" ht="13.8" x14ac:dyDescent="0.3">
      <c r="A129" s="435"/>
      <c r="B129" s="241" t="s">
        <v>122</v>
      </c>
      <c r="C129" s="55"/>
      <c r="D129" s="240">
        <v>44970</v>
      </c>
      <c r="E129" s="50">
        <v>0</v>
      </c>
      <c r="F129" s="51"/>
      <c r="G129" s="56" t="s">
        <v>28</v>
      </c>
      <c r="H129" s="52" t="s">
        <v>123</v>
      </c>
      <c r="I129" s="52"/>
      <c r="J129" s="58">
        <f t="shared" ref="J129:J138" si="37">ROUND($H$153*$I$6,2)</f>
        <v>0.23</v>
      </c>
      <c r="K129" s="436">
        <f>SUM(J129:J138)</f>
        <v>2.3000000000000003</v>
      </c>
      <c r="L129" s="56" t="s">
        <v>30</v>
      </c>
      <c r="M129" s="52" t="s">
        <v>124</v>
      </c>
      <c r="N129" s="52"/>
      <c r="O129" s="58">
        <f>ROUND($H$153*$I$7,2)</f>
        <v>0.62</v>
      </c>
      <c r="P129" s="436">
        <f>SUM(O129:O138)</f>
        <v>6.2</v>
      </c>
      <c r="Q129" s="56" t="s">
        <v>231</v>
      </c>
      <c r="R129" s="52" t="s">
        <v>125</v>
      </c>
      <c r="S129" s="52"/>
      <c r="T129" s="58">
        <f t="shared" si="36"/>
        <v>0.53</v>
      </c>
      <c r="U129" s="440"/>
      <c r="V129" s="55"/>
      <c r="W129" s="55"/>
      <c r="X129" s="55"/>
      <c r="Y129" s="55"/>
      <c r="Z129" s="51"/>
      <c r="AA129" s="28"/>
      <c r="AB129" s="23">
        <v>1</v>
      </c>
      <c r="AC129" s="28" t="s">
        <v>59</v>
      </c>
      <c r="AD129" s="165">
        <v>0</v>
      </c>
      <c r="AE129" s="28"/>
      <c r="AF129" s="28"/>
      <c r="AI129" s="28"/>
      <c r="AJ129" s="3"/>
      <c r="AK129" s="3"/>
      <c r="AL129" s="28"/>
    </row>
    <row r="130" spans="1:38" s="7" customFormat="1" ht="13.8" x14ac:dyDescent="0.3">
      <c r="A130" s="435"/>
      <c r="B130" s="241" t="s">
        <v>126</v>
      </c>
      <c r="C130" s="55"/>
      <c r="D130" s="240">
        <v>44971</v>
      </c>
      <c r="E130" s="50">
        <v>0</v>
      </c>
      <c r="F130" s="51"/>
      <c r="G130" s="56" t="s">
        <v>32</v>
      </c>
      <c r="H130" s="52" t="s">
        <v>72</v>
      </c>
      <c r="I130" s="52"/>
      <c r="J130" s="58">
        <f t="shared" si="37"/>
        <v>0.23</v>
      </c>
      <c r="K130" s="436"/>
      <c r="L130" s="56" t="s">
        <v>33</v>
      </c>
      <c r="M130" s="52"/>
      <c r="N130" s="52"/>
      <c r="O130" s="58">
        <f t="shared" ref="O130:O138" si="38">ROUND($H$118*$I$7,2)</f>
        <v>0.62</v>
      </c>
      <c r="P130" s="436"/>
      <c r="Q130" s="56" t="s">
        <v>232</v>
      </c>
      <c r="R130" s="52"/>
      <c r="S130" s="52"/>
      <c r="T130" s="58">
        <f t="shared" si="36"/>
        <v>0.53</v>
      </c>
      <c r="U130" s="440"/>
      <c r="V130" s="55"/>
      <c r="W130" s="55"/>
      <c r="X130" s="55"/>
      <c r="Y130" s="55"/>
      <c r="Z130" s="51"/>
      <c r="AA130" s="28"/>
      <c r="AB130" s="23">
        <v>2</v>
      </c>
      <c r="AC130" s="28" t="s">
        <v>60</v>
      </c>
      <c r="AD130" s="165">
        <v>0</v>
      </c>
      <c r="AE130" s="28"/>
      <c r="AF130" s="28"/>
      <c r="AI130" s="28"/>
      <c r="AJ130" s="3"/>
      <c r="AK130" s="3"/>
      <c r="AL130" s="28"/>
    </row>
    <row r="131" spans="1:38" s="7" customFormat="1" ht="13.8" x14ac:dyDescent="0.3">
      <c r="A131" s="435"/>
      <c r="B131" s="241" t="s">
        <v>127</v>
      </c>
      <c r="C131" s="55"/>
      <c r="D131" s="240">
        <v>44972</v>
      </c>
      <c r="E131" s="50">
        <v>0</v>
      </c>
      <c r="F131" s="51"/>
      <c r="G131" s="56" t="s">
        <v>34</v>
      </c>
      <c r="H131" s="52"/>
      <c r="I131" s="52"/>
      <c r="J131" s="58">
        <f t="shared" si="37"/>
        <v>0.23</v>
      </c>
      <c r="K131" s="436"/>
      <c r="L131" s="56" t="s">
        <v>51</v>
      </c>
      <c r="M131" s="52"/>
      <c r="N131" s="52"/>
      <c r="O131" s="58">
        <f t="shared" si="38"/>
        <v>0.62</v>
      </c>
      <c r="P131" s="436"/>
      <c r="Q131" s="56" t="s">
        <v>233</v>
      </c>
      <c r="R131" s="52"/>
      <c r="S131" s="52"/>
      <c r="T131" s="58">
        <f t="shared" si="36"/>
        <v>0.53</v>
      </c>
      <c r="U131" s="440"/>
      <c r="V131" s="55"/>
      <c r="W131" s="55"/>
      <c r="X131" s="55"/>
      <c r="Y131" s="55"/>
      <c r="Z131" s="51"/>
      <c r="AA131" s="28"/>
      <c r="AB131" s="23">
        <v>3</v>
      </c>
      <c r="AC131" s="28" t="s">
        <v>62</v>
      </c>
      <c r="AD131" s="165">
        <v>0</v>
      </c>
      <c r="AE131" s="28"/>
      <c r="AF131" s="28"/>
      <c r="AI131" s="28"/>
      <c r="AJ131" s="3"/>
      <c r="AK131" s="3"/>
      <c r="AL131" s="28"/>
    </row>
    <row r="132" spans="1:38" s="7" customFormat="1" ht="13.8" x14ac:dyDescent="0.3">
      <c r="A132" s="435"/>
      <c r="B132" s="241" t="s">
        <v>128</v>
      </c>
      <c r="C132" s="55"/>
      <c r="D132" s="240">
        <v>44973</v>
      </c>
      <c r="E132" s="50">
        <v>0</v>
      </c>
      <c r="F132" s="51"/>
      <c r="G132" s="56" t="s">
        <v>35</v>
      </c>
      <c r="H132" s="52"/>
      <c r="I132" s="52"/>
      <c r="J132" s="58">
        <f t="shared" si="37"/>
        <v>0.23</v>
      </c>
      <c r="K132" s="436"/>
      <c r="L132" s="56" t="s">
        <v>52</v>
      </c>
      <c r="M132" s="52"/>
      <c r="N132" s="52"/>
      <c r="O132" s="58">
        <f t="shared" si="38"/>
        <v>0.62</v>
      </c>
      <c r="P132" s="436"/>
      <c r="Q132" s="56" t="s">
        <v>234</v>
      </c>
      <c r="R132" s="52"/>
      <c r="S132" s="52"/>
      <c r="T132" s="58">
        <f t="shared" si="36"/>
        <v>0.53</v>
      </c>
      <c r="U132" s="440"/>
      <c r="V132" s="55"/>
      <c r="W132" s="55"/>
      <c r="X132" s="55"/>
      <c r="Y132" s="55"/>
      <c r="Z132" s="51"/>
      <c r="AA132" s="28"/>
      <c r="AB132" s="23">
        <v>4</v>
      </c>
      <c r="AC132" s="28" t="s">
        <v>13</v>
      </c>
      <c r="AD132" s="165">
        <f>AG152</f>
        <v>-14.309999999999995</v>
      </c>
      <c r="AE132" s="28"/>
      <c r="AF132" s="28"/>
      <c r="AI132" s="28"/>
      <c r="AJ132" s="3"/>
      <c r="AK132" s="3"/>
      <c r="AL132" s="28"/>
    </row>
    <row r="133" spans="1:38" s="7" customFormat="1" ht="13.8" x14ac:dyDescent="0.3">
      <c r="A133" s="435"/>
      <c r="B133" s="241" t="s">
        <v>129</v>
      </c>
      <c r="C133" s="55"/>
      <c r="D133" s="240">
        <v>44974</v>
      </c>
      <c r="E133" s="50">
        <v>0</v>
      </c>
      <c r="F133" s="51"/>
      <c r="G133" s="56" t="s">
        <v>36</v>
      </c>
      <c r="H133" s="52"/>
      <c r="I133" s="52"/>
      <c r="J133" s="58">
        <f t="shared" si="37"/>
        <v>0.23</v>
      </c>
      <c r="K133" s="436"/>
      <c r="L133" s="56" t="s">
        <v>53</v>
      </c>
      <c r="M133" s="52"/>
      <c r="N133" s="52"/>
      <c r="O133" s="58">
        <f t="shared" si="38"/>
        <v>0.62</v>
      </c>
      <c r="P133" s="436"/>
      <c r="Q133" s="56" t="s">
        <v>235</v>
      </c>
      <c r="R133" s="52"/>
      <c r="S133" s="52"/>
      <c r="T133" s="58">
        <f t="shared" si="36"/>
        <v>0.53</v>
      </c>
      <c r="U133" s="440"/>
      <c r="V133" s="55"/>
      <c r="W133" s="55"/>
      <c r="X133" s="55"/>
      <c r="Y133" s="55"/>
      <c r="Z133" s="51"/>
      <c r="AA133" s="28"/>
      <c r="AB133" s="23">
        <v>5</v>
      </c>
      <c r="AC133" s="28" t="s">
        <v>130</v>
      </c>
      <c r="AD133" s="165">
        <f>AE152</f>
        <v>-0.36</v>
      </c>
      <c r="AE133" s="28"/>
      <c r="AF133" s="28"/>
      <c r="AI133" s="28"/>
      <c r="AJ133" s="3"/>
      <c r="AK133" s="3"/>
      <c r="AL133" s="28"/>
    </row>
    <row r="134" spans="1:38" s="7" customFormat="1" ht="13.8" x14ac:dyDescent="0.3">
      <c r="A134" s="435"/>
      <c r="B134" s="241" t="s">
        <v>131</v>
      </c>
      <c r="C134" s="52" t="s">
        <v>27</v>
      </c>
      <c r="D134" s="49">
        <v>44975</v>
      </c>
      <c r="E134" s="242">
        <v>200</v>
      </c>
      <c r="F134" s="51"/>
      <c r="G134" s="56" t="s">
        <v>54</v>
      </c>
      <c r="H134" s="52"/>
      <c r="I134" s="52"/>
      <c r="J134" s="58">
        <f t="shared" si="37"/>
        <v>0.23</v>
      </c>
      <c r="K134" s="436"/>
      <c r="L134" s="56" t="s">
        <v>55</v>
      </c>
      <c r="M134" s="52"/>
      <c r="N134" s="52"/>
      <c r="O134" s="58">
        <f t="shared" si="38"/>
        <v>0.62</v>
      </c>
      <c r="P134" s="436"/>
      <c r="Q134" s="56" t="s">
        <v>236</v>
      </c>
      <c r="R134" s="52"/>
      <c r="S134" s="52"/>
      <c r="T134" s="58">
        <f t="shared" si="36"/>
        <v>0.53</v>
      </c>
      <c r="U134" s="441"/>
      <c r="V134" s="55"/>
      <c r="W134" s="55"/>
      <c r="X134" s="55"/>
      <c r="Y134" s="55"/>
      <c r="Z134" s="51"/>
      <c r="AA134" s="28"/>
      <c r="AB134" s="23">
        <v>6</v>
      </c>
      <c r="AC134" s="28" t="s">
        <v>132</v>
      </c>
      <c r="AD134" s="165">
        <f>AC152</f>
        <v>0</v>
      </c>
      <c r="AE134" s="28"/>
      <c r="AF134" s="28"/>
      <c r="AI134" s="28"/>
      <c r="AJ134" s="3"/>
      <c r="AK134" s="3"/>
      <c r="AL134" s="28"/>
    </row>
    <row r="135" spans="1:38" s="7" customFormat="1" ht="13.8" x14ac:dyDescent="0.3">
      <c r="A135" s="435"/>
      <c r="B135" s="241" t="s">
        <v>133</v>
      </c>
      <c r="C135" s="52"/>
      <c r="D135" s="49">
        <v>44976</v>
      </c>
      <c r="E135" s="50">
        <v>0</v>
      </c>
      <c r="F135" s="51"/>
      <c r="G135" s="56" t="s">
        <v>80</v>
      </c>
      <c r="H135" s="52"/>
      <c r="I135" s="52"/>
      <c r="J135" s="58">
        <f t="shared" si="37"/>
        <v>0.23</v>
      </c>
      <c r="K135" s="436"/>
      <c r="L135" s="56" t="s">
        <v>81</v>
      </c>
      <c r="M135" s="52"/>
      <c r="N135" s="243"/>
      <c r="O135" s="58">
        <f t="shared" si="38"/>
        <v>0.62</v>
      </c>
      <c r="P135" s="436"/>
      <c r="Q135" s="56" t="s">
        <v>230</v>
      </c>
      <c r="R135" s="52" t="s">
        <v>258</v>
      </c>
      <c r="S135" s="52"/>
      <c r="T135" s="58">
        <f t="shared" ref="T135:T144" si="39">ROUND(SUM($Z$152:$AA$152)*$I$8,2)</f>
        <v>0.44</v>
      </c>
      <c r="U135" s="438"/>
      <c r="V135" s="55"/>
      <c r="W135" s="55"/>
      <c r="X135" s="55"/>
      <c r="Y135" s="55"/>
      <c r="Z135" s="51"/>
      <c r="AA135" s="28"/>
      <c r="AB135" s="23">
        <v>7</v>
      </c>
      <c r="AC135" s="28" t="s">
        <v>63</v>
      </c>
      <c r="AD135" s="165">
        <f>X152</f>
        <v>-4.54</v>
      </c>
      <c r="AE135" s="28"/>
      <c r="AF135" s="28"/>
      <c r="AI135" s="28"/>
      <c r="AJ135" s="3"/>
      <c r="AK135" s="3"/>
      <c r="AL135" s="28"/>
    </row>
    <row r="136" spans="1:38" s="7" customFormat="1" ht="13.8" x14ac:dyDescent="0.3">
      <c r="A136" s="435"/>
      <c r="B136" s="241" t="s">
        <v>134</v>
      </c>
      <c r="C136" s="52"/>
      <c r="D136" s="49">
        <v>44977</v>
      </c>
      <c r="E136" s="50">
        <v>0</v>
      </c>
      <c r="F136" s="51"/>
      <c r="G136" s="56" t="s">
        <v>84</v>
      </c>
      <c r="H136" s="52"/>
      <c r="I136" s="52"/>
      <c r="J136" s="58">
        <f t="shared" si="37"/>
        <v>0.23</v>
      </c>
      <c r="K136" s="436"/>
      <c r="L136" s="56" t="s">
        <v>85</v>
      </c>
      <c r="M136" s="52"/>
      <c r="N136" s="52"/>
      <c r="O136" s="58">
        <f t="shared" si="38"/>
        <v>0.62</v>
      </c>
      <c r="P136" s="436"/>
      <c r="Q136" s="56" t="s">
        <v>211</v>
      </c>
      <c r="R136" s="52"/>
      <c r="S136" s="52"/>
      <c r="T136" s="58">
        <f t="shared" si="39"/>
        <v>0.44</v>
      </c>
      <c r="U136" s="439"/>
      <c r="V136" s="55"/>
      <c r="W136" s="55"/>
      <c r="X136" s="55"/>
      <c r="Y136" s="55"/>
      <c r="Z136" s="51"/>
      <c r="AA136" s="28"/>
      <c r="AB136" s="23">
        <v>8</v>
      </c>
      <c r="AC136" s="28" t="s">
        <v>64</v>
      </c>
      <c r="AD136" s="165">
        <f>U152</f>
        <v>-89.149999999999864</v>
      </c>
      <c r="AE136" s="28"/>
      <c r="AF136" s="28"/>
      <c r="AI136" s="28"/>
      <c r="AJ136" s="3"/>
      <c r="AK136" s="3"/>
      <c r="AL136" s="28"/>
    </row>
    <row r="137" spans="1:38" s="7" customFormat="1" ht="13.8" x14ac:dyDescent="0.3">
      <c r="A137" s="435"/>
      <c r="B137" s="241" t="s">
        <v>135</v>
      </c>
      <c r="C137" s="52"/>
      <c r="D137" s="49">
        <v>44978</v>
      </c>
      <c r="E137" s="50">
        <v>0</v>
      </c>
      <c r="F137" s="51"/>
      <c r="G137" s="56" t="s">
        <v>136</v>
      </c>
      <c r="H137" s="52"/>
      <c r="I137" s="52"/>
      <c r="J137" s="58">
        <f t="shared" si="37"/>
        <v>0.23</v>
      </c>
      <c r="K137" s="436"/>
      <c r="L137" s="56" t="s">
        <v>137</v>
      </c>
      <c r="M137" s="52"/>
      <c r="N137" s="52"/>
      <c r="O137" s="58">
        <f t="shared" si="38"/>
        <v>0.62</v>
      </c>
      <c r="P137" s="436"/>
      <c r="Q137" s="56" t="s">
        <v>212</v>
      </c>
      <c r="R137" s="52"/>
      <c r="S137" s="52"/>
      <c r="T137" s="58">
        <f t="shared" si="39"/>
        <v>0.44</v>
      </c>
      <c r="U137" s="439"/>
      <c r="V137" s="55"/>
      <c r="W137" s="55"/>
      <c r="X137" s="55"/>
      <c r="Y137" s="55"/>
      <c r="Z137" s="51"/>
      <c r="AA137" s="28"/>
      <c r="AB137" s="23">
        <v>9</v>
      </c>
      <c r="AC137" s="28" t="s">
        <v>138</v>
      </c>
      <c r="AD137" s="165">
        <f>-(AC138+AD129+AD130+AD131+AD132+AD133+AD134+AD135+AD136)</f>
        <v>-91.640000000000128</v>
      </c>
      <c r="AE137" s="28"/>
      <c r="AF137" s="28"/>
      <c r="AI137" s="28"/>
      <c r="AJ137" s="3"/>
      <c r="AK137" s="3"/>
      <c r="AL137" s="28"/>
    </row>
    <row r="138" spans="1:38" s="7" customFormat="1" ht="13.8" x14ac:dyDescent="0.3">
      <c r="A138" s="435"/>
      <c r="B138" s="241" t="s">
        <v>139</v>
      </c>
      <c r="C138" s="52" t="s">
        <v>83</v>
      </c>
      <c r="D138" s="49">
        <v>44979</v>
      </c>
      <c r="E138" s="244">
        <f>-SUM(K153,N153,S153)</f>
        <v>1047.27</v>
      </c>
      <c r="F138" s="51"/>
      <c r="G138" s="56" t="s">
        <v>140</v>
      </c>
      <c r="H138" s="52"/>
      <c r="I138" s="52"/>
      <c r="J138" s="58">
        <f t="shared" si="37"/>
        <v>0.23</v>
      </c>
      <c r="K138" s="437"/>
      <c r="L138" s="56" t="s">
        <v>141</v>
      </c>
      <c r="M138" s="52"/>
      <c r="N138" s="52"/>
      <c r="O138" s="58">
        <f t="shared" si="38"/>
        <v>0.62</v>
      </c>
      <c r="P138" s="437"/>
      <c r="Q138" s="56" t="s">
        <v>213</v>
      </c>
      <c r="R138" s="52"/>
      <c r="S138" s="52"/>
      <c r="T138" s="58">
        <f t="shared" si="39"/>
        <v>0.44</v>
      </c>
      <c r="U138" s="439"/>
      <c r="V138" s="55"/>
      <c r="W138" s="55"/>
      <c r="X138" s="55"/>
      <c r="Y138" s="55"/>
      <c r="Z138" s="51"/>
      <c r="AA138" s="28"/>
      <c r="AB138" s="23" t="s">
        <v>65</v>
      </c>
      <c r="AC138" s="169">
        <f>$E$134</f>
        <v>200</v>
      </c>
      <c r="AD138" s="170">
        <f>SUM(AD129:AD137)</f>
        <v>-200</v>
      </c>
      <c r="AE138" s="28"/>
      <c r="AF138" s="28"/>
      <c r="AI138" s="28"/>
      <c r="AJ138" s="3"/>
      <c r="AK138" s="3"/>
      <c r="AL138" s="28"/>
    </row>
    <row r="139" spans="1:38" s="7" customFormat="1" ht="13.8" x14ac:dyDescent="0.3">
      <c r="A139" s="435"/>
      <c r="B139" s="241" t="s">
        <v>142</v>
      </c>
      <c r="C139" s="52"/>
      <c r="D139" s="49">
        <v>44980</v>
      </c>
      <c r="E139" s="50">
        <v>0</v>
      </c>
      <c r="F139" s="51"/>
      <c r="G139" s="137"/>
      <c r="H139" s="52"/>
      <c r="I139" s="52"/>
      <c r="J139" s="52"/>
      <c r="K139" s="245"/>
      <c r="L139" s="54"/>
      <c r="M139" s="55"/>
      <c r="N139" s="246"/>
      <c r="O139" s="52"/>
      <c r="P139" s="53"/>
      <c r="Q139" s="56" t="s">
        <v>214</v>
      </c>
      <c r="R139" s="52"/>
      <c r="S139" s="52"/>
      <c r="T139" s="58">
        <f t="shared" si="39"/>
        <v>0.44</v>
      </c>
      <c r="U139" s="439"/>
      <c r="V139" s="246" t="s">
        <v>252</v>
      </c>
      <c r="W139" s="52" t="s">
        <v>143</v>
      </c>
      <c r="X139" s="52"/>
      <c r="Y139" s="58">
        <f t="shared" ref="Y139:Y144" si="40">ROUND(Z$153*$I$8,2)</f>
        <v>0.97</v>
      </c>
      <c r="Z139" s="59"/>
      <c r="AA139" s="28"/>
      <c r="AB139" s="28"/>
      <c r="AC139" s="28"/>
      <c r="AD139" s="28"/>
      <c r="AE139" s="28"/>
      <c r="AF139" s="28"/>
      <c r="AI139" s="28"/>
      <c r="AJ139" s="3"/>
      <c r="AK139" s="3"/>
      <c r="AL139" s="28"/>
    </row>
    <row r="140" spans="1:38" s="7" customFormat="1" ht="13.8" x14ac:dyDescent="0.3">
      <c r="A140" s="435"/>
      <c r="B140" s="241" t="s">
        <v>144</v>
      </c>
      <c r="C140" s="55"/>
      <c r="D140" s="240">
        <v>44981</v>
      </c>
      <c r="E140" s="50">
        <v>0</v>
      </c>
      <c r="F140" s="51"/>
      <c r="G140" s="137"/>
      <c r="H140" s="52"/>
      <c r="I140" s="52"/>
      <c r="J140" s="52"/>
      <c r="K140" s="245"/>
      <c r="L140" s="54"/>
      <c r="M140" s="55"/>
      <c r="N140" s="246"/>
      <c r="O140" s="52"/>
      <c r="P140" s="53"/>
      <c r="Q140" s="56" t="s">
        <v>215</v>
      </c>
      <c r="R140" s="246"/>
      <c r="S140" s="52"/>
      <c r="T140" s="58">
        <f t="shared" si="39"/>
        <v>0.44</v>
      </c>
      <c r="U140" s="439"/>
      <c r="V140" s="246" t="s">
        <v>238</v>
      </c>
      <c r="W140" s="246"/>
      <c r="X140" s="52"/>
      <c r="Y140" s="58">
        <f t="shared" si="40"/>
        <v>0.97</v>
      </c>
      <c r="Z140" s="59"/>
      <c r="AA140" s="28"/>
      <c r="AB140" s="186" t="s">
        <v>145</v>
      </c>
      <c r="AC140" s="186"/>
      <c r="AD140" s="143">
        <f>$Y$90+$AF$152</f>
        <v>654.63999999999976</v>
      </c>
      <c r="AE140" s="187"/>
      <c r="AF140" s="28"/>
      <c r="AI140" s="28"/>
      <c r="AJ140" s="3"/>
      <c r="AK140" s="3"/>
      <c r="AL140" s="28"/>
    </row>
    <row r="141" spans="1:38" s="7" customFormat="1" ht="13.8" x14ac:dyDescent="0.3">
      <c r="A141" s="435"/>
      <c r="B141" s="241" t="s">
        <v>146</v>
      </c>
      <c r="C141" s="55"/>
      <c r="D141" s="240">
        <v>44982</v>
      </c>
      <c r="E141" s="50">
        <v>0</v>
      </c>
      <c r="F141" s="51"/>
      <c r="G141" s="137"/>
      <c r="H141" s="52"/>
      <c r="I141" s="52"/>
      <c r="J141" s="52"/>
      <c r="K141" s="53"/>
      <c r="L141" s="54"/>
      <c r="M141" s="55"/>
      <c r="N141" s="246"/>
      <c r="O141" s="52"/>
      <c r="P141" s="53"/>
      <c r="Q141" s="56" t="s">
        <v>216</v>
      </c>
      <c r="R141" s="246"/>
      <c r="S141" s="52"/>
      <c r="T141" s="58">
        <f t="shared" si="39"/>
        <v>0.44</v>
      </c>
      <c r="U141" s="439"/>
      <c r="V141" s="246" t="s">
        <v>239</v>
      </c>
      <c r="W141" s="246"/>
      <c r="X141" s="52"/>
      <c r="Y141" s="58">
        <f t="shared" si="40"/>
        <v>0.97</v>
      </c>
      <c r="Z141" s="59"/>
      <c r="AA141" s="28"/>
      <c r="AB141" s="186" t="s">
        <v>147</v>
      </c>
      <c r="AC141" s="186"/>
      <c r="AD141" s="143">
        <f>SUM($T$152:$AG$152)</f>
        <v>454.63999999999987</v>
      </c>
      <c r="AE141" s="247" t="s">
        <v>259</v>
      </c>
      <c r="AF141" s="28"/>
      <c r="AI141" s="28"/>
      <c r="AJ141" s="3"/>
      <c r="AK141" s="3"/>
      <c r="AL141" s="28"/>
    </row>
    <row r="142" spans="1:38" s="7" customFormat="1" ht="13.8" x14ac:dyDescent="0.3">
      <c r="A142" s="435"/>
      <c r="B142" s="241" t="s">
        <v>148</v>
      </c>
      <c r="C142" s="55"/>
      <c r="D142" s="240">
        <v>44983</v>
      </c>
      <c r="E142" s="50">
        <v>0</v>
      </c>
      <c r="F142" s="51"/>
      <c r="G142" s="137"/>
      <c r="H142" s="52"/>
      <c r="I142" s="52"/>
      <c r="J142" s="52"/>
      <c r="K142" s="53"/>
      <c r="L142" s="54"/>
      <c r="M142" s="55"/>
      <c r="N142" s="246"/>
      <c r="O142" s="52"/>
      <c r="P142" s="53"/>
      <c r="Q142" s="56" t="s">
        <v>217</v>
      </c>
      <c r="R142" s="246"/>
      <c r="S142" s="52"/>
      <c r="T142" s="58">
        <f t="shared" si="39"/>
        <v>0.44</v>
      </c>
      <c r="U142" s="439"/>
      <c r="V142" s="246" t="s">
        <v>240</v>
      </c>
      <c r="W142" s="246"/>
      <c r="X142" s="52"/>
      <c r="Y142" s="58">
        <f t="shared" si="40"/>
        <v>0.97</v>
      </c>
      <c r="Z142" s="59"/>
      <c r="AA142" s="28"/>
      <c r="AB142" s="186" t="s">
        <v>149</v>
      </c>
      <c r="AC142" s="28"/>
      <c r="AD142" s="143">
        <f>$AD$141+SUM($T$153:$AG$153)+SUM($T$135:$T$138)</f>
        <v>1599.0199999999998</v>
      </c>
      <c r="AE142" s="187" t="s">
        <v>260</v>
      </c>
      <c r="AH142" s="285"/>
      <c r="AI142" s="28"/>
      <c r="AJ142" s="3"/>
      <c r="AK142" s="3"/>
      <c r="AL142" s="28"/>
    </row>
    <row r="143" spans="1:38" s="7" customFormat="1" ht="13.8" x14ac:dyDescent="0.3">
      <c r="A143" s="435"/>
      <c r="B143" s="241" t="s">
        <v>150</v>
      </c>
      <c r="C143" s="55"/>
      <c r="D143" s="240">
        <v>44984</v>
      </c>
      <c r="E143" s="50">
        <v>0</v>
      </c>
      <c r="F143" s="51"/>
      <c r="G143" s="137"/>
      <c r="H143" s="52"/>
      <c r="I143" s="52"/>
      <c r="J143" s="52"/>
      <c r="K143" s="53"/>
      <c r="L143" s="54"/>
      <c r="M143" s="55"/>
      <c r="N143" s="246"/>
      <c r="O143" s="52"/>
      <c r="P143" s="53"/>
      <c r="Q143" s="56" t="s">
        <v>218</v>
      </c>
      <c r="R143" s="246"/>
      <c r="S143" s="52"/>
      <c r="T143" s="58">
        <f t="shared" si="39"/>
        <v>0.44</v>
      </c>
      <c r="U143" s="439"/>
      <c r="V143" s="246" t="s">
        <v>241</v>
      </c>
      <c r="W143" s="246"/>
      <c r="X143" s="52"/>
      <c r="Y143" s="58">
        <f t="shared" si="40"/>
        <v>0.97</v>
      </c>
      <c r="Z143" s="59"/>
      <c r="AA143" s="28"/>
      <c r="AB143" s="28"/>
      <c r="AC143" s="28"/>
      <c r="AD143" s="165"/>
      <c r="AE143" s="28"/>
      <c r="AF143" s="28"/>
      <c r="AI143" s="28"/>
      <c r="AJ143" s="3"/>
      <c r="AK143" s="3"/>
      <c r="AL143" s="28"/>
    </row>
    <row r="144" spans="1:38" s="7" customFormat="1" ht="13.8" x14ac:dyDescent="0.3">
      <c r="A144" s="435"/>
      <c r="B144" s="241" t="s">
        <v>151</v>
      </c>
      <c r="C144" s="55"/>
      <c r="D144" s="240">
        <v>44985</v>
      </c>
      <c r="E144" s="50">
        <v>0</v>
      </c>
      <c r="F144" s="51"/>
      <c r="G144" s="137"/>
      <c r="H144" s="52"/>
      <c r="I144" s="52"/>
      <c r="J144" s="52"/>
      <c r="K144" s="53"/>
      <c r="L144" s="54"/>
      <c r="M144" s="55"/>
      <c r="N144" s="246"/>
      <c r="O144" s="52"/>
      <c r="P144" s="53"/>
      <c r="Q144" s="56" t="s">
        <v>219</v>
      </c>
      <c r="R144" s="246"/>
      <c r="S144" s="52"/>
      <c r="T144" s="58">
        <f t="shared" si="39"/>
        <v>0.44</v>
      </c>
      <c r="U144" s="439"/>
      <c r="V144" s="246" t="s">
        <v>242</v>
      </c>
      <c r="W144" s="246"/>
      <c r="X144" s="52"/>
      <c r="Y144" s="58">
        <f t="shared" si="40"/>
        <v>0.97</v>
      </c>
      <c r="Z144" s="59"/>
      <c r="AA144" s="28"/>
      <c r="AB144" s="23"/>
      <c r="AC144" s="28"/>
      <c r="AD144" s="28"/>
      <c r="AE144" s="28"/>
      <c r="AF144" s="28"/>
      <c r="AI144" s="28"/>
      <c r="AJ144" s="3"/>
      <c r="AK144" s="3"/>
      <c r="AL144" s="28"/>
    </row>
    <row r="145" spans="1:42" s="28" customFormat="1" ht="14.4" thickBot="1" x14ac:dyDescent="0.35">
      <c r="A145" s="435"/>
      <c r="B145" s="23"/>
      <c r="D145" s="188"/>
      <c r="E145" s="119"/>
      <c r="G145" s="142"/>
      <c r="H145" s="142"/>
      <c r="I145" s="142"/>
      <c r="J145" s="142"/>
      <c r="K145" s="142"/>
      <c r="L145" s="143"/>
      <c r="N145" s="189"/>
      <c r="O145" s="142"/>
      <c r="P145" s="142"/>
      <c r="Q145" s="142"/>
      <c r="R145" s="142"/>
      <c r="S145" s="142"/>
      <c r="T145" s="248"/>
      <c r="U145" s="249"/>
      <c r="V145" s="120"/>
      <c r="W145" s="189"/>
      <c r="X145" s="189"/>
      <c r="Y145" s="142"/>
      <c r="Z145" s="142"/>
      <c r="AA145" s="142"/>
      <c r="AB145" s="142"/>
      <c r="AC145" s="248"/>
      <c r="AD145" s="248"/>
      <c r="AF145" s="3"/>
      <c r="AG145" s="3"/>
      <c r="AH145" s="3"/>
      <c r="AI145" s="3"/>
      <c r="AJ145" s="3"/>
      <c r="AK145" s="3"/>
    </row>
    <row r="146" spans="1:42" s="12" customFormat="1" ht="74.25" customHeight="1" thickBot="1" x14ac:dyDescent="0.35">
      <c r="A146" s="435"/>
      <c r="B146" s="67" t="s">
        <v>14</v>
      </c>
      <c r="C146" s="71" t="s">
        <v>37</v>
      </c>
      <c r="D146" s="68" t="s">
        <v>15</v>
      </c>
      <c r="E146" s="69" t="s">
        <v>108</v>
      </c>
      <c r="F146" s="13" t="s">
        <v>16</v>
      </c>
      <c r="G146" s="69" t="s">
        <v>17</v>
      </c>
      <c r="H146" s="70" t="s">
        <v>38</v>
      </c>
      <c r="I146" s="71" t="s">
        <v>39</v>
      </c>
      <c r="J146" s="71" t="s">
        <v>39</v>
      </c>
      <c r="K146" s="74" t="s">
        <v>109</v>
      </c>
      <c r="L146" s="190" t="s">
        <v>40</v>
      </c>
      <c r="M146" s="190" t="s">
        <v>41</v>
      </c>
      <c r="N146" s="191" t="s">
        <v>110</v>
      </c>
      <c r="O146" s="70" t="s">
        <v>42</v>
      </c>
      <c r="P146" s="71" t="s">
        <v>43</v>
      </c>
      <c r="Q146" s="192" t="s">
        <v>42</v>
      </c>
      <c r="R146" s="71" t="s">
        <v>43</v>
      </c>
      <c r="S146" s="74" t="s">
        <v>111</v>
      </c>
      <c r="T146" s="190" t="s">
        <v>44</v>
      </c>
      <c r="U146" s="190" t="s">
        <v>45</v>
      </c>
      <c r="V146" s="190" t="s">
        <v>152</v>
      </c>
      <c r="W146" s="70" t="s">
        <v>46</v>
      </c>
      <c r="X146" s="71" t="s">
        <v>47</v>
      </c>
      <c r="Y146" s="74" t="s">
        <v>153</v>
      </c>
      <c r="Z146" s="190" t="s">
        <v>112</v>
      </c>
      <c r="AA146" s="190" t="s">
        <v>113</v>
      </c>
      <c r="AB146" s="70" t="s">
        <v>114</v>
      </c>
      <c r="AC146" s="74" t="s">
        <v>115</v>
      </c>
      <c r="AD146" s="190" t="s">
        <v>116</v>
      </c>
      <c r="AE146" s="190" t="s">
        <v>117</v>
      </c>
      <c r="AF146" s="70" t="s">
        <v>118</v>
      </c>
      <c r="AG146" s="71" t="s">
        <v>119</v>
      </c>
      <c r="AH146" s="192" t="s">
        <v>118</v>
      </c>
      <c r="AI146" s="74" t="s">
        <v>119</v>
      </c>
      <c r="AJ146" s="3"/>
      <c r="AK146" s="3"/>
      <c r="AL146" s="3"/>
      <c r="AM146" s="3"/>
      <c r="AO146" s="7"/>
    </row>
    <row r="147" spans="1:42" s="254" customFormat="1" ht="13.8" x14ac:dyDescent="0.3">
      <c r="A147" s="435"/>
      <c r="B147" s="144"/>
      <c r="C147" s="145"/>
      <c r="D147" s="146">
        <f>IF(DAY($E$2)&gt;28,DATE(YEAR($E$2),MONTH($E$2)+1,1),$E$2)</f>
        <v>44785</v>
      </c>
      <c r="E147" s="250"/>
      <c r="F147" s="147"/>
      <c r="G147" s="148">
        <f>-$E$3</f>
        <v>-12000</v>
      </c>
      <c r="H147" s="149"/>
      <c r="I147" s="150"/>
      <c r="J147" s="382"/>
      <c r="K147" s="197"/>
      <c r="L147" s="148"/>
      <c r="M147" s="150"/>
      <c r="N147" s="198"/>
      <c r="O147" s="149"/>
      <c r="P147" s="150"/>
      <c r="Q147" s="199"/>
      <c r="R147" s="150"/>
      <c r="S147" s="197"/>
      <c r="T147" s="148"/>
      <c r="U147" s="150"/>
      <c r="V147" s="197"/>
      <c r="W147" s="200"/>
      <c r="X147" s="201"/>
      <c r="Y147" s="251"/>
      <c r="Z147" s="202"/>
      <c r="AA147" s="154"/>
      <c r="AB147" s="202"/>
      <c r="AC147" s="154"/>
      <c r="AD147" s="202"/>
      <c r="AE147" s="154"/>
      <c r="AF147" s="202"/>
      <c r="AG147" s="201"/>
      <c r="AH147" s="252"/>
      <c r="AI147" s="154"/>
      <c r="AJ147" s="253"/>
      <c r="AK147" s="253"/>
      <c r="AL147" s="253"/>
      <c r="AM147" s="253"/>
    </row>
    <row r="148" spans="1:42" s="142" customFormat="1" ht="13.8" x14ac:dyDescent="0.3">
      <c r="A148" s="435"/>
      <c r="B148" s="155">
        <v>1</v>
      </c>
      <c r="C148" s="156" t="s">
        <v>48</v>
      </c>
      <c r="D148" s="157">
        <f>DATE(YEAR(D147),MONTH(D147)+1,DAY(D147))</f>
        <v>44816</v>
      </c>
      <c r="E148" s="157"/>
      <c r="F148" s="158">
        <f>$E$3</f>
        <v>12000</v>
      </c>
      <c r="G148" s="159">
        <f t="shared" ref="G148:G159" si="41">IF($B148&lt;=$E$4,$E$8,0)</f>
        <v>1134.1199999999999</v>
      </c>
      <c r="H148" s="160">
        <f t="shared" ref="H148:H159" si="42">IF($B148&gt;$E$4,0,$G148-$L148-$T148)</f>
        <v>962.97</v>
      </c>
      <c r="I148" s="161">
        <f>-H148</f>
        <v>-962.97</v>
      </c>
      <c r="J148" s="159"/>
      <c r="K148" s="203"/>
      <c r="L148" s="159">
        <f t="shared" ref="L148:L159" si="43">ROUND($F148*$I$2,2)</f>
        <v>82</v>
      </c>
      <c r="M148" s="161">
        <f>-L148</f>
        <v>-82</v>
      </c>
      <c r="N148" s="203"/>
      <c r="O148" s="160"/>
      <c r="P148" s="161"/>
      <c r="Q148" s="204"/>
      <c r="R148" s="161"/>
      <c r="S148" s="203"/>
      <c r="T148" s="159">
        <f t="shared" ref="T148:T159" si="44">$E$8-$E$7</f>
        <v>89.149999999999864</v>
      </c>
      <c r="U148" s="161">
        <f>-T148</f>
        <v>-89.149999999999864</v>
      </c>
      <c r="V148" s="203"/>
      <c r="W148" s="200"/>
      <c r="X148" s="205"/>
      <c r="Y148" s="255"/>
      <c r="Z148" s="206"/>
      <c r="AA148" s="162"/>
      <c r="AB148" s="206"/>
      <c r="AC148" s="162"/>
      <c r="AD148" s="206"/>
      <c r="AE148" s="162"/>
      <c r="AF148" s="207"/>
      <c r="AG148" s="161"/>
      <c r="AH148" s="256"/>
      <c r="AI148" s="162"/>
      <c r="AJ148" s="253"/>
      <c r="AK148" s="253"/>
      <c r="AL148" s="253"/>
      <c r="AM148" s="253"/>
      <c r="AO148" s="254"/>
    </row>
    <row r="149" spans="1:42" s="142" customFormat="1" ht="13.8" x14ac:dyDescent="0.3">
      <c r="A149" s="435"/>
      <c r="B149" s="155">
        <f>B148+1</f>
        <v>2</v>
      </c>
      <c r="C149" s="156" t="s">
        <v>48</v>
      </c>
      <c r="D149" s="157">
        <f>DATE(YEAR(D148),MONTH(D148)+1,DAY(D148))</f>
        <v>44846</v>
      </c>
      <c r="E149" s="157"/>
      <c r="F149" s="158">
        <f t="shared" ref="F149:F159" si="45">$F148-$H148</f>
        <v>11037.03</v>
      </c>
      <c r="G149" s="159">
        <f t="shared" si="41"/>
        <v>1134.1199999999999</v>
      </c>
      <c r="H149" s="160">
        <f t="shared" si="42"/>
        <v>969.55</v>
      </c>
      <c r="I149" s="161">
        <f t="shared" ref="I149:I151" si="46">-H149</f>
        <v>-969.55</v>
      </c>
      <c r="J149" s="159"/>
      <c r="K149" s="203"/>
      <c r="L149" s="159">
        <f t="shared" si="43"/>
        <v>75.42</v>
      </c>
      <c r="M149" s="161">
        <f t="shared" ref="M149:M151" si="47">-L149</f>
        <v>-75.42</v>
      </c>
      <c r="N149" s="203"/>
      <c r="O149" s="208"/>
      <c r="P149" s="161"/>
      <c r="Q149" s="204"/>
      <c r="R149" s="161"/>
      <c r="S149" s="203"/>
      <c r="T149" s="159">
        <f t="shared" si="44"/>
        <v>89.149999999999864</v>
      </c>
      <c r="U149" s="161">
        <f t="shared" ref="U149:U151" si="48">-T149</f>
        <v>-89.149999999999864</v>
      </c>
      <c r="V149" s="203"/>
      <c r="W149" s="200"/>
      <c r="X149" s="205"/>
      <c r="Y149" s="255"/>
      <c r="Z149" s="206"/>
      <c r="AA149" s="162"/>
      <c r="AB149" s="206"/>
      <c r="AC149" s="162"/>
      <c r="AD149" s="206"/>
      <c r="AE149" s="162"/>
      <c r="AF149" s="207"/>
      <c r="AG149" s="161"/>
      <c r="AH149" s="256"/>
      <c r="AI149" s="162"/>
      <c r="AJ149" s="253"/>
      <c r="AK149" s="253"/>
      <c r="AL149" s="253"/>
      <c r="AM149" s="253"/>
      <c r="AO149" s="254"/>
    </row>
    <row r="150" spans="1:42" s="142" customFormat="1" ht="13.8" x14ac:dyDescent="0.3">
      <c r="A150" s="435"/>
      <c r="B150" s="155">
        <f t="shared" ref="B150:B159" si="49">B149+1</f>
        <v>3</v>
      </c>
      <c r="C150" s="156" t="s">
        <v>61</v>
      </c>
      <c r="D150" s="157">
        <f t="shared" ref="D150:D159" si="50">DATE(YEAR(D149),MONTH(D149)+1,DAY(D149))</f>
        <v>44877</v>
      </c>
      <c r="E150" s="157">
        <f>D150+10</f>
        <v>44887</v>
      </c>
      <c r="F150" s="158">
        <f t="shared" si="45"/>
        <v>10067.480000000001</v>
      </c>
      <c r="G150" s="159">
        <f t="shared" si="41"/>
        <v>1134.1199999999999</v>
      </c>
      <c r="H150" s="160">
        <f t="shared" si="42"/>
        <v>976.18000000000006</v>
      </c>
      <c r="I150" s="161">
        <f t="shared" si="46"/>
        <v>-976.18000000000006</v>
      </c>
      <c r="J150" s="159"/>
      <c r="K150" s="203"/>
      <c r="L150" s="159">
        <f t="shared" si="43"/>
        <v>68.790000000000006</v>
      </c>
      <c r="M150" s="161">
        <f t="shared" si="47"/>
        <v>-68.790000000000006</v>
      </c>
      <c r="N150" s="203"/>
      <c r="O150" s="160">
        <f>$K$66</f>
        <v>1.32</v>
      </c>
      <c r="P150" s="161">
        <f>-O150</f>
        <v>-1.32</v>
      </c>
      <c r="Q150" s="204"/>
      <c r="R150" s="161"/>
      <c r="S150" s="203"/>
      <c r="T150" s="159">
        <f t="shared" si="44"/>
        <v>89.149999999999864</v>
      </c>
      <c r="U150" s="161">
        <f t="shared" si="48"/>
        <v>-89.149999999999864</v>
      </c>
      <c r="V150" s="203"/>
      <c r="W150" s="160">
        <f>$O$66</f>
        <v>3.6599999999999997</v>
      </c>
      <c r="X150" s="161">
        <f>-W150</f>
        <v>-3.6599999999999997</v>
      </c>
      <c r="Y150" s="203"/>
      <c r="Z150" s="206"/>
      <c r="AA150" s="162"/>
      <c r="AB150" s="206"/>
      <c r="AC150" s="162"/>
      <c r="AD150" s="206"/>
      <c r="AE150" s="162"/>
      <c r="AF150" s="207"/>
      <c r="AG150" s="161"/>
      <c r="AH150" s="256"/>
      <c r="AI150" s="162"/>
      <c r="AJ150" s="253"/>
      <c r="AK150" s="253"/>
      <c r="AL150" s="253"/>
      <c r="AM150" s="253"/>
      <c r="AO150" s="254"/>
    </row>
    <row r="151" spans="1:42" s="142" customFormat="1" ht="13.8" x14ac:dyDescent="0.3">
      <c r="A151" s="435"/>
      <c r="B151" s="155">
        <f t="shared" si="49"/>
        <v>4</v>
      </c>
      <c r="C151" s="156" t="s">
        <v>48</v>
      </c>
      <c r="D151" s="157">
        <f t="shared" si="50"/>
        <v>44907</v>
      </c>
      <c r="E151" s="157"/>
      <c r="F151" s="158">
        <f t="shared" si="45"/>
        <v>9091.3000000000011</v>
      </c>
      <c r="G151" s="159">
        <f t="shared" si="41"/>
        <v>1134.1199999999999</v>
      </c>
      <c r="H151" s="160">
        <f t="shared" si="42"/>
        <v>982.85000000000014</v>
      </c>
      <c r="I151" s="161">
        <f t="shared" si="46"/>
        <v>-982.85000000000014</v>
      </c>
      <c r="J151" s="159"/>
      <c r="K151" s="203"/>
      <c r="L151" s="159">
        <f t="shared" si="43"/>
        <v>62.12</v>
      </c>
      <c r="M151" s="161">
        <f t="shared" si="47"/>
        <v>-62.12</v>
      </c>
      <c r="N151" s="203"/>
      <c r="O151" s="160"/>
      <c r="P151" s="161"/>
      <c r="Q151" s="204"/>
      <c r="R151" s="161"/>
      <c r="S151" s="203"/>
      <c r="T151" s="159">
        <f t="shared" si="44"/>
        <v>89.149999999999864</v>
      </c>
      <c r="U151" s="161">
        <f t="shared" si="48"/>
        <v>-89.149999999999864</v>
      </c>
      <c r="V151" s="203"/>
      <c r="W151" s="200"/>
      <c r="X151" s="205"/>
      <c r="Y151" s="255"/>
      <c r="Z151" s="206"/>
      <c r="AA151" s="162"/>
      <c r="AB151" s="206"/>
      <c r="AC151" s="162"/>
      <c r="AD151" s="206"/>
      <c r="AE151" s="162"/>
      <c r="AF151" s="207"/>
      <c r="AG151" s="161"/>
      <c r="AH151" s="256"/>
      <c r="AI151" s="162"/>
      <c r="AJ151" s="253"/>
      <c r="AK151" s="253"/>
      <c r="AL151" s="253"/>
      <c r="AM151" s="253"/>
      <c r="AO151" s="254"/>
    </row>
    <row r="152" spans="1:42" s="28" customFormat="1" ht="13.8" x14ac:dyDescent="0.3">
      <c r="A152" s="435"/>
      <c r="B152" s="86">
        <f t="shared" si="49"/>
        <v>5</v>
      </c>
      <c r="C152" s="167" t="s">
        <v>61</v>
      </c>
      <c r="D152" s="88">
        <f t="shared" si="50"/>
        <v>44938</v>
      </c>
      <c r="E152" s="88">
        <f>D152+10</f>
        <v>44948</v>
      </c>
      <c r="F152" s="26">
        <f t="shared" si="45"/>
        <v>8108.4500000000007</v>
      </c>
      <c r="G152" s="89">
        <f t="shared" si="41"/>
        <v>1134.1199999999999</v>
      </c>
      <c r="H152" s="160">
        <f t="shared" si="42"/>
        <v>989.56</v>
      </c>
      <c r="I152" s="161">
        <f>$Y$82</f>
        <v>-244.59</v>
      </c>
      <c r="J152" s="159">
        <f>$Z$82</f>
        <v>-198.69</v>
      </c>
      <c r="K152" s="203">
        <f>-(H152+I152+J152)</f>
        <v>-546.28</v>
      </c>
      <c r="L152" s="159">
        <f t="shared" si="43"/>
        <v>55.41</v>
      </c>
      <c r="M152" s="161">
        <f>-L152</f>
        <v>-55.41</v>
      </c>
      <c r="N152" s="203"/>
      <c r="O152" s="160">
        <f>$K$80</f>
        <v>1.31</v>
      </c>
      <c r="P152" s="161">
        <f>-O152</f>
        <v>-1.31</v>
      </c>
      <c r="Q152" s="204">
        <f>$K$87</f>
        <v>0.36</v>
      </c>
      <c r="R152" s="161"/>
      <c r="S152" s="203">
        <f>-Q152</f>
        <v>-0.36</v>
      </c>
      <c r="T152" s="89">
        <f t="shared" si="44"/>
        <v>89.149999999999864</v>
      </c>
      <c r="U152" s="257">
        <f>-T152</f>
        <v>-89.149999999999864</v>
      </c>
      <c r="V152" s="212"/>
      <c r="W152" s="213">
        <f>$P$80+$P$82</f>
        <v>4.54</v>
      </c>
      <c r="X152" s="257">
        <f>-W152</f>
        <v>-4.54</v>
      </c>
      <c r="Y152" s="258"/>
      <c r="Z152" s="217">
        <f>-K152</f>
        <v>546.28</v>
      </c>
      <c r="AA152" s="259">
        <f>$AD$137</f>
        <v>-91.640000000000128</v>
      </c>
      <c r="AB152" s="218">
        <f>-N152</f>
        <v>0</v>
      </c>
      <c r="AC152" s="259">
        <f>-AB152</f>
        <v>0</v>
      </c>
      <c r="AD152" s="217">
        <f>-S152</f>
        <v>0.36</v>
      </c>
      <c r="AE152" s="259">
        <f>-AD152</f>
        <v>-0.36</v>
      </c>
      <c r="AF152" s="260">
        <f>$U$128</f>
        <v>14.309999999999995</v>
      </c>
      <c r="AG152" s="257">
        <f>-AF152</f>
        <v>-14.309999999999995</v>
      </c>
      <c r="AH152" s="261" t="s">
        <v>277</v>
      </c>
      <c r="AI152" s="219"/>
      <c r="AJ152" s="3"/>
      <c r="AK152" s="3"/>
      <c r="AL152" s="3"/>
      <c r="AM152" s="3"/>
      <c r="AN152" s="3"/>
      <c r="AO152" s="12"/>
      <c r="AP152" s="7"/>
    </row>
    <row r="153" spans="1:42" s="28" customFormat="1" ht="13.8" x14ac:dyDescent="0.3">
      <c r="A153" s="435"/>
      <c r="B153" s="86">
        <f t="shared" si="49"/>
        <v>6</v>
      </c>
      <c r="C153" s="167" t="s">
        <v>61</v>
      </c>
      <c r="D153" s="88">
        <f t="shared" si="50"/>
        <v>44969</v>
      </c>
      <c r="E153" s="88">
        <f>D153+10</f>
        <v>44979</v>
      </c>
      <c r="F153" s="26">
        <f t="shared" si="45"/>
        <v>7118.8900000000012</v>
      </c>
      <c r="G153" s="89">
        <f t="shared" si="41"/>
        <v>1134.1199999999999</v>
      </c>
      <c r="H153" s="90">
        <f t="shared" si="42"/>
        <v>996.32999999999993</v>
      </c>
      <c r="I153" s="100"/>
      <c r="J153" s="383"/>
      <c r="K153" s="211">
        <f>-H153</f>
        <v>-996.32999999999993</v>
      </c>
      <c r="L153" s="89">
        <f t="shared" si="43"/>
        <v>48.64</v>
      </c>
      <c r="M153" s="221"/>
      <c r="N153" s="212">
        <f>-L153</f>
        <v>-48.64</v>
      </c>
      <c r="O153" s="213">
        <f>$K$129</f>
        <v>2.3000000000000003</v>
      </c>
      <c r="P153" s="100"/>
      <c r="Q153" s="222"/>
      <c r="R153" s="100"/>
      <c r="S153" s="211">
        <f>-O153</f>
        <v>-2.3000000000000003</v>
      </c>
      <c r="T153" s="89">
        <f t="shared" si="44"/>
        <v>89.149999999999864</v>
      </c>
      <c r="U153" s="215"/>
      <c r="V153" s="212"/>
      <c r="W153" s="213">
        <f>$P$129</f>
        <v>6.2</v>
      </c>
      <c r="X153" s="216"/>
      <c r="Y153" s="258"/>
      <c r="Z153" s="217">
        <f>-K153</f>
        <v>996.32999999999993</v>
      </c>
      <c r="AA153" s="101"/>
      <c r="AB153" s="218">
        <f>-N153</f>
        <v>48.64</v>
      </c>
      <c r="AC153" s="219"/>
      <c r="AD153" s="217">
        <f>-S153</f>
        <v>2.3000000000000003</v>
      </c>
      <c r="AE153" s="101"/>
      <c r="AF153" s="224"/>
      <c r="AG153" s="95"/>
      <c r="AH153" s="262" t="s">
        <v>278</v>
      </c>
      <c r="AI153" s="219"/>
      <c r="AJ153" s="3"/>
      <c r="AK153" s="3"/>
      <c r="AL153" s="3"/>
      <c r="AM153" s="3"/>
      <c r="AN153" s="3"/>
      <c r="AO153" s="12"/>
      <c r="AP153" s="7"/>
    </row>
    <row r="154" spans="1:42" s="28" customFormat="1" ht="13.8" x14ac:dyDescent="0.3">
      <c r="A154" s="435"/>
      <c r="B154" s="86">
        <f t="shared" si="49"/>
        <v>7</v>
      </c>
      <c r="C154" s="98"/>
      <c r="D154" s="88">
        <f t="shared" si="50"/>
        <v>44997</v>
      </c>
      <c r="E154" s="88"/>
      <c r="F154" s="26">
        <f t="shared" si="45"/>
        <v>6122.5600000000013</v>
      </c>
      <c r="G154" s="89">
        <f t="shared" si="41"/>
        <v>1134.1199999999999</v>
      </c>
      <c r="H154" s="90">
        <f t="shared" si="42"/>
        <v>1003.1300000000001</v>
      </c>
      <c r="I154" s="95"/>
      <c r="J154" s="384"/>
      <c r="K154" s="211"/>
      <c r="L154" s="89">
        <f t="shared" si="43"/>
        <v>41.84</v>
      </c>
      <c r="M154" s="225"/>
      <c r="N154" s="212"/>
      <c r="O154" s="213"/>
      <c r="P154" s="95"/>
      <c r="Q154" s="226"/>
      <c r="R154" s="95"/>
      <c r="S154" s="211"/>
      <c r="T154" s="89">
        <f t="shared" si="44"/>
        <v>89.149999999999864</v>
      </c>
      <c r="U154" s="215"/>
      <c r="V154" s="212"/>
      <c r="W154" s="213"/>
      <c r="X154" s="91"/>
      <c r="Y154" s="263"/>
      <c r="Z154" s="223"/>
      <c r="AA154" s="101"/>
      <c r="AB154" s="264"/>
      <c r="AC154" s="219"/>
      <c r="AD154" s="223"/>
      <c r="AE154" s="101"/>
      <c r="AF154" s="224"/>
      <c r="AG154" s="95"/>
      <c r="AH154" s="265"/>
      <c r="AI154" s="219"/>
      <c r="AJ154" s="3"/>
      <c r="AK154" s="3"/>
      <c r="AL154" s="3"/>
      <c r="AM154" s="3"/>
      <c r="AN154" s="3"/>
      <c r="AO154" s="12"/>
      <c r="AP154" s="7"/>
    </row>
    <row r="155" spans="1:42" s="28" customFormat="1" ht="13.8" x14ac:dyDescent="0.3">
      <c r="A155" s="435"/>
      <c r="B155" s="86">
        <f t="shared" si="49"/>
        <v>8</v>
      </c>
      <c r="C155" s="98"/>
      <c r="D155" s="88">
        <f t="shared" si="50"/>
        <v>45028</v>
      </c>
      <c r="E155" s="88"/>
      <c r="F155" s="26">
        <f t="shared" si="45"/>
        <v>5119.4300000000012</v>
      </c>
      <c r="G155" s="89">
        <f t="shared" si="41"/>
        <v>1134.1199999999999</v>
      </c>
      <c r="H155" s="90">
        <f t="shared" si="42"/>
        <v>1009.99</v>
      </c>
      <c r="I155" s="95"/>
      <c r="J155" s="384"/>
      <c r="K155" s="211"/>
      <c r="L155" s="89">
        <f t="shared" si="43"/>
        <v>34.979999999999997</v>
      </c>
      <c r="M155" s="225"/>
      <c r="N155" s="212"/>
      <c r="O155" s="213"/>
      <c r="P155" s="95"/>
      <c r="Q155" s="226"/>
      <c r="R155" s="95"/>
      <c r="S155" s="211"/>
      <c r="T155" s="89">
        <f t="shared" si="44"/>
        <v>89.149999999999864</v>
      </c>
      <c r="U155" s="225"/>
      <c r="V155" s="212"/>
      <c r="W155" s="266"/>
      <c r="X155" s="216"/>
      <c r="Y155" s="258"/>
      <c r="Z155" s="223"/>
      <c r="AA155" s="101"/>
      <c r="AB155" s="264"/>
      <c r="AC155" s="219"/>
      <c r="AD155" s="223"/>
      <c r="AE155" s="101"/>
      <c r="AF155" s="224"/>
      <c r="AG155" s="95"/>
      <c r="AH155" s="265"/>
      <c r="AI155" s="219"/>
      <c r="AJ155" s="3"/>
      <c r="AK155" s="3"/>
      <c r="AL155" s="3"/>
      <c r="AM155" s="3"/>
      <c r="AN155" s="3"/>
      <c r="AO155" s="12"/>
      <c r="AP155" s="7"/>
    </row>
    <row r="156" spans="1:42" s="28" customFormat="1" ht="13.8" x14ac:dyDescent="0.3">
      <c r="A156" s="435"/>
      <c r="B156" s="86">
        <f t="shared" si="49"/>
        <v>9</v>
      </c>
      <c r="C156" s="98"/>
      <c r="D156" s="88">
        <f t="shared" si="50"/>
        <v>45058</v>
      </c>
      <c r="E156" s="88"/>
      <c r="F156" s="26">
        <f t="shared" si="45"/>
        <v>4109.4400000000014</v>
      </c>
      <c r="G156" s="89">
        <f t="shared" si="41"/>
        <v>1134.1199999999999</v>
      </c>
      <c r="H156" s="90">
        <f t="shared" si="42"/>
        <v>1016.8900000000001</v>
      </c>
      <c r="I156" s="95"/>
      <c r="J156" s="384"/>
      <c r="K156" s="211"/>
      <c r="L156" s="89">
        <f t="shared" si="43"/>
        <v>28.08</v>
      </c>
      <c r="M156" s="225"/>
      <c r="N156" s="212"/>
      <c r="O156" s="213"/>
      <c r="P156" s="95"/>
      <c r="Q156" s="226"/>
      <c r="R156" s="95"/>
      <c r="S156" s="211"/>
      <c r="T156" s="89">
        <f t="shared" si="44"/>
        <v>89.149999999999864</v>
      </c>
      <c r="U156" s="225"/>
      <c r="V156" s="212"/>
      <c r="W156" s="213"/>
      <c r="X156" s="91"/>
      <c r="Y156" s="263"/>
      <c r="Z156" s="223"/>
      <c r="AA156" s="101"/>
      <c r="AB156" s="264"/>
      <c r="AC156" s="219"/>
      <c r="AD156" s="223"/>
      <c r="AE156" s="101"/>
      <c r="AF156" s="224"/>
      <c r="AG156" s="95"/>
      <c r="AH156" s="265"/>
      <c r="AI156" s="219"/>
      <c r="AJ156" s="3"/>
      <c r="AK156" s="3"/>
      <c r="AL156" s="3"/>
      <c r="AM156" s="3"/>
      <c r="AN156" s="3"/>
      <c r="AO156" s="12"/>
      <c r="AP156" s="7"/>
    </row>
    <row r="157" spans="1:42" s="28" customFormat="1" ht="13.8" x14ac:dyDescent="0.3">
      <c r="A157" s="435"/>
      <c r="B157" s="86">
        <f t="shared" si="49"/>
        <v>10</v>
      </c>
      <c r="C157" s="98"/>
      <c r="D157" s="88">
        <f t="shared" si="50"/>
        <v>45089</v>
      </c>
      <c r="E157" s="88"/>
      <c r="F157" s="26">
        <f t="shared" si="45"/>
        <v>3092.5500000000011</v>
      </c>
      <c r="G157" s="89">
        <f t="shared" si="41"/>
        <v>1134.1199999999999</v>
      </c>
      <c r="H157" s="90">
        <f t="shared" si="42"/>
        <v>1023.8399999999999</v>
      </c>
      <c r="I157" s="95"/>
      <c r="J157" s="384"/>
      <c r="K157" s="211"/>
      <c r="L157" s="89">
        <f t="shared" si="43"/>
        <v>21.13</v>
      </c>
      <c r="M157" s="225"/>
      <c r="N157" s="212"/>
      <c r="O157" s="213"/>
      <c r="P157" s="95"/>
      <c r="Q157" s="226"/>
      <c r="R157" s="95"/>
      <c r="S157" s="211"/>
      <c r="T157" s="89">
        <f t="shared" si="44"/>
        <v>89.149999999999864</v>
      </c>
      <c r="U157" s="225"/>
      <c r="V157" s="212"/>
      <c r="W157" s="266"/>
      <c r="X157" s="216"/>
      <c r="Y157" s="258"/>
      <c r="Z157" s="223"/>
      <c r="AA157" s="101"/>
      <c r="AB157" s="264"/>
      <c r="AC157" s="219"/>
      <c r="AD157" s="223"/>
      <c r="AE157" s="101"/>
      <c r="AF157" s="224"/>
      <c r="AG157" s="95"/>
      <c r="AH157" s="265"/>
      <c r="AI157" s="219"/>
      <c r="AJ157" s="3"/>
      <c r="AK157" s="3"/>
      <c r="AL157" s="3"/>
      <c r="AM157" s="3"/>
      <c r="AN157" s="3"/>
      <c r="AO157" s="12"/>
      <c r="AP157" s="7"/>
    </row>
    <row r="158" spans="1:42" s="28" customFormat="1" ht="13.8" x14ac:dyDescent="0.3">
      <c r="A158" s="435"/>
      <c r="B158" s="86">
        <f t="shared" si="49"/>
        <v>11</v>
      </c>
      <c r="C158" s="98"/>
      <c r="D158" s="88">
        <f t="shared" si="50"/>
        <v>45119</v>
      </c>
      <c r="E158" s="88"/>
      <c r="F158" s="26">
        <f t="shared" si="45"/>
        <v>2068.7100000000009</v>
      </c>
      <c r="G158" s="89">
        <f t="shared" si="41"/>
        <v>1134.1199999999999</v>
      </c>
      <c r="H158" s="90">
        <f t="shared" si="42"/>
        <v>1030.83</v>
      </c>
      <c r="I158" s="95"/>
      <c r="J158" s="384"/>
      <c r="K158" s="211"/>
      <c r="L158" s="89">
        <f t="shared" si="43"/>
        <v>14.14</v>
      </c>
      <c r="M158" s="225"/>
      <c r="N158" s="212"/>
      <c r="O158" s="213"/>
      <c r="P158" s="95"/>
      <c r="Q158" s="226"/>
      <c r="R158" s="95"/>
      <c r="S158" s="211"/>
      <c r="T158" s="89">
        <f t="shared" si="44"/>
        <v>89.149999999999864</v>
      </c>
      <c r="U158" s="225"/>
      <c r="V158" s="212"/>
      <c r="W158" s="213"/>
      <c r="X158" s="91"/>
      <c r="Y158" s="263"/>
      <c r="Z158" s="223"/>
      <c r="AA158" s="101"/>
      <c r="AB158" s="264"/>
      <c r="AC158" s="219"/>
      <c r="AD158" s="223"/>
      <c r="AE158" s="101"/>
      <c r="AF158" s="224"/>
      <c r="AG158" s="95"/>
      <c r="AH158" s="265"/>
      <c r="AI158" s="219"/>
      <c r="AJ158" s="3"/>
      <c r="AK158" s="3"/>
      <c r="AL158" s="3"/>
      <c r="AM158" s="3"/>
      <c r="AN158" s="3"/>
      <c r="AO158" s="12"/>
      <c r="AP158" s="7"/>
    </row>
    <row r="159" spans="1:42" s="28" customFormat="1" ht="14.4" thickBot="1" x14ac:dyDescent="0.35">
      <c r="A159" s="435"/>
      <c r="B159" s="104">
        <f t="shared" si="49"/>
        <v>12</v>
      </c>
      <c r="C159" s="227"/>
      <c r="D159" s="106">
        <f t="shared" si="50"/>
        <v>45150</v>
      </c>
      <c r="E159" s="106"/>
      <c r="F159" s="31">
        <f t="shared" si="45"/>
        <v>1037.880000000001</v>
      </c>
      <c r="G159" s="107">
        <f t="shared" si="41"/>
        <v>1134.1199999999999</v>
      </c>
      <c r="H159" s="108">
        <f t="shared" si="42"/>
        <v>1037.8800000000001</v>
      </c>
      <c r="I159" s="109"/>
      <c r="J159" s="385"/>
      <c r="K159" s="228"/>
      <c r="L159" s="107">
        <f t="shared" si="43"/>
        <v>7.09</v>
      </c>
      <c r="M159" s="229"/>
      <c r="N159" s="230"/>
      <c r="O159" s="231"/>
      <c r="P159" s="109"/>
      <c r="Q159" s="232"/>
      <c r="R159" s="109"/>
      <c r="S159" s="228"/>
      <c r="T159" s="107">
        <f t="shared" si="44"/>
        <v>89.149999999999864</v>
      </c>
      <c r="U159" s="229"/>
      <c r="V159" s="230"/>
      <c r="W159" s="231"/>
      <c r="X159" s="233"/>
      <c r="Y159" s="228"/>
      <c r="Z159" s="234"/>
      <c r="AA159" s="111"/>
      <c r="AB159" s="235"/>
      <c r="AC159" s="236"/>
      <c r="AD159" s="234"/>
      <c r="AE159" s="111"/>
      <c r="AF159" s="267"/>
      <c r="AG159" s="109"/>
      <c r="AH159" s="268"/>
      <c r="AI159" s="236"/>
      <c r="AJ159" s="3"/>
      <c r="AK159" s="3"/>
      <c r="AL159" s="3"/>
      <c r="AM159" s="3"/>
      <c r="AN159" s="3"/>
      <c r="AO159" s="12"/>
      <c r="AP159" s="7"/>
    </row>
    <row r="160" spans="1:42" s="28" customFormat="1" x14ac:dyDescent="0.3">
      <c r="A160" s="390"/>
      <c r="B160" s="23"/>
      <c r="D160" s="188"/>
      <c r="E160" s="119"/>
      <c r="G160" s="142"/>
      <c r="H160" s="142"/>
      <c r="I160" s="142"/>
      <c r="J160" s="142"/>
      <c r="K160" s="142"/>
      <c r="L160" s="143"/>
      <c r="N160" s="189"/>
      <c r="O160" s="142"/>
      <c r="P160" s="142"/>
      <c r="Q160" s="142"/>
      <c r="R160" s="142"/>
      <c r="S160" s="142"/>
      <c r="T160" s="248"/>
      <c r="U160" s="249"/>
      <c r="V160" s="120"/>
      <c r="W160" s="189"/>
      <c r="X160" s="189"/>
      <c r="Y160" s="142"/>
      <c r="Z160" s="142"/>
      <c r="AA160" s="142"/>
      <c r="AB160" s="142"/>
      <c r="AC160" s="248"/>
      <c r="AD160" s="248"/>
      <c r="AE160" s="248"/>
      <c r="AF160" s="3"/>
      <c r="AG160" s="3"/>
      <c r="AH160" s="3"/>
      <c r="AI160" s="3"/>
      <c r="AJ160" s="3"/>
      <c r="AK160" s="3"/>
      <c r="AL160" s="12"/>
      <c r="AM160" s="7"/>
    </row>
    <row r="161" spans="1:39" s="28" customFormat="1" ht="16.2" thickBot="1" x14ac:dyDescent="0.35">
      <c r="A161" s="390"/>
      <c r="B161" s="23"/>
      <c r="D161" s="188"/>
      <c r="E161" s="119"/>
      <c r="G161" s="142"/>
      <c r="H161" s="142"/>
      <c r="I161" s="142"/>
      <c r="J161" s="142"/>
      <c r="K161" s="142"/>
      <c r="L161" s="143"/>
      <c r="N161" s="189"/>
      <c r="O161" s="142"/>
      <c r="P161" s="142"/>
      <c r="Q161" s="142"/>
      <c r="R161" s="142"/>
      <c r="S161" s="142"/>
      <c r="T161" s="248"/>
      <c r="U161" s="249"/>
      <c r="V161" s="120"/>
      <c r="W161" s="189"/>
      <c r="X161" s="189"/>
      <c r="Y161" s="142"/>
      <c r="Z161" s="142"/>
      <c r="AA161" s="142"/>
      <c r="AB161" s="142"/>
      <c r="AC161" s="248"/>
      <c r="AD161" s="248"/>
      <c r="AE161" s="248"/>
      <c r="AF161" s="3"/>
      <c r="AG161" s="3"/>
      <c r="AH161" s="3"/>
      <c r="AI161" s="3"/>
      <c r="AJ161" s="3"/>
      <c r="AK161" s="3"/>
      <c r="AL161" s="12"/>
      <c r="AM161" s="7"/>
    </row>
    <row r="162" spans="1:39" s="28" customFormat="1" ht="15" customHeight="1" x14ac:dyDescent="0.3">
      <c r="A162" s="435" t="s">
        <v>264</v>
      </c>
      <c r="B162" s="5" t="s">
        <v>21</v>
      </c>
      <c r="C162" s="6" t="s">
        <v>22</v>
      </c>
      <c r="D162" s="34" t="s">
        <v>23</v>
      </c>
      <c r="E162" s="6" t="s">
        <v>24</v>
      </c>
      <c r="F162" s="35"/>
      <c r="G162" s="430" t="s">
        <v>25</v>
      </c>
      <c r="H162" s="431"/>
      <c r="I162" s="431"/>
      <c r="J162" s="431"/>
      <c r="K162" s="432"/>
      <c r="L162" s="430" t="s">
        <v>26</v>
      </c>
      <c r="M162" s="431"/>
      <c r="N162" s="431"/>
      <c r="O162" s="431"/>
      <c r="P162" s="432"/>
      <c r="Q162" s="430" t="s">
        <v>66</v>
      </c>
      <c r="R162" s="431"/>
      <c r="S162" s="431"/>
      <c r="T162" s="431"/>
      <c r="U162" s="431"/>
      <c r="V162" s="431"/>
      <c r="W162" s="431"/>
      <c r="X162" s="431"/>
      <c r="Y162" s="431"/>
      <c r="Z162" s="432"/>
      <c r="AF162" s="3"/>
      <c r="AG162" s="3"/>
      <c r="AH162" s="3"/>
      <c r="AI162" s="3"/>
      <c r="AJ162" s="3"/>
      <c r="AK162" s="3"/>
      <c r="AL162" s="12"/>
      <c r="AM162" s="7"/>
    </row>
    <row r="163" spans="1:39" s="7" customFormat="1" ht="15" customHeight="1" x14ac:dyDescent="0.3">
      <c r="A163" s="435"/>
      <c r="B163" s="241" t="s">
        <v>154</v>
      </c>
      <c r="C163" s="55"/>
      <c r="D163" s="240">
        <v>44986</v>
      </c>
      <c r="E163" s="50">
        <v>0</v>
      </c>
      <c r="F163" s="51"/>
      <c r="G163" s="137"/>
      <c r="H163" s="52"/>
      <c r="I163" s="52"/>
      <c r="J163" s="52"/>
      <c r="K163" s="53"/>
      <c r="L163" s="54"/>
      <c r="M163" s="55"/>
      <c r="N163" s="246"/>
      <c r="O163" s="52"/>
      <c r="P163" s="53"/>
      <c r="Q163" s="56" t="s">
        <v>220</v>
      </c>
      <c r="R163" s="52" t="s">
        <v>155</v>
      </c>
      <c r="S163" s="52"/>
      <c r="T163" s="58">
        <f t="shared" ref="T163:T172" si="51">ROUND(($Z$152+$AA$152)*$I$8,2)</f>
        <v>0.44</v>
      </c>
      <c r="U163" s="440">
        <f>SUM(T135:T144,T163:T172)</f>
        <v>8.8000000000000025</v>
      </c>
      <c r="V163" s="246" t="s">
        <v>253</v>
      </c>
      <c r="W163" s="52" t="s">
        <v>143</v>
      </c>
      <c r="X163" s="52"/>
      <c r="Y163" s="58">
        <f t="shared" ref="Y163:Y172" si="52">ROUND(Z$153*$I$8,2)</f>
        <v>0.97</v>
      </c>
      <c r="Z163" s="436">
        <f>SUM(Y139:Y144,Y163:Y172)</f>
        <v>15.520000000000003</v>
      </c>
      <c r="AA163" s="248"/>
      <c r="AB163" s="269" t="s">
        <v>58</v>
      </c>
      <c r="AC163" s="248"/>
      <c r="AD163" s="248" t="s">
        <v>156</v>
      </c>
      <c r="AE163" s="248" t="s">
        <v>157</v>
      </c>
      <c r="AF163" s="28"/>
      <c r="AI163" s="28"/>
      <c r="AJ163" s="3"/>
      <c r="AK163" s="3"/>
      <c r="AL163" s="28"/>
    </row>
    <row r="164" spans="1:39" s="7" customFormat="1" ht="13.8" x14ac:dyDescent="0.3">
      <c r="A164" s="435"/>
      <c r="B164" s="241" t="s">
        <v>158</v>
      </c>
      <c r="C164" s="55"/>
      <c r="D164" s="240">
        <v>44987</v>
      </c>
      <c r="E164" s="50">
        <v>0</v>
      </c>
      <c r="F164" s="51"/>
      <c r="G164" s="137"/>
      <c r="H164" s="52"/>
      <c r="I164" s="52"/>
      <c r="J164" s="52"/>
      <c r="K164" s="53"/>
      <c r="L164" s="54"/>
      <c r="M164" s="55"/>
      <c r="N164" s="246"/>
      <c r="O164" s="52"/>
      <c r="P164" s="53"/>
      <c r="Q164" s="56" t="s">
        <v>221</v>
      </c>
      <c r="R164" s="246"/>
      <c r="S164" s="52"/>
      <c r="T164" s="58">
        <f t="shared" si="51"/>
        <v>0.44</v>
      </c>
      <c r="U164" s="440"/>
      <c r="V164" s="246" t="s">
        <v>243</v>
      </c>
      <c r="W164" s="246"/>
      <c r="X164" s="52"/>
      <c r="Y164" s="58">
        <f t="shared" si="52"/>
        <v>0.97</v>
      </c>
      <c r="Z164" s="436"/>
      <c r="AA164" s="248"/>
      <c r="AB164" s="270">
        <v>1</v>
      </c>
      <c r="AC164" s="248" t="s">
        <v>59</v>
      </c>
      <c r="AD164" s="118">
        <v>0</v>
      </c>
      <c r="AE164" s="118">
        <v>0</v>
      </c>
      <c r="AF164" s="28"/>
      <c r="AI164" s="28"/>
      <c r="AJ164" s="3"/>
      <c r="AK164" s="3"/>
      <c r="AL164" s="28"/>
    </row>
    <row r="165" spans="1:39" s="7" customFormat="1" ht="13.8" x14ac:dyDescent="0.3">
      <c r="A165" s="435"/>
      <c r="B165" s="241" t="s">
        <v>159</v>
      </c>
      <c r="C165" s="55"/>
      <c r="D165" s="240">
        <v>44988</v>
      </c>
      <c r="E165" s="50">
        <v>0</v>
      </c>
      <c r="F165" s="51"/>
      <c r="G165" s="137"/>
      <c r="H165" s="52"/>
      <c r="I165" s="52"/>
      <c r="J165" s="52"/>
      <c r="K165" s="53"/>
      <c r="L165" s="54"/>
      <c r="M165" s="55"/>
      <c r="N165" s="246"/>
      <c r="O165" s="52"/>
      <c r="P165" s="53"/>
      <c r="Q165" s="56" t="s">
        <v>222</v>
      </c>
      <c r="R165" s="246"/>
      <c r="S165" s="52"/>
      <c r="T165" s="58">
        <f t="shared" si="51"/>
        <v>0.44</v>
      </c>
      <c r="U165" s="440"/>
      <c r="V165" s="246" t="s">
        <v>244</v>
      </c>
      <c r="W165" s="246"/>
      <c r="X165" s="52"/>
      <c r="Y165" s="58">
        <f t="shared" si="52"/>
        <v>0.97</v>
      </c>
      <c r="Z165" s="436"/>
      <c r="AA165" s="248"/>
      <c r="AB165" s="23">
        <v>2</v>
      </c>
      <c r="AC165" s="28" t="s">
        <v>60</v>
      </c>
      <c r="AD165" s="165">
        <v>0</v>
      </c>
      <c r="AE165" s="165">
        <v>0</v>
      </c>
      <c r="AF165" s="28"/>
      <c r="AI165" s="28"/>
      <c r="AJ165" s="3"/>
      <c r="AK165" s="3"/>
      <c r="AL165" s="28"/>
    </row>
    <row r="166" spans="1:39" s="7" customFormat="1" ht="13.8" x14ac:dyDescent="0.3">
      <c r="A166" s="435"/>
      <c r="B166" s="241" t="s">
        <v>160</v>
      </c>
      <c r="C166" s="55"/>
      <c r="D166" s="240">
        <v>44989</v>
      </c>
      <c r="E166" s="50">
        <v>0</v>
      </c>
      <c r="F166" s="51"/>
      <c r="G166" s="137"/>
      <c r="H166" s="52"/>
      <c r="I166" s="52"/>
      <c r="J166" s="52"/>
      <c r="K166" s="53"/>
      <c r="L166" s="54"/>
      <c r="M166" s="55"/>
      <c r="N166" s="246"/>
      <c r="O166" s="52"/>
      <c r="P166" s="53"/>
      <c r="Q166" s="56" t="s">
        <v>223</v>
      </c>
      <c r="R166" s="246"/>
      <c r="S166" s="52"/>
      <c r="T166" s="58">
        <f t="shared" si="51"/>
        <v>0.44</v>
      </c>
      <c r="U166" s="440"/>
      <c r="V166" s="246" t="s">
        <v>245</v>
      </c>
      <c r="W166" s="246"/>
      <c r="X166" s="52"/>
      <c r="Y166" s="58">
        <f t="shared" si="52"/>
        <v>0.97</v>
      </c>
      <c r="Z166" s="436"/>
      <c r="AA166" s="248"/>
      <c r="AB166" s="23">
        <v>3</v>
      </c>
      <c r="AC166" s="28" t="s">
        <v>62</v>
      </c>
      <c r="AD166" s="165">
        <v>0</v>
      </c>
      <c r="AE166" s="165">
        <v>0</v>
      </c>
      <c r="AF166" s="28"/>
      <c r="AI166" s="28"/>
      <c r="AJ166" s="3"/>
      <c r="AK166" s="3"/>
      <c r="AL166" s="28"/>
    </row>
    <row r="167" spans="1:39" s="7" customFormat="1" ht="13.8" x14ac:dyDescent="0.3">
      <c r="A167" s="435"/>
      <c r="B167" s="241" t="s">
        <v>161</v>
      </c>
      <c r="C167" s="55"/>
      <c r="D167" s="240">
        <v>44990</v>
      </c>
      <c r="E167" s="50">
        <v>0</v>
      </c>
      <c r="F167" s="51"/>
      <c r="G167" s="137"/>
      <c r="H167" s="52"/>
      <c r="I167" s="52"/>
      <c r="J167" s="52"/>
      <c r="K167" s="53"/>
      <c r="L167" s="54"/>
      <c r="M167" s="55"/>
      <c r="N167" s="246"/>
      <c r="O167" s="52"/>
      <c r="P167" s="53"/>
      <c r="Q167" s="56" t="s">
        <v>224</v>
      </c>
      <c r="R167" s="246"/>
      <c r="S167" s="52"/>
      <c r="T167" s="58">
        <f t="shared" si="51"/>
        <v>0.44</v>
      </c>
      <c r="U167" s="440"/>
      <c r="V167" s="246" t="s">
        <v>246</v>
      </c>
      <c r="W167" s="246"/>
      <c r="X167" s="52"/>
      <c r="Y167" s="58">
        <f t="shared" si="52"/>
        <v>0.97</v>
      </c>
      <c r="Z167" s="436"/>
      <c r="AA167" s="248"/>
      <c r="AB167" s="23">
        <v>4</v>
      </c>
      <c r="AC167" s="28" t="s">
        <v>13</v>
      </c>
      <c r="AD167" s="165">
        <f>AJ187</f>
        <v>-8.8000000000000025</v>
      </c>
      <c r="AE167" s="165">
        <f>AH188</f>
        <v>-15.520000000000003</v>
      </c>
      <c r="AF167" s="28"/>
      <c r="AI167" s="28"/>
      <c r="AJ167" s="3"/>
      <c r="AK167" s="3"/>
      <c r="AL167" s="28"/>
    </row>
    <row r="168" spans="1:39" s="7" customFormat="1" ht="13.8" x14ac:dyDescent="0.3">
      <c r="A168" s="435"/>
      <c r="B168" s="241" t="s">
        <v>162</v>
      </c>
      <c r="C168" s="55"/>
      <c r="D168" s="49">
        <v>44991</v>
      </c>
      <c r="E168" s="50">
        <v>0</v>
      </c>
      <c r="F168" s="51"/>
      <c r="G168" s="137"/>
      <c r="H168" s="52"/>
      <c r="I168" s="52"/>
      <c r="J168" s="52"/>
      <c r="K168" s="53"/>
      <c r="L168" s="54"/>
      <c r="M168" s="55"/>
      <c r="N168" s="246"/>
      <c r="O168" s="52"/>
      <c r="P168" s="53"/>
      <c r="Q168" s="56" t="s">
        <v>225</v>
      </c>
      <c r="R168" s="52"/>
      <c r="S168" s="52"/>
      <c r="T168" s="58">
        <f t="shared" si="51"/>
        <v>0.44</v>
      </c>
      <c r="U168" s="440"/>
      <c r="V168" s="246" t="s">
        <v>247</v>
      </c>
      <c r="W168" s="52"/>
      <c r="X168" s="52"/>
      <c r="Y168" s="58">
        <f t="shared" si="52"/>
        <v>0.97</v>
      </c>
      <c r="Z168" s="436"/>
      <c r="AA168" s="248"/>
      <c r="AB168" s="23">
        <v>5</v>
      </c>
      <c r="AC168" s="28" t="s">
        <v>130</v>
      </c>
      <c r="AD168" s="165">
        <f>AE190</f>
        <v>0</v>
      </c>
      <c r="AE168" s="165">
        <f>AF188</f>
        <v>-2.3000000000000003</v>
      </c>
      <c r="AF168" s="28"/>
      <c r="AI168" s="28"/>
      <c r="AJ168" s="3"/>
      <c r="AK168" s="3"/>
      <c r="AL168" s="28"/>
    </row>
    <row r="169" spans="1:39" s="7" customFormat="1" ht="13.8" x14ac:dyDescent="0.3">
      <c r="A169" s="435"/>
      <c r="B169" s="241" t="s">
        <v>163</v>
      </c>
      <c r="C169" s="55"/>
      <c r="D169" s="240">
        <v>44992</v>
      </c>
      <c r="E169" s="50">
        <v>0</v>
      </c>
      <c r="F169" s="51"/>
      <c r="G169" s="137"/>
      <c r="H169" s="52"/>
      <c r="I169" s="52"/>
      <c r="J169" s="52"/>
      <c r="K169" s="53"/>
      <c r="L169" s="54"/>
      <c r="M169" s="55"/>
      <c r="N169" s="246"/>
      <c r="O169" s="52"/>
      <c r="P169" s="53"/>
      <c r="Q169" s="56" t="s">
        <v>226</v>
      </c>
      <c r="R169" s="52"/>
      <c r="S169" s="52"/>
      <c r="T169" s="58">
        <f t="shared" si="51"/>
        <v>0.44</v>
      </c>
      <c r="U169" s="440"/>
      <c r="V169" s="246" t="s">
        <v>248</v>
      </c>
      <c r="W169" s="52"/>
      <c r="X169" s="52"/>
      <c r="Y169" s="58">
        <f t="shared" si="52"/>
        <v>0.97</v>
      </c>
      <c r="Z169" s="436"/>
      <c r="AA169" s="248"/>
      <c r="AB169" s="23">
        <v>6</v>
      </c>
      <c r="AC169" s="28" t="s">
        <v>132</v>
      </c>
      <c r="AD169" s="165">
        <f>AC190</f>
        <v>0</v>
      </c>
      <c r="AE169" s="165">
        <f>AD188</f>
        <v>-48.64</v>
      </c>
      <c r="AF169" s="28"/>
      <c r="AI169" s="28"/>
      <c r="AJ169" s="3"/>
      <c r="AK169" s="3"/>
      <c r="AL169" s="28"/>
    </row>
    <row r="170" spans="1:39" s="7" customFormat="1" ht="13.8" x14ac:dyDescent="0.3">
      <c r="A170" s="435"/>
      <c r="B170" s="241" t="s">
        <v>164</v>
      </c>
      <c r="C170" s="55"/>
      <c r="D170" s="240">
        <v>44993</v>
      </c>
      <c r="E170" s="50">
        <v>0</v>
      </c>
      <c r="F170" s="51"/>
      <c r="G170" s="137"/>
      <c r="H170" s="52"/>
      <c r="I170" s="52"/>
      <c r="J170" s="52"/>
      <c r="K170" s="53"/>
      <c r="L170" s="54"/>
      <c r="M170" s="55"/>
      <c r="N170" s="246"/>
      <c r="O170" s="52"/>
      <c r="P170" s="53"/>
      <c r="Q170" s="56" t="s">
        <v>227</v>
      </c>
      <c r="R170" s="246"/>
      <c r="S170" s="52"/>
      <c r="T170" s="58">
        <f t="shared" si="51"/>
        <v>0.44</v>
      </c>
      <c r="U170" s="440"/>
      <c r="V170" s="246" t="s">
        <v>249</v>
      </c>
      <c r="W170" s="246"/>
      <c r="X170" s="52"/>
      <c r="Y170" s="58">
        <f t="shared" si="52"/>
        <v>0.97</v>
      </c>
      <c r="Z170" s="436"/>
      <c r="AA170" s="248"/>
      <c r="AB170" s="23">
        <v>7</v>
      </c>
      <c r="AC170" s="28" t="s">
        <v>63</v>
      </c>
      <c r="AD170" s="165">
        <f>X190</f>
        <v>0</v>
      </c>
      <c r="AE170" s="165">
        <f>X188</f>
        <v>-6.2</v>
      </c>
      <c r="AF170" s="28"/>
      <c r="AI170" s="28"/>
      <c r="AJ170" s="3"/>
      <c r="AK170" s="3"/>
      <c r="AL170" s="28"/>
    </row>
    <row r="171" spans="1:39" s="7" customFormat="1" ht="13.8" x14ac:dyDescent="0.3">
      <c r="A171" s="435"/>
      <c r="B171" s="241" t="s">
        <v>165</v>
      </c>
      <c r="C171" s="55"/>
      <c r="D171" s="240">
        <v>44994</v>
      </c>
      <c r="E171" s="50">
        <v>0</v>
      </c>
      <c r="F171" s="51"/>
      <c r="G171" s="137"/>
      <c r="H171" s="52"/>
      <c r="I171" s="52"/>
      <c r="J171" s="52"/>
      <c r="K171" s="53"/>
      <c r="L171" s="54"/>
      <c r="M171" s="55"/>
      <c r="N171" s="246"/>
      <c r="O171" s="52"/>
      <c r="P171" s="53"/>
      <c r="Q171" s="56" t="s">
        <v>228</v>
      </c>
      <c r="R171" s="246"/>
      <c r="S171" s="52"/>
      <c r="T171" s="58">
        <f t="shared" si="51"/>
        <v>0.44</v>
      </c>
      <c r="U171" s="440"/>
      <c r="V171" s="246" t="s">
        <v>250</v>
      </c>
      <c r="W171" s="246"/>
      <c r="X171" s="52"/>
      <c r="Y171" s="58">
        <f t="shared" si="52"/>
        <v>0.97</v>
      </c>
      <c r="Z171" s="436"/>
      <c r="AA171" s="248"/>
      <c r="AB171" s="23">
        <v>8</v>
      </c>
      <c r="AC171" s="28" t="s">
        <v>64</v>
      </c>
      <c r="AD171" s="165">
        <f>U190</f>
        <v>0</v>
      </c>
      <c r="AE171" s="165">
        <f>U188</f>
        <v>-89.149999999999864</v>
      </c>
      <c r="AF171" s="28"/>
      <c r="AI171" s="28"/>
      <c r="AJ171" s="3"/>
      <c r="AK171" s="3"/>
      <c r="AL171" s="28"/>
    </row>
    <row r="172" spans="1:39" s="7" customFormat="1" ht="13.8" x14ac:dyDescent="0.3">
      <c r="A172" s="435"/>
      <c r="B172" s="241" t="s">
        <v>166</v>
      </c>
      <c r="C172" s="55" t="s">
        <v>27</v>
      </c>
      <c r="D172" s="240">
        <v>44995</v>
      </c>
      <c r="E172" s="271">
        <v>1000</v>
      </c>
      <c r="F172" s="51"/>
      <c r="G172" s="137"/>
      <c r="H172" s="52"/>
      <c r="I172" s="52"/>
      <c r="J172" s="52"/>
      <c r="K172" s="53"/>
      <c r="L172" s="54"/>
      <c r="M172" s="55"/>
      <c r="N172" s="246"/>
      <c r="O172" s="52"/>
      <c r="P172" s="53"/>
      <c r="Q172" s="56" t="s">
        <v>229</v>
      </c>
      <c r="R172" s="52"/>
      <c r="S172" s="52"/>
      <c r="T172" s="58">
        <f t="shared" si="51"/>
        <v>0.44</v>
      </c>
      <c r="U172" s="441"/>
      <c r="V172" s="246" t="s">
        <v>251</v>
      </c>
      <c r="W172" s="52"/>
      <c r="X172" s="52"/>
      <c r="Y172" s="58">
        <f t="shared" si="52"/>
        <v>0.97</v>
      </c>
      <c r="Z172" s="437"/>
      <c r="AA172" s="248"/>
      <c r="AB172" s="23">
        <v>9</v>
      </c>
      <c r="AC172" s="28" t="s">
        <v>138</v>
      </c>
      <c r="AD172" s="165">
        <f>AB187</f>
        <v>-454.63999999999987</v>
      </c>
      <c r="AE172" s="165">
        <f>-(AC173+AD173+AE167+AE168+AE169+AE170+AE171)</f>
        <v>-374.7500000000004</v>
      </c>
      <c r="AF172" s="248"/>
      <c r="AG172" s="3"/>
      <c r="AH172" s="3"/>
      <c r="AI172" s="3"/>
      <c r="AJ172" s="3"/>
      <c r="AK172" s="3"/>
      <c r="AL172" s="12"/>
    </row>
    <row r="173" spans="1:39" s="7" customFormat="1" ht="13.8" x14ac:dyDescent="0.3">
      <c r="A173" s="435"/>
      <c r="B173" s="241" t="s">
        <v>167</v>
      </c>
      <c r="C173" s="55"/>
      <c r="D173" s="240">
        <v>44996</v>
      </c>
      <c r="E173" s="50">
        <v>0</v>
      </c>
      <c r="F173" s="51"/>
      <c r="G173" s="137"/>
      <c r="H173" s="52"/>
      <c r="I173" s="52"/>
      <c r="J173" s="52"/>
      <c r="K173" s="53"/>
      <c r="L173" s="54"/>
      <c r="M173" s="55"/>
      <c r="N173" s="246"/>
      <c r="O173" s="52"/>
      <c r="P173" s="53"/>
      <c r="Q173" s="56"/>
      <c r="R173" s="272"/>
      <c r="S173" s="272"/>
      <c r="T173" s="58"/>
      <c r="U173" s="273"/>
      <c r="V173" s="246" t="s">
        <v>252</v>
      </c>
      <c r="W173" s="52" t="s">
        <v>168</v>
      </c>
      <c r="X173" s="52"/>
      <c r="Y173" s="58">
        <f t="shared" ref="Y173:Y179" si="53">ROUND(SUM($Z$188:$AA$188)*$I$8,2)</f>
        <v>0.6</v>
      </c>
      <c r="Z173" s="442"/>
      <c r="AA173" s="248"/>
      <c r="AB173" s="23" t="s">
        <v>65</v>
      </c>
      <c r="AC173" s="169">
        <f>$E$172</f>
        <v>1000</v>
      </c>
      <c r="AD173" s="170">
        <f>SUM(AD164:AD172)</f>
        <v>-463.43999999999988</v>
      </c>
      <c r="AE173" s="170">
        <f>SUM(AE164:AE172)</f>
        <v>-536.56000000000029</v>
      </c>
      <c r="AF173" s="170">
        <f>AD173+AE173</f>
        <v>-1000.0000000000002</v>
      </c>
      <c r="AG173" s="3"/>
      <c r="AH173" s="3"/>
      <c r="AI173" s="3"/>
      <c r="AJ173" s="3"/>
      <c r="AK173" s="3"/>
      <c r="AL173" s="12"/>
    </row>
    <row r="174" spans="1:39" s="7" customFormat="1" ht="13.8" x14ac:dyDescent="0.3">
      <c r="A174" s="435"/>
      <c r="B174" s="121">
        <v>7.1</v>
      </c>
      <c r="C174" s="127"/>
      <c r="D174" s="123">
        <v>44997</v>
      </c>
      <c r="E174" s="124">
        <v>0</v>
      </c>
      <c r="F174" s="41"/>
      <c r="G174" s="176"/>
      <c r="H174" s="45"/>
      <c r="I174" s="45"/>
      <c r="J174" s="45"/>
      <c r="K174" s="46"/>
      <c r="L174" s="175"/>
      <c r="M174" s="127"/>
      <c r="N174" s="127"/>
      <c r="O174" s="127"/>
      <c r="P174" s="41"/>
      <c r="Q174" s="129"/>
      <c r="R174" s="128"/>
      <c r="S174" s="45"/>
      <c r="T174" s="131"/>
      <c r="U174" s="274"/>
      <c r="V174" s="128" t="s">
        <v>238</v>
      </c>
      <c r="W174" s="128"/>
      <c r="X174" s="45"/>
      <c r="Y174" s="131">
        <f t="shared" si="53"/>
        <v>0.6</v>
      </c>
      <c r="Z174" s="443"/>
      <c r="AA174" s="28"/>
      <c r="AB174" s="28"/>
      <c r="AC174" s="28"/>
      <c r="AD174" s="28"/>
      <c r="AE174" s="28"/>
      <c r="AF174" s="28"/>
      <c r="AG174" s="3"/>
      <c r="AH174" s="3"/>
      <c r="AI174" s="3"/>
      <c r="AJ174" s="3"/>
      <c r="AK174" s="3"/>
      <c r="AL174" s="12"/>
    </row>
    <row r="175" spans="1:39" s="7" customFormat="1" ht="13.8" x14ac:dyDescent="0.3">
      <c r="A175" s="435"/>
      <c r="B175" s="121">
        <v>7.2</v>
      </c>
      <c r="C175" s="127"/>
      <c r="D175" s="123">
        <v>44998</v>
      </c>
      <c r="E175" s="124">
        <v>0</v>
      </c>
      <c r="F175" s="41"/>
      <c r="G175" s="129" t="s">
        <v>28</v>
      </c>
      <c r="H175" s="45" t="s">
        <v>169</v>
      </c>
      <c r="I175" s="45"/>
      <c r="J175" s="131">
        <f>ROUND($H$189*$I$6,2)</f>
        <v>0.23</v>
      </c>
      <c r="K175" s="433"/>
      <c r="L175" s="129" t="s">
        <v>30</v>
      </c>
      <c r="M175" s="45" t="s">
        <v>170</v>
      </c>
      <c r="N175" s="127"/>
      <c r="O175" s="131">
        <f>ROUND($H$189*$I$7,2)</f>
        <v>0.62</v>
      </c>
      <c r="P175" s="433"/>
      <c r="Q175" s="129"/>
      <c r="R175" s="45"/>
      <c r="S175" s="45"/>
      <c r="T175" s="131"/>
      <c r="U175" s="275"/>
      <c r="V175" s="128" t="s">
        <v>239</v>
      </c>
      <c r="W175" s="128"/>
      <c r="X175" s="45"/>
      <c r="Y175" s="131">
        <f t="shared" si="53"/>
        <v>0.6</v>
      </c>
      <c r="Z175" s="443"/>
      <c r="AA175" s="142"/>
      <c r="AB175" s="186" t="s">
        <v>171</v>
      </c>
      <c r="AC175" s="186"/>
      <c r="AD175" s="143">
        <f>$AD$142+(T139+Y139)*16</f>
        <v>1621.5799999999997</v>
      </c>
      <c r="AE175" s="187"/>
      <c r="AF175" s="28"/>
      <c r="AG175" s="4"/>
      <c r="AH175" s="4"/>
      <c r="AI175" s="3"/>
      <c r="AJ175" s="3"/>
      <c r="AK175" s="3"/>
      <c r="AL175" s="12"/>
    </row>
    <row r="176" spans="1:39" s="7" customFormat="1" ht="13.8" x14ac:dyDescent="0.3">
      <c r="A176" s="435"/>
      <c r="B176" s="121">
        <v>7.3</v>
      </c>
      <c r="C176" s="127"/>
      <c r="D176" s="123">
        <v>44999</v>
      </c>
      <c r="E176" s="124">
        <v>0</v>
      </c>
      <c r="F176" s="41"/>
      <c r="G176" s="129" t="s">
        <v>32</v>
      </c>
      <c r="H176" s="45" t="s">
        <v>72</v>
      </c>
      <c r="I176" s="45"/>
      <c r="J176" s="131">
        <f>ROUND($H$189*$I$6,2)</f>
        <v>0.23</v>
      </c>
      <c r="K176" s="433"/>
      <c r="L176" s="129" t="s">
        <v>33</v>
      </c>
      <c r="M176" s="45"/>
      <c r="N176" s="127"/>
      <c r="O176" s="131">
        <f>ROUND($H$189*$I$7,2)</f>
        <v>0.62</v>
      </c>
      <c r="P176" s="433"/>
      <c r="Q176" s="129"/>
      <c r="R176" s="45"/>
      <c r="S176" s="45"/>
      <c r="T176" s="131"/>
      <c r="U176" s="275"/>
      <c r="V176" s="128" t="s">
        <v>240</v>
      </c>
      <c r="W176" s="128"/>
      <c r="X176" s="45"/>
      <c r="Y176" s="131">
        <f t="shared" si="53"/>
        <v>0.6</v>
      </c>
      <c r="Z176" s="443"/>
      <c r="AA176" s="142"/>
      <c r="AB176" s="186" t="s">
        <v>172</v>
      </c>
      <c r="AC176" s="186"/>
      <c r="AD176" s="143">
        <f>SUM($T$188:$AH$188)</f>
        <v>621.57999999999947</v>
      </c>
      <c r="AE176" s="247" t="s">
        <v>173</v>
      </c>
      <c r="AF176" s="28"/>
      <c r="AG176" s="3"/>
      <c r="AH176" s="3"/>
      <c r="AI176" s="3"/>
      <c r="AJ176" s="3"/>
      <c r="AK176" s="3"/>
      <c r="AL176" s="12"/>
    </row>
    <row r="177" spans="1:42" s="7" customFormat="1" ht="13.8" x14ac:dyDescent="0.3">
      <c r="A177" s="435"/>
      <c r="B177" s="121">
        <v>7.4</v>
      </c>
      <c r="C177" s="127"/>
      <c r="D177" s="123">
        <v>45000</v>
      </c>
      <c r="E177" s="124">
        <v>0</v>
      </c>
      <c r="F177" s="41"/>
      <c r="G177" s="129" t="s">
        <v>34</v>
      </c>
      <c r="H177" s="45"/>
      <c r="I177" s="45"/>
      <c r="J177" s="131">
        <f>ROUND($H$189*$I$6,2)</f>
        <v>0.23</v>
      </c>
      <c r="K177" s="433"/>
      <c r="L177" s="129" t="s">
        <v>51</v>
      </c>
      <c r="M177" s="45"/>
      <c r="N177" s="127"/>
      <c r="O177" s="131">
        <f>ROUND($H$189*$I$7,2)</f>
        <v>0.62</v>
      </c>
      <c r="P177" s="433"/>
      <c r="Q177" s="129"/>
      <c r="R177" s="45"/>
      <c r="S177" s="45"/>
      <c r="T177" s="131"/>
      <c r="U177" s="275"/>
      <c r="V177" s="128" t="s">
        <v>241</v>
      </c>
      <c r="W177" s="128"/>
      <c r="X177" s="45"/>
      <c r="Y177" s="131">
        <f t="shared" si="53"/>
        <v>0.6</v>
      </c>
      <c r="Z177" s="443"/>
      <c r="AA177" s="142"/>
      <c r="AB177" s="186"/>
      <c r="AC177" s="28"/>
      <c r="AD177" s="143"/>
      <c r="AE177" s="247"/>
      <c r="AF177" s="187"/>
      <c r="AG177" s="3"/>
      <c r="AH177" s="3"/>
      <c r="AI177" s="3"/>
      <c r="AJ177" s="3"/>
      <c r="AK177" s="3"/>
      <c r="AL177" s="12"/>
    </row>
    <row r="178" spans="1:42" s="7" customFormat="1" ht="13.8" x14ac:dyDescent="0.3">
      <c r="A178" s="435"/>
      <c r="B178" s="121">
        <v>7.5</v>
      </c>
      <c r="C178" s="127"/>
      <c r="D178" s="123">
        <v>45001</v>
      </c>
      <c r="E178" s="124">
        <v>0</v>
      </c>
      <c r="F178" s="41"/>
      <c r="G178" s="129" t="s">
        <v>35</v>
      </c>
      <c r="H178" s="45"/>
      <c r="I178" s="45"/>
      <c r="J178" s="131">
        <f>ROUND($H$189*$I$6,2)</f>
        <v>0.23</v>
      </c>
      <c r="K178" s="433"/>
      <c r="L178" s="129" t="s">
        <v>52</v>
      </c>
      <c r="M178" s="45"/>
      <c r="N178" s="127"/>
      <c r="O178" s="131">
        <f>ROUND($H$189*$I$7,2)</f>
        <v>0.62</v>
      </c>
      <c r="P178" s="433"/>
      <c r="Q178" s="129"/>
      <c r="R178" s="45"/>
      <c r="S178" s="45"/>
      <c r="T178" s="131"/>
      <c r="U178" s="275"/>
      <c r="V178" s="128" t="s">
        <v>242</v>
      </c>
      <c r="W178" s="128"/>
      <c r="X178" s="45"/>
      <c r="Y178" s="131">
        <f t="shared" si="53"/>
        <v>0.6</v>
      </c>
      <c r="Z178" s="443"/>
      <c r="AA178" s="142"/>
      <c r="AB178" s="28"/>
      <c r="AC178" s="28"/>
      <c r="AD178" s="28"/>
      <c r="AE178" s="28"/>
      <c r="AF178" s="28"/>
      <c r="AG178" s="3"/>
      <c r="AH178" s="3"/>
      <c r="AI178" s="3"/>
      <c r="AJ178" s="3"/>
      <c r="AK178" s="3"/>
      <c r="AL178" s="12"/>
    </row>
    <row r="179" spans="1:42" s="7" customFormat="1" ht="13.8" x14ac:dyDescent="0.3">
      <c r="A179" s="435"/>
      <c r="B179" s="37">
        <v>7.6</v>
      </c>
      <c r="C179" s="45"/>
      <c r="D179" s="39">
        <v>45002</v>
      </c>
      <c r="E179" s="124">
        <v>0</v>
      </c>
      <c r="F179" s="127"/>
      <c r="G179" s="129" t="s">
        <v>36</v>
      </c>
      <c r="H179" s="45"/>
      <c r="I179" s="45"/>
      <c r="J179" s="131">
        <f>ROUND($H$189*$I$6,2)</f>
        <v>0.23</v>
      </c>
      <c r="K179" s="433"/>
      <c r="L179" s="129" t="s">
        <v>53</v>
      </c>
      <c r="M179" s="45"/>
      <c r="N179" s="127"/>
      <c r="O179" s="131">
        <f>ROUND($H$189*$I$7,2)</f>
        <v>0.62</v>
      </c>
      <c r="P179" s="433"/>
      <c r="Q179" s="129"/>
      <c r="R179" s="45"/>
      <c r="S179" s="45"/>
      <c r="T179" s="131"/>
      <c r="U179" s="275"/>
      <c r="V179" s="128" t="s">
        <v>253</v>
      </c>
      <c r="W179" s="45"/>
      <c r="X179" s="45"/>
      <c r="Y179" s="131">
        <f t="shared" si="53"/>
        <v>0.6</v>
      </c>
      <c r="Z179" s="444"/>
      <c r="AA179" s="142"/>
      <c r="AB179" s="28"/>
      <c r="AC179" s="28"/>
      <c r="AD179" s="28"/>
      <c r="AE179" s="28"/>
      <c r="AF179" s="28"/>
      <c r="AG179" s="3"/>
      <c r="AH179" s="3"/>
      <c r="AI179" s="3"/>
      <c r="AJ179" s="3"/>
      <c r="AK179" s="3"/>
      <c r="AL179" s="12"/>
    </row>
    <row r="180" spans="1:42" s="28" customFormat="1" ht="14.4" thickBot="1" x14ac:dyDescent="0.35">
      <c r="A180" s="435"/>
      <c r="B180" s="23"/>
      <c r="D180" s="188"/>
      <c r="E180" s="119"/>
      <c r="G180" s="189"/>
      <c r="H180" s="142"/>
      <c r="I180" s="142"/>
      <c r="J180" s="248"/>
      <c r="K180" s="249"/>
      <c r="L180" s="189"/>
      <c r="M180" s="142"/>
      <c r="O180" s="248"/>
      <c r="P180" s="249"/>
      <c r="Q180" s="189"/>
      <c r="R180" s="142"/>
      <c r="S180" s="142"/>
      <c r="T180" s="118"/>
      <c r="U180" s="249"/>
      <c r="V180" s="189"/>
      <c r="W180" s="189"/>
      <c r="X180" s="142"/>
      <c r="Y180" s="118"/>
      <c r="Z180" s="248"/>
      <c r="AA180" s="142"/>
      <c r="AG180" s="276"/>
      <c r="AH180" s="276"/>
      <c r="AI180" s="276"/>
      <c r="AJ180" s="276"/>
      <c r="AK180" s="276"/>
      <c r="AL180" s="23"/>
    </row>
    <row r="181" spans="1:42" s="12" customFormat="1" ht="74.25" customHeight="1" thickBot="1" x14ac:dyDescent="0.35">
      <c r="A181" s="435"/>
      <c r="B181" s="67" t="s">
        <v>14</v>
      </c>
      <c r="C181" s="71" t="s">
        <v>37</v>
      </c>
      <c r="D181" s="68" t="s">
        <v>15</v>
      </c>
      <c r="E181" s="69" t="s">
        <v>108</v>
      </c>
      <c r="F181" s="13" t="s">
        <v>16</v>
      </c>
      <c r="G181" s="69" t="s">
        <v>17</v>
      </c>
      <c r="H181" s="70" t="s">
        <v>38</v>
      </c>
      <c r="I181" s="71" t="s">
        <v>39</v>
      </c>
      <c r="J181" s="71" t="s">
        <v>39</v>
      </c>
      <c r="K181" s="74" t="s">
        <v>109</v>
      </c>
      <c r="L181" s="190" t="s">
        <v>40</v>
      </c>
      <c r="M181" s="190" t="s">
        <v>41</v>
      </c>
      <c r="N181" s="191" t="s">
        <v>110</v>
      </c>
      <c r="O181" s="70" t="s">
        <v>42</v>
      </c>
      <c r="P181" s="71" t="s">
        <v>43</v>
      </c>
      <c r="Q181" s="192" t="s">
        <v>42</v>
      </c>
      <c r="R181" s="71" t="s">
        <v>43</v>
      </c>
      <c r="S181" s="74" t="s">
        <v>111</v>
      </c>
      <c r="T181" s="190" t="s">
        <v>44</v>
      </c>
      <c r="U181" s="190" t="s">
        <v>45</v>
      </c>
      <c r="V181" s="190" t="s">
        <v>152</v>
      </c>
      <c r="W181" s="70" t="s">
        <v>46</v>
      </c>
      <c r="X181" s="71" t="s">
        <v>47</v>
      </c>
      <c r="Y181" s="74" t="s">
        <v>153</v>
      </c>
      <c r="Z181" s="190" t="s">
        <v>112</v>
      </c>
      <c r="AA181" s="190" t="s">
        <v>113</v>
      </c>
      <c r="AB181" s="190" t="s">
        <v>113</v>
      </c>
      <c r="AC181" s="70" t="s">
        <v>114</v>
      </c>
      <c r="AD181" s="74" t="s">
        <v>115</v>
      </c>
      <c r="AE181" s="190" t="s">
        <v>116</v>
      </c>
      <c r="AF181" s="190" t="s">
        <v>117</v>
      </c>
      <c r="AG181" s="70" t="s">
        <v>118</v>
      </c>
      <c r="AH181" s="71" t="s">
        <v>119</v>
      </c>
      <c r="AI181" s="192" t="s">
        <v>118</v>
      </c>
      <c r="AJ181" s="74" t="s">
        <v>119</v>
      </c>
      <c r="AK181" s="3"/>
      <c r="AL181" s="3"/>
      <c r="AM181" s="3"/>
      <c r="AN181" s="3"/>
      <c r="AP181" s="7"/>
    </row>
    <row r="182" spans="1:42" s="254" customFormat="1" ht="13.8" x14ac:dyDescent="0.3">
      <c r="A182" s="435"/>
      <c r="B182" s="144"/>
      <c r="C182" s="145"/>
      <c r="D182" s="146">
        <f>IF(DAY($E$2)&gt;28,DATE(YEAR($E$2),MONTH($E$2)+1,1),$E$2)</f>
        <v>44785</v>
      </c>
      <c r="E182" s="250"/>
      <c r="F182" s="147"/>
      <c r="G182" s="148">
        <f>-$E$3</f>
        <v>-12000</v>
      </c>
      <c r="H182" s="149"/>
      <c r="I182" s="150"/>
      <c r="J182" s="382"/>
      <c r="K182" s="197"/>
      <c r="L182" s="148"/>
      <c r="M182" s="150"/>
      <c r="N182" s="198"/>
      <c r="O182" s="149"/>
      <c r="P182" s="150"/>
      <c r="Q182" s="199"/>
      <c r="R182" s="150"/>
      <c r="S182" s="197"/>
      <c r="T182" s="148"/>
      <c r="U182" s="150"/>
      <c r="V182" s="197"/>
      <c r="W182" s="200"/>
      <c r="X182" s="201"/>
      <c r="Y182" s="251"/>
      <c r="Z182" s="202"/>
      <c r="AA182" s="154"/>
      <c r="AB182" s="154"/>
      <c r="AC182" s="202"/>
      <c r="AD182" s="154"/>
      <c r="AE182" s="202"/>
      <c r="AF182" s="154"/>
      <c r="AG182" s="202"/>
      <c r="AH182" s="201"/>
      <c r="AI182" s="252"/>
      <c r="AJ182" s="154"/>
      <c r="AK182" s="253"/>
      <c r="AL182" s="253"/>
      <c r="AM182" s="253"/>
      <c r="AN182" s="253"/>
    </row>
    <row r="183" spans="1:42" s="142" customFormat="1" ht="13.8" x14ac:dyDescent="0.3">
      <c r="A183" s="435"/>
      <c r="B183" s="155">
        <v>1</v>
      </c>
      <c r="C183" s="156" t="s">
        <v>48</v>
      </c>
      <c r="D183" s="157">
        <f>DATE(YEAR(D182),MONTH(D182)+1,DAY(D182))</f>
        <v>44816</v>
      </c>
      <c r="E183" s="157"/>
      <c r="F183" s="158">
        <f>$E$3</f>
        <v>12000</v>
      </c>
      <c r="G183" s="159">
        <f t="shared" ref="G183:G194" si="54">IF($B183&lt;=$E$4,$E$8,0)</f>
        <v>1134.1199999999999</v>
      </c>
      <c r="H183" s="160">
        <f t="shared" ref="H183:H194" si="55">IF($B183&gt;$E$4,0,$G183-$L183-$T183)</f>
        <v>962.97</v>
      </c>
      <c r="I183" s="161">
        <f>-H183</f>
        <v>-962.97</v>
      </c>
      <c r="J183" s="159"/>
      <c r="K183" s="203"/>
      <c r="L183" s="159">
        <f t="shared" ref="L183:L194" si="56">ROUND($F183*$I$2,2)</f>
        <v>82</v>
      </c>
      <c r="M183" s="161">
        <f>-L183</f>
        <v>-82</v>
      </c>
      <c r="N183" s="203"/>
      <c r="O183" s="160"/>
      <c r="P183" s="161"/>
      <c r="Q183" s="204"/>
      <c r="R183" s="161"/>
      <c r="S183" s="203"/>
      <c r="T183" s="159">
        <f t="shared" ref="T183:T194" si="57">$E$8-$E$7</f>
        <v>89.149999999999864</v>
      </c>
      <c r="U183" s="161">
        <f>-T183</f>
        <v>-89.149999999999864</v>
      </c>
      <c r="V183" s="203"/>
      <c r="W183" s="200"/>
      <c r="X183" s="205"/>
      <c r="Y183" s="255"/>
      <c r="Z183" s="206"/>
      <c r="AA183" s="162"/>
      <c r="AB183" s="162"/>
      <c r="AC183" s="206"/>
      <c r="AD183" s="162"/>
      <c r="AE183" s="206"/>
      <c r="AF183" s="162"/>
      <c r="AG183" s="207"/>
      <c r="AH183" s="161"/>
      <c r="AI183" s="256"/>
      <c r="AJ183" s="162"/>
      <c r="AK183" s="253"/>
      <c r="AL183" s="253"/>
      <c r="AM183" s="253"/>
      <c r="AN183" s="253"/>
      <c r="AP183" s="254"/>
    </row>
    <row r="184" spans="1:42" s="142" customFormat="1" ht="13.8" x14ac:dyDescent="0.3">
      <c r="A184" s="435"/>
      <c r="B184" s="155">
        <f>B183+1</f>
        <v>2</v>
      </c>
      <c r="C184" s="156" t="s">
        <v>48</v>
      </c>
      <c r="D184" s="157">
        <f>DATE(YEAR(D183),MONTH(D183)+1,DAY(D183))</f>
        <v>44846</v>
      </c>
      <c r="E184" s="157"/>
      <c r="F184" s="158">
        <f t="shared" ref="F184:F194" si="58">$F183-$H183</f>
        <v>11037.03</v>
      </c>
      <c r="G184" s="159">
        <f t="shared" si="54"/>
        <v>1134.1199999999999</v>
      </c>
      <c r="H184" s="160">
        <f t="shared" si="55"/>
        <v>969.55</v>
      </c>
      <c r="I184" s="161">
        <f t="shared" ref="I184:I186" si="59">-H184</f>
        <v>-969.55</v>
      </c>
      <c r="J184" s="159"/>
      <c r="K184" s="203"/>
      <c r="L184" s="159">
        <f t="shared" si="56"/>
        <v>75.42</v>
      </c>
      <c r="M184" s="161">
        <f t="shared" ref="M184:M186" si="60">-L184</f>
        <v>-75.42</v>
      </c>
      <c r="N184" s="203"/>
      <c r="O184" s="208"/>
      <c r="P184" s="161"/>
      <c r="Q184" s="204"/>
      <c r="R184" s="161"/>
      <c r="S184" s="203"/>
      <c r="T184" s="159">
        <f t="shared" si="57"/>
        <v>89.149999999999864</v>
      </c>
      <c r="U184" s="161">
        <f t="shared" ref="U184:U186" si="61">-T184</f>
        <v>-89.149999999999864</v>
      </c>
      <c r="V184" s="203"/>
      <c r="W184" s="200"/>
      <c r="X184" s="205"/>
      <c r="Y184" s="255"/>
      <c r="Z184" s="206"/>
      <c r="AA184" s="162"/>
      <c r="AB184" s="162"/>
      <c r="AC184" s="206"/>
      <c r="AD184" s="162"/>
      <c r="AE184" s="206"/>
      <c r="AF184" s="162"/>
      <c r="AG184" s="207"/>
      <c r="AH184" s="161"/>
      <c r="AI184" s="256"/>
      <c r="AJ184" s="162"/>
      <c r="AK184" s="253"/>
      <c r="AL184" s="253"/>
      <c r="AM184" s="253"/>
      <c r="AN184" s="253"/>
      <c r="AP184" s="254"/>
    </row>
    <row r="185" spans="1:42" s="142" customFormat="1" ht="13.8" x14ac:dyDescent="0.3">
      <c r="A185" s="435"/>
      <c r="B185" s="155">
        <f t="shared" ref="B185:B194" si="62">B184+1</f>
        <v>3</v>
      </c>
      <c r="C185" s="156" t="s">
        <v>61</v>
      </c>
      <c r="D185" s="157">
        <f t="shared" ref="D185:D194" si="63">DATE(YEAR(D184),MONTH(D184)+1,DAY(D184))</f>
        <v>44877</v>
      </c>
      <c r="E185" s="157">
        <f>D185+10</f>
        <v>44887</v>
      </c>
      <c r="F185" s="158">
        <f t="shared" si="58"/>
        <v>10067.480000000001</v>
      </c>
      <c r="G185" s="159">
        <f t="shared" si="54"/>
        <v>1134.1199999999999</v>
      </c>
      <c r="H185" s="160">
        <f t="shared" si="55"/>
        <v>976.18000000000006</v>
      </c>
      <c r="I185" s="161">
        <f t="shared" si="59"/>
        <v>-976.18000000000006</v>
      </c>
      <c r="J185" s="159"/>
      <c r="K185" s="203"/>
      <c r="L185" s="159">
        <f t="shared" si="56"/>
        <v>68.790000000000006</v>
      </c>
      <c r="M185" s="161">
        <f t="shared" si="60"/>
        <v>-68.790000000000006</v>
      </c>
      <c r="N185" s="203"/>
      <c r="O185" s="160">
        <f>$K$66</f>
        <v>1.32</v>
      </c>
      <c r="P185" s="161">
        <f>-O185</f>
        <v>-1.32</v>
      </c>
      <c r="Q185" s="204"/>
      <c r="R185" s="161"/>
      <c r="S185" s="203"/>
      <c r="T185" s="159">
        <f t="shared" si="57"/>
        <v>89.149999999999864</v>
      </c>
      <c r="U185" s="161">
        <f t="shared" si="61"/>
        <v>-89.149999999999864</v>
      </c>
      <c r="V185" s="203"/>
      <c r="W185" s="160">
        <f>$O$66</f>
        <v>3.6599999999999997</v>
      </c>
      <c r="X185" s="161">
        <f>-W185</f>
        <v>-3.6599999999999997</v>
      </c>
      <c r="Y185" s="203"/>
      <c r="Z185" s="206"/>
      <c r="AA185" s="162"/>
      <c r="AB185" s="162"/>
      <c r="AC185" s="206"/>
      <c r="AD185" s="162"/>
      <c r="AE185" s="206"/>
      <c r="AF185" s="162"/>
      <c r="AG185" s="207"/>
      <c r="AH185" s="161"/>
      <c r="AI185" s="256"/>
      <c r="AJ185" s="162"/>
      <c r="AK185" s="253"/>
      <c r="AL185" s="253"/>
      <c r="AM185" s="253"/>
      <c r="AN185" s="253"/>
      <c r="AP185" s="254"/>
    </row>
    <row r="186" spans="1:42" s="142" customFormat="1" ht="13.8" x14ac:dyDescent="0.3">
      <c r="A186" s="435"/>
      <c r="B186" s="155">
        <f t="shared" si="62"/>
        <v>4</v>
      </c>
      <c r="C186" s="156" t="s">
        <v>48</v>
      </c>
      <c r="D186" s="157">
        <f t="shared" si="63"/>
        <v>44907</v>
      </c>
      <c r="E186" s="157"/>
      <c r="F186" s="158">
        <f t="shared" si="58"/>
        <v>9091.3000000000011</v>
      </c>
      <c r="G186" s="159">
        <f t="shared" si="54"/>
        <v>1134.1199999999999</v>
      </c>
      <c r="H186" s="160">
        <f t="shared" si="55"/>
        <v>982.85000000000014</v>
      </c>
      <c r="I186" s="161">
        <f t="shared" si="59"/>
        <v>-982.85000000000014</v>
      </c>
      <c r="J186" s="159"/>
      <c r="K186" s="203"/>
      <c r="L186" s="159">
        <f t="shared" si="56"/>
        <v>62.12</v>
      </c>
      <c r="M186" s="161">
        <f t="shared" si="60"/>
        <v>-62.12</v>
      </c>
      <c r="N186" s="203"/>
      <c r="O186" s="160"/>
      <c r="P186" s="161"/>
      <c r="Q186" s="204"/>
      <c r="R186" s="161"/>
      <c r="S186" s="203"/>
      <c r="T186" s="159">
        <f t="shared" si="57"/>
        <v>89.149999999999864</v>
      </c>
      <c r="U186" s="161">
        <f t="shared" si="61"/>
        <v>-89.149999999999864</v>
      </c>
      <c r="V186" s="203"/>
      <c r="W186" s="200"/>
      <c r="X186" s="205"/>
      <c r="Y186" s="255"/>
      <c r="Z186" s="206"/>
      <c r="AA186" s="162"/>
      <c r="AB186" s="162"/>
      <c r="AC186" s="206"/>
      <c r="AD186" s="162"/>
      <c r="AE186" s="206"/>
      <c r="AF186" s="162"/>
      <c r="AG186" s="207"/>
      <c r="AH186" s="161"/>
      <c r="AI186" s="256"/>
      <c r="AJ186" s="162"/>
      <c r="AK186" s="253"/>
      <c r="AL186" s="253"/>
      <c r="AM186" s="253"/>
      <c r="AN186" s="253"/>
      <c r="AP186" s="254"/>
    </row>
    <row r="187" spans="1:42" s="28" customFormat="1" ht="13.8" x14ac:dyDescent="0.3">
      <c r="A187" s="435"/>
      <c r="B187" s="86">
        <f t="shared" si="62"/>
        <v>5</v>
      </c>
      <c r="C187" s="167" t="s">
        <v>61</v>
      </c>
      <c r="D187" s="88">
        <f t="shared" si="63"/>
        <v>44938</v>
      </c>
      <c r="E187" s="88">
        <f>D187+10</f>
        <v>44948</v>
      </c>
      <c r="F187" s="158">
        <f t="shared" si="58"/>
        <v>8108.4500000000007</v>
      </c>
      <c r="G187" s="159">
        <f t="shared" si="54"/>
        <v>1134.1199999999999</v>
      </c>
      <c r="H187" s="160">
        <f t="shared" si="55"/>
        <v>989.56</v>
      </c>
      <c r="I187" s="161">
        <f>$Y$82</f>
        <v>-244.59</v>
      </c>
      <c r="J187" s="159">
        <f>$Z$82</f>
        <v>-198.69</v>
      </c>
      <c r="K187" s="203">
        <f>-(H187+I187+J187)</f>
        <v>-546.28</v>
      </c>
      <c r="L187" s="159">
        <f t="shared" si="56"/>
        <v>55.41</v>
      </c>
      <c r="M187" s="161">
        <f>-L187</f>
        <v>-55.41</v>
      </c>
      <c r="N187" s="203"/>
      <c r="O187" s="160">
        <f>$K$80</f>
        <v>1.31</v>
      </c>
      <c r="P187" s="161">
        <f>-O187</f>
        <v>-1.31</v>
      </c>
      <c r="Q187" s="204">
        <f>$K$87</f>
        <v>0.36</v>
      </c>
      <c r="R187" s="161"/>
      <c r="S187" s="203">
        <f>-Q187</f>
        <v>-0.36</v>
      </c>
      <c r="T187" s="159">
        <f t="shared" si="57"/>
        <v>89.149999999999864</v>
      </c>
      <c r="U187" s="161">
        <f>-T187</f>
        <v>-89.149999999999864</v>
      </c>
      <c r="V187" s="203"/>
      <c r="W187" s="160">
        <f>$P$80+$P$82</f>
        <v>4.54</v>
      </c>
      <c r="X187" s="161">
        <f>-W187</f>
        <v>-4.54</v>
      </c>
      <c r="Y187" s="255"/>
      <c r="Z187" s="217">
        <f>-K187</f>
        <v>546.28</v>
      </c>
      <c r="AA187" s="259">
        <f>$AD$137</f>
        <v>-91.640000000000128</v>
      </c>
      <c r="AB187" s="277">
        <f>-SUM(Z187:AA187)</f>
        <v>-454.63999999999987</v>
      </c>
      <c r="AC187" s="206">
        <f>-N187</f>
        <v>0</v>
      </c>
      <c r="AD187" s="162">
        <f>-AC187</f>
        <v>0</v>
      </c>
      <c r="AE187" s="206">
        <f>-S187</f>
        <v>0.36</v>
      </c>
      <c r="AF187" s="162">
        <f>-AE187</f>
        <v>-0.36</v>
      </c>
      <c r="AG187" s="206">
        <f>$U$128</f>
        <v>14.309999999999995</v>
      </c>
      <c r="AH187" s="161">
        <f>-AG187</f>
        <v>-14.309999999999995</v>
      </c>
      <c r="AI187" s="278">
        <f>$U$163</f>
        <v>8.8000000000000025</v>
      </c>
      <c r="AJ187" s="277">
        <f>-AI187</f>
        <v>-8.8000000000000025</v>
      </c>
      <c r="AK187" s="3"/>
      <c r="AL187" s="3"/>
      <c r="AM187" s="3"/>
      <c r="AN187" s="3"/>
      <c r="AP187" s="7"/>
    </row>
    <row r="188" spans="1:42" s="28" customFormat="1" ht="13.8" x14ac:dyDescent="0.3">
      <c r="A188" s="435"/>
      <c r="B188" s="86">
        <f t="shared" si="62"/>
        <v>6</v>
      </c>
      <c r="C188" s="167" t="s">
        <v>61</v>
      </c>
      <c r="D188" s="88">
        <f t="shared" si="63"/>
        <v>44969</v>
      </c>
      <c r="E188" s="88">
        <f>D188+10</f>
        <v>44979</v>
      </c>
      <c r="F188" s="26">
        <f t="shared" si="58"/>
        <v>7118.8900000000012</v>
      </c>
      <c r="G188" s="89">
        <f t="shared" si="54"/>
        <v>1134.1199999999999</v>
      </c>
      <c r="H188" s="160">
        <f t="shared" si="55"/>
        <v>996.32999999999993</v>
      </c>
      <c r="I188" s="161"/>
      <c r="J188" s="386"/>
      <c r="K188" s="203">
        <f>-H188</f>
        <v>-996.32999999999993</v>
      </c>
      <c r="L188" s="159">
        <f t="shared" si="56"/>
        <v>48.64</v>
      </c>
      <c r="M188" s="161"/>
      <c r="N188" s="203">
        <f>-L188</f>
        <v>-48.64</v>
      </c>
      <c r="O188" s="160">
        <f>$K$129</f>
        <v>2.3000000000000003</v>
      </c>
      <c r="P188" s="161"/>
      <c r="Q188" s="204"/>
      <c r="R188" s="161"/>
      <c r="S188" s="203">
        <f>-O188</f>
        <v>-2.3000000000000003</v>
      </c>
      <c r="T188" s="89">
        <f t="shared" si="57"/>
        <v>89.149999999999864</v>
      </c>
      <c r="U188" s="279">
        <f>-T188</f>
        <v>-89.149999999999864</v>
      </c>
      <c r="V188" s="212"/>
      <c r="W188" s="213">
        <f>$P$129</f>
        <v>6.2</v>
      </c>
      <c r="X188" s="279">
        <f>-W188</f>
        <v>-6.2</v>
      </c>
      <c r="Y188" s="258"/>
      <c r="Z188" s="217">
        <f>-K188</f>
        <v>996.32999999999993</v>
      </c>
      <c r="AA188" s="277">
        <f>$AE$172</f>
        <v>-374.7500000000004</v>
      </c>
      <c r="AC188" s="218">
        <f>-N188</f>
        <v>48.64</v>
      </c>
      <c r="AD188" s="277">
        <f>-AC188</f>
        <v>-48.64</v>
      </c>
      <c r="AE188" s="217">
        <f>-S188</f>
        <v>2.3000000000000003</v>
      </c>
      <c r="AF188" s="277">
        <f>-AE188</f>
        <v>-2.3000000000000003</v>
      </c>
      <c r="AG188" s="278">
        <f>$Z$163</f>
        <v>15.520000000000003</v>
      </c>
      <c r="AH188" s="277">
        <f>-AG188</f>
        <v>-15.520000000000003</v>
      </c>
      <c r="AI188" s="262" t="s">
        <v>279</v>
      </c>
      <c r="AJ188" s="219"/>
      <c r="AK188" s="3"/>
      <c r="AL188" s="3"/>
      <c r="AM188" s="3"/>
      <c r="AN188" s="3"/>
      <c r="AP188" s="7"/>
    </row>
    <row r="189" spans="1:42" s="28" customFormat="1" ht="13.8" x14ac:dyDescent="0.3">
      <c r="A189" s="435"/>
      <c r="B189" s="86">
        <f t="shared" si="62"/>
        <v>7</v>
      </c>
      <c r="C189" s="167" t="s">
        <v>61</v>
      </c>
      <c r="D189" s="88">
        <f t="shared" si="63"/>
        <v>44997</v>
      </c>
      <c r="E189" s="88"/>
      <c r="F189" s="26">
        <f t="shared" si="58"/>
        <v>6122.5600000000013</v>
      </c>
      <c r="G189" s="89">
        <f t="shared" si="54"/>
        <v>1134.1199999999999</v>
      </c>
      <c r="H189" s="90">
        <f t="shared" si="55"/>
        <v>1003.1300000000001</v>
      </c>
      <c r="I189" s="95"/>
      <c r="J189" s="384"/>
      <c r="K189" s="211"/>
      <c r="L189" s="89">
        <f t="shared" si="56"/>
        <v>41.84</v>
      </c>
      <c r="M189" s="225"/>
      <c r="N189" s="212"/>
      <c r="O189" s="213"/>
      <c r="P189" s="95"/>
      <c r="Q189" s="226"/>
      <c r="R189" s="95"/>
      <c r="S189" s="211"/>
      <c r="T189" s="89">
        <f t="shared" si="57"/>
        <v>89.149999999999864</v>
      </c>
      <c r="U189" s="215"/>
      <c r="V189" s="212"/>
      <c r="W189" s="213"/>
      <c r="X189" s="91"/>
      <c r="Y189" s="263"/>
      <c r="Z189" s="223"/>
      <c r="AA189" s="101"/>
      <c r="AB189" s="101"/>
      <c r="AC189" s="264"/>
      <c r="AD189" s="219"/>
      <c r="AE189" s="223"/>
      <c r="AF189" s="101"/>
      <c r="AG189" s="224"/>
      <c r="AH189" s="95"/>
      <c r="AI189" s="265"/>
      <c r="AJ189" s="219"/>
      <c r="AK189" s="3"/>
      <c r="AL189" s="3"/>
      <c r="AM189" s="3"/>
      <c r="AN189" s="3"/>
      <c r="AP189" s="7"/>
    </row>
    <row r="190" spans="1:42" s="28" customFormat="1" ht="13.8" x14ac:dyDescent="0.3">
      <c r="A190" s="435"/>
      <c r="B190" s="86">
        <f t="shared" si="62"/>
        <v>8</v>
      </c>
      <c r="C190" s="98"/>
      <c r="D190" s="88">
        <f t="shared" si="63"/>
        <v>45028</v>
      </c>
      <c r="E190" s="88"/>
      <c r="F190" s="26">
        <f t="shared" si="58"/>
        <v>5119.4300000000012</v>
      </c>
      <c r="G190" s="89">
        <f t="shared" si="54"/>
        <v>1134.1199999999999</v>
      </c>
      <c r="H190" s="90">
        <f t="shared" si="55"/>
        <v>1009.99</v>
      </c>
      <c r="I190" s="95"/>
      <c r="J190" s="384"/>
      <c r="K190" s="211"/>
      <c r="L190" s="89">
        <f t="shared" si="56"/>
        <v>34.979999999999997</v>
      </c>
      <c r="M190" s="225"/>
      <c r="N190" s="212"/>
      <c r="O190" s="213"/>
      <c r="P190" s="95"/>
      <c r="Q190" s="226"/>
      <c r="R190" s="95"/>
      <c r="S190" s="211"/>
      <c r="T190" s="89">
        <f t="shared" si="57"/>
        <v>89.149999999999864</v>
      </c>
      <c r="U190" s="225"/>
      <c r="V190" s="212"/>
      <c r="W190" s="266"/>
      <c r="X190" s="216"/>
      <c r="Y190" s="258"/>
      <c r="Z190" s="223"/>
      <c r="AA190" s="101"/>
      <c r="AB190" s="101"/>
      <c r="AC190" s="264"/>
      <c r="AD190" s="219"/>
      <c r="AE190" s="223"/>
      <c r="AF190" s="101"/>
      <c r="AG190" s="224"/>
      <c r="AH190" s="95"/>
      <c r="AI190" s="265"/>
      <c r="AJ190" s="219"/>
      <c r="AK190" s="3"/>
      <c r="AL190" s="3"/>
      <c r="AM190" s="3"/>
      <c r="AN190" s="3"/>
      <c r="AP190" s="7"/>
    </row>
    <row r="191" spans="1:42" s="28" customFormat="1" ht="13.8" x14ac:dyDescent="0.3">
      <c r="A191" s="435"/>
      <c r="B191" s="86">
        <f t="shared" si="62"/>
        <v>9</v>
      </c>
      <c r="C191" s="98"/>
      <c r="D191" s="88">
        <f t="shared" si="63"/>
        <v>45058</v>
      </c>
      <c r="E191" s="88"/>
      <c r="F191" s="26">
        <f t="shared" si="58"/>
        <v>4109.4400000000014</v>
      </c>
      <c r="G191" s="89">
        <f t="shared" si="54"/>
        <v>1134.1199999999999</v>
      </c>
      <c r="H191" s="90">
        <f t="shared" si="55"/>
        <v>1016.8900000000001</v>
      </c>
      <c r="I191" s="95"/>
      <c r="J191" s="384"/>
      <c r="K191" s="211"/>
      <c r="L191" s="89">
        <f t="shared" si="56"/>
        <v>28.08</v>
      </c>
      <c r="M191" s="225"/>
      <c r="N191" s="212"/>
      <c r="O191" s="213"/>
      <c r="P191" s="95"/>
      <c r="Q191" s="226"/>
      <c r="R191" s="95"/>
      <c r="S191" s="211"/>
      <c r="T191" s="89">
        <f t="shared" si="57"/>
        <v>89.149999999999864</v>
      </c>
      <c r="U191" s="225"/>
      <c r="V191" s="212"/>
      <c r="W191" s="213"/>
      <c r="X191" s="91"/>
      <c r="Y191" s="263"/>
      <c r="Z191" s="223"/>
      <c r="AA191" s="101"/>
      <c r="AB191" s="101"/>
      <c r="AC191" s="264"/>
      <c r="AD191" s="219"/>
      <c r="AE191" s="223"/>
      <c r="AF191" s="101"/>
      <c r="AG191" s="224"/>
      <c r="AH191" s="95"/>
      <c r="AI191" s="265"/>
      <c r="AJ191" s="219"/>
      <c r="AK191" s="3"/>
      <c r="AL191" s="3"/>
      <c r="AM191" s="3"/>
      <c r="AN191" s="3"/>
      <c r="AP191" s="7"/>
    </row>
    <row r="192" spans="1:42" s="28" customFormat="1" ht="13.8" x14ac:dyDescent="0.3">
      <c r="A192" s="435"/>
      <c r="B192" s="86">
        <f t="shared" si="62"/>
        <v>10</v>
      </c>
      <c r="C192" s="98"/>
      <c r="D192" s="88">
        <f t="shared" si="63"/>
        <v>45089</v>
      </c>
      <c r="E192" s="88"/>
      <c r="F192" s="26">
        <f t="shared" si="58"/>
        <v>3092.5500000000011</v>
      </c>
      <c r="G192" s="89">
        <f t="shared" si="54"/>
        <v>1134.1199999999999</v>
      </c>
      <c r="H192" s="90">
        <f t="shared" si="55"/>
        <v>1023.8399999999999</v>
      </c>
      <c r="I192" s="95"/>
      <c r="J192" s="384"/>
      <c r="K192" s="211"/>
      <c r="L192" s="89">
        <f t="shared" si="56"/>
        <v>21.13</v>
      </c>
      <c r="M192" s="225"/>
      <c r="N192" s="212"/>
      <c r="O192" s="213"/>
      <c r="P192" s="95"/>
      <c r="Q192" s="226"/>
      <c r="R192" s="95"/>
      <c r="S192" s="211"/>
      <c r="T192" s="89">
        <f t="shared" si="57"/>
        <v>89.149999999999864</v>
      </c>
      <c r="U192" s="225"/>
      <c r="V192" s="212"/>
      <c r="W192" s="266"/>
      <c r="X192" s="216"/>
      <c r="Y192" s="258"/>
      <c r="Z192" s="223"/>
      <c r="AA192" s="101"/>
      <c r="AB192" s="101"/>
      <c r="AC192" s="264"/>
      <c r="AD192" s="219"/>
      <c r="AE192" s="223"/>
      <c r="AF192" s="101"/>
      <c r="AG192" s="224"/>
      <c r="AH192" s="95"/>
      <c r="AI192" s="265"/>
      <c r="AJ192" s="219"/>
      <c r="AK192" s="3"/>
      <c r="AL192" s="3"/>
      <c r="AM192" s="3"/>
      <c r="AN192" s="3"/>
      <c r="AP192" s="7"/>
    </row>
    <row r="193" spans="1:42" s="28" customFormat="1" ht="13.8" x14ac:dyDescent="0.3">
      <c r="A193" s="435"/>
      <c r="B193" s="86">
        <f t="shared" si="62"/>
        <v>11</v>
      </c>
      <c r="C193" s="98"/>
      <c r="D193" s="88">
        <f t="shared" si="63"/>
        <v>45119</v>
      </c>
      <c r="E193" s="88"/>
      <c r="F193" s="26">
        <f t="shared" si="58"/>
        <v>2068.7100000000009</v>
      </c>
      <c r="G193" s="89">
        <f t="shared" si="54"/>
        <v>1134.1199999999999</v>
      </c>
      <c r="H193" s="90">
        <f t="shared" si="55"/>
        <v>1030.83</v>
      </c>
      <c r="I193" s="95"/>
      <c r="J193" s="384"/>
      <c r="K193" s="211"/>
      <c r="L193" s="89">
        <f t="shared" si="56"/>
        <v>14.14</v>
      </c>
      <c r="M193" s="225"/>
      <c r="N193" s="212"/>
      <c r="O193" s="213"/>
      <c r="P193" s="95"/>
      <c r="Q193" s="226"/>
      <c r="R193" s="95"/>
      <c r="S193" s="211"/>
      <c r="T193" s="89">
        <f t="shared" si="57"/>
        <v>89.149999999999864</v>
      </c>
      <c r="U193" s="225"/>
      <c r="V193" s="212"/>
      <c r="W193" s="213"/>
      <c r="X193" s="91"/>
      <c r="Y193" s="263"/>
      <c r="Z193" s="223"/>
      <c r="AA193" s="101"/>
      <c r="AB193" s="101"/>
      <c r="AC193" s="264"/>
      <c r="AD193" s="219"/>
      <c r="AE193" s="223"/>
      <c r="AF193" s="101"/>
      <c r="AG193" s="224"/>
      <c r="AH193" s="95"/>
      <c r="AI193" s="265"/>
      <c r="AJ193" s="219"/>
      <c r="AK193" s="3"/>
      <c r="AL193" s="3"/>
      <c r="AM193" s="3"/>
      <c r="AN193" s="3"/>
      <c r="AP193" s="7"/>
    </row>
    <row r="194" spans="1:42" s="28" customFormat="1" ht="14.4" thickBot="1" x14ac:dyDescent="0.35">
      <c r="A194" s="435"/>
      <c r="B194" s="104">
        <f t="shared" si="62"/>
        <v>12</v>
      </c>
      <c r="C194" s="227"/>
      <c r="D194" s="106">
        <f t="shared" si="63"/>
        <v>45150</v>
      </c>
      <c r="E194" s="106"/>
      <c r="F194" s="31">
        <f t="shared" si="58"/>
        <v>1037.880000000001</v>
      </c>
      <c r="G194" s="107">
        <f t="shared" si="54"/>
        <v>1134.1199999999999</v>
      </c>
      <c r="H194" s="108">
        <f t="shared" si="55"/>
        <v>1037.8800000000001</v>
      </c>
      <c r="I194" s="109"/>
      <c r="J194" s="385"/>
      <c r="K194" s="228"/>
      <c r="L194" s="107">
        <f t="shared" si="56"/>
        <v>7.09</v>
      </c>
      <c r="M194" s="229"/>
      <c r="N194" s="230"/>
      <c r="O194" s="231"/>
      <c r="P194" s="109"/>
      <c r="Q194" s="232"/>
      <c r="R194" s="109"/>
      <c r="S194" s="228"/>
      <c r="T194" s="107">
        <f t="shared" si="57"/>
        <v>89.149999999999864</v>
      </c>
      <c r="U194" s="229"/>
      <c r="V194" s="230"/>
      <c r="W194" s="231"/>
      <c r="X194" s="233"/>
      <c r="Y194" s="228"/>
      <c r="Z194" s="234"/>
      <c r="AA194" s="111"/>
      <c r="AB194" s="111"/>
      <c r="AC194" s="235"/>
      <c r="AD194" s="236"/>
      <c r="AE194" s="234"/>
      <c r="AF194" s="111"/>
      <c r="AG194" s="267"/>
      <c r="AH194" s="109"/>
      <c r="AI194" s="268"/>
      <c r="AJ194" s="236"/>
      <c r="AK194" s="3"/>
      <c r="AL194" s="3"/>
      <c r="AM194" s="3"/>
      <c r="AN194" s="3"/>
      <c r="AP194" s="7"/>
    </row>
    <row r="195" spans="1:42" s="28" customFormat="1" ht="16.2" thickBot="1" x14ac:dyDescent="0.35">
      <c r="A195" s="390"/>
      <c r="B195" s="23"/>
      <c r="D195" s="188"/>
      <c r="E195" s="119"/>
      <c r="G195" s="142"/>
      <c r="H195" s="142"/>
      <c r="I195" s="142"/>
      <c r="J195" s="142"/>
      <c r="K195" s="142"/>
      <c r="L195" s="143"/>
      <c r="N195" s="189"/>
      <c r="O195" s="142"/>
      <c r="P195" s="142"/>
      <c r="Q195" s="142"/>
      <c r="R195" s="142"/>
      <c r="S195" s="142"/>
      <c r="T195" s="248"/>
      <c r="U195" s="249"/>
      <c r="V195" s="189"/>
      <c r="W195" s="189"/>
      <c r="X195" s="142"/>
      <c r="Y195" s="118"/>
      <c r="Z195" s="248"/>
      <c r="AA195" s="142"/>
      <c r="AB195" s="142"/>
      <c r="AC195" s="248"/>
      <c r="AD195" s="248"/>
      <c r="AF195" s="3"/>
      <c r="AG195" s="3"/>
      <c r="AH195" s="3"/>
      <c r="AI195" s="3"/>
      <c r="AJ195" s="3"/>
      <c r="AK195" s="3"/>
    </row>
    <row r="196" spans="1:42" s="28" customFormat="1" ht="15" customHeight="1" x14ac:dyDescent="0.3">
      <c r="A196" s="435" t="s">
        <v>269</v>
      </c>
      <c r="B196" s="5" t="s">
        <v>21</v>
      </c>
      <c r="C196" s="6" t="s">
        <v>22</v>
      </c>
      <c r="D196" s="34" t="s">
        <v>23</v>
      </c>
      <c r="E196" s="6" t="s">
        <v>24</v>
      </c>
      <c r="F196" s="35"/>
      <c r="G196" s="430" t="s">
        <v>25</v>
      </c>
      <c r="H196" s="431"/>
      <c r="I196" s="431"/>
      <c r="J196" s="431"/>
      <c r="K196" s="35"/>
      <c r="L196" s="430" t="s">
        <v>26</v>
      </c>
      <c r="M196" s="431"/>
      <c r="N196" s="431"/>
      <c r="O196" s="431"/>
      <c r="P196" s="432"/>
      <c r="Q196" s="430" t="s">
        <v>66</v>
      </c>
      <c r="R196" s="431"/>
      <c r="S196" s="431"/>
      <c r="T196" s="431"/>
      <c r="U196" s="431"/>
      <c r="V196" s="431"/>
      <c r="W196" s="431"/>
      <c r="X196" s="431"/>
      <c r="Y196" s="431"/>
      <c r="Z196" s="432"/>
      <c r="AA196" s="430" t="s">
        <v>174</v>
      </c>
      <c r="AB196" s="431"/>
      <c r="AC196" s="431"/>
      <c r="AD196" s="431"/>
      <c r="AE196" s="431"/>
      <c r="AF196" s="431"/>
      <c r="AG196" s="432"/>
      <c r="AH196" s="3"/>
      <c r="AI196" s="3"/>
      <c r="AJ196" s="3"/>
      <c r="AK196" s="3"/>
      <c r="AL196" s="12"/>
      <c r="AM196" s="7"/>
    </row>
    <row r="197" spans="1:42" s="7" customFormat="1" ht="15" customHeight="1" x14ac:dyDescent="0.3">
      <c r="A197" s="435"/>
      <c r="B197" s="37">
        <v>7.7</v>
      </c>
      <c r="C197" s="45"/>
      <c r="D197" s="39">
        <v>45003</v>
      </c>
      <c r="E197" s="124">
        <v>0</v>
      </c>
      <c r="F197" s="41"/>
      <c r="G197" s="129" t="s">
        <v>54</v>
      </c>
      <c r="H197" s="45"/>
      <c r="I197" s="45"/>
      <c r="J197" s="131">
        <f>ROUND($H$189*$I$6,2)</f>
        <v>0.23</v>
      </c>
      <c r="K197" s="433">
        <f>SUM(J175:J179,J197:J201)</f>
        <v>2.3000000000000003</v>
      </c>
      <c r="L197" s="129" t="s">
        <v>55</v>
      </c>
      <c r="M197" s="45"/>
      <c r="N197" s="127"/>
      <c r="O197" s="131">
        <f>ROUND($H$189*$I$7,2)</f>
        <v>0.62</v>
      </c>
      <c r="P197" s="433">
        <f>SUM(O175:O179,O197:O201)</f>
        <v>6.2</v>
      </c>
      <c r="Q197" s="129"/>
      <c r="R197" s="45"/>
      <c r="S197" s="45"/>
      <c r="T197" s="131"/>
      <c r="U197" s="275"/>
      <c r="V197" s="128" t="s">
        <v>243</v>
      </c>
      <c r="W197" s="128"/>
      <c r="X197" s="45"/>
      <c r="Y197" s="131">
        <f>ROUND(($Z$188+$AA$188)*$I$8,2)</f>
        <v>0.6</v>
      </c>
      <c r="Z197" s="433">
        <f>SUM(Y197:Y201,Y173:Y179)</f>
        <v>7.1999999999999984</v>
      </c>
      <c r="AA197" s="176"/>
      <c r="AB197" s="127"/>
      <c r="AC197" s="127"/>
      <c r="AD197" s="127"/>
      <c r="AE197" s="127"/>
      <c r="AF197" s="127"/>
      <c r="AG197" s="41"/>
      <c r="AH197" s="3"/>
      <c r="AI197" s="280" t="s">
        <v>175</v>
      </c>
      <c r="AJ197" s="280"/>
      <c r="AK197" s="3"/>
      <c r="AL197" s="12"/>
    </row>
    <row r="198" spans="1:42" s="7" customFormat="1" ht="13.8" x14ac:dyDescent="0.3">
      <c r="A198" s="435"/>
      <c r="B198" s="37">
        <v>7.8</v>
      </c>
      <c r="C198" s="45"/>
      <c r="D198" s="39">
        <v>45004</v>
      </c>
      <c r="E198" s="124">
        <v>0</v>
      </c>
      <c r="F198" s="41"/>
      <c r="G198" s="129" t="s">
        <v>80</v>
      </c>
      <c r="H198" s="45"/>
      <c r="I198" s="45"/>
      <c r="J198" s="131">
        <f>ROUND($H$189*$I$6,2)</f>
        <v>0.23</v>
      </c>
      <c r="K198" s="433"/>
      <c r="L198" s="129" t="s">
        <v>81</v>
      </c>
      <c r="M198" s="45"/>
      <c r="N198" s="127"/>
      <c r="O198" s="131">
        <f>ROUND($H$189*$I$7,2)</f>
        <v>0.62</v>
      </c>
      <c r="P198" s="433"/>
      <c r="Q198" s="129"/>
      <c r="R198" s="45"/>
      <c r="S198" s="45"/>
      <c r="T198" s="131"/>
      <c r="U198" s="275"/>
      <c r="V198" s="128" t="s">
        <v>244</v>
      </c>
      <c r="W198" s="128"/>
      <c r="X198" s="45"/>
      <c r="Y198" s="131">
        <f>ROUND(($Z$188+$AA$188)*$I$8,2)</f>
        <v>0.6</v>
      </c>
      <c r="Z198" s="433"/>
      <c r="AA198" s="176"/>
      <c r="AB198" s="127"/>
      <c r="AC198" s="127"/>
      <c r="AD198" s="127"/>
      <c r="AE198" s="127"/>
      <c r="AF198" s="127"/>
      <c r="AG198" s="41"/>
      <c r="AH198" s="3"/>
      <c r="AI198" s="115">
        <v>1</v>
      </c>
      <c r="AJ198" s="254" t="s">
        <v>176</v>
      </c>
      <c r="AK198" s="3"/>
      <c r="AL198" s="12"/>
    </row>
    <row r="199" spans="1:42" s="7" customFormat="1" ht="13.8" x14ac:dyDescent="0.3">
      <c r="A199" s="435"/>
      <c r="B199" s="37">
        <v>7.9</v>
      </c>
      <c r="C199" s="45"/>
      <c r="D199" s="39">
        <v>45005</v>
      </c>
      <c r="E199" s="124">
        <v>0</v>
      </c>
      <c r="F199" s="41"/>
      <c r="G199" s="129" t="s">
        <v>84</v>
      </c>
      <c r="H199" s="45"/>
      <c r="I199" s="45"/>
      <c r="J199" s="131">
        <f>ROUND($H$189*$I$6,2)</f>
        <v>0.23</v>
      </c>
      <c r="K199" s="433"/>
      <c r="L199" s="129" t="s">
        <v>85</v>
      </c>
      <c r="M199" s="45"/>
      <c r="N199" s="127"/>
      <c r="O199" s="131">
        <f>ROUND($H$189*$I$7,2)</f>
        <v>0.62</v>
      </c>
      <c r="P199" s="433"/>
      <c r="Q199" s="129"/>
      <c r="R199" s="45"/>
      <c r="S199" s="45"/>
      <c r="T199" s="131"/>
      <c r="U199" s="275"/>
      <c r="V199" s="128" t="s">
        <v>245</v>
      </c>
      <c r="W199" s="128"/>
      <c r="X199" s="45"/>
      <c r="Y199" s="131">
        <f>ROUND(($Z$188+$AA$188)*$I$8,2)</f>
        <v>0.6</v>
      </c>
      <c r="Z199" s="433"/>
      <c r="AA199" s="176"/>
      <c r="AB199" s="127"/>
      <c r="AC199" s="127"/>
      <c r="AD199" s="127"/>
      <c r="AE199" s="127"/>
      <c r="AF199" s="127"/>
      <c r="AG199" s="41"/>
      <c r="AH199" s="3"/>
      <c r="AI199" s="115">
        <v>2</v>
      </c>
      <c r="AJ199" s="254" t="s">
        <v>177</v>
      </c>
      <c r="AK199" s="3"/>
      <c r="AL199" s="12"/>
    </row>
    <row r="200" spans="1:42" s="7" customFormat="1" ht="13.8" x14ac:dyDescent="0.3">
      <c r="A200" s="435"/>
      <c r="B200" s="173" t="s">
        <v>178</v>
      </c>
      <c r="C200" s="45"/>
      <c r="D200" s="39">
        <v>45006</v>
      </c>
      <c r="E200" s="124">
        <v>0</v>
      </c>
      <c r="F200" s="41"/>
      <c r="G200" s="129" t="s">
        <v>136</v>
      </c>
      <c r="H200" s="45"/>
      <c r="I200" s="45"/>
      <c r="J200" s="131">
        <f>ROUND($H$189*$I$6,2)</f>
        <v>0.23</v>
      </c>
      <c r="K200" s="433"/>
      <c r="L200" s="129" t="s">
        <v>137</v>
      </c>
      <c r="M200" s="45"/>
      <c r="N200" s="127"/>
      <c r="O200" s="131">
        <f>ROUND($H$189*$I$7,2)</f>
        <v>0.62</v>
      </c>
      <c r="P200" s="433"/>
      <c r="Q200" s="129"/>
      <c r="R200" s="45"/>
      <c r="S200" s="45"/>
      <c r="T200" s="131"/>
      <c r="U200" s="275"/>
      <c r="V200" s="128" t="s">
        <v>246</v>
      </c>
      <c r="W200" s="45"/>
      <c r="X200" s="45"/>
      <c r="Y200" s="131">
        <f>ROUND(($Z$188+$AA$188)*$I$8,2)</f>
        <v>0.6</v>
      </c>
      <c r="Z200" s="433"/>
      <c r="AA200" s="176"/>
      <c r="AB200" s="127"/>
      <c r="AC200" s="127"/>
      <c r="AD200" s="127"/>
      <c r="AE200" s="127"/>
      <c r="AF200" s="127"/>
      <c r="AG200" s="41"/>
      <c r="AH200" s="3"/>
      <c r="AI200" s="115">
        <v>3</v>
      </c>
      <c r="AJ200" s="254" t="s">
        <v>179</v>
      </c>
      <c r="AK200" s="3"/>
      <c r="AL200" s="12"/>
    </row>
    <row r="201" spans="1:42" s="7" customFormat="1" ht="13.8" x14ac:dyDescent="0.3">
      <c r="A201" s="435"/>
      <c r="B201" s="37">
        <v>7.11</v>
      </c>
      <c r="C201" s="45" t="s">
        <v>83</v>
      </c>
      <c r="D201" s="39">
        <v>45007</v>
      </c>
      <c r="E201" s="180">
        <f>-SUM(J222,M222:N222,S222,V222,Y222)</f>
        <v>6721.7594368</v>
      </c>
      <c r="F201" s="41"/>
      <c r="G201" s="129" t="s">
        <v>140</v>
      </c>
      <c r="H201" s="45"/>
      <c r="I201" s="45"/>
      <c r="J201" s="131">
        <f>ROUND($H$189*$I$6,2)</f>
        <v>0.23</v>
      </c>
      <c r="K201" s="434"/>
      <c r="L201" s="129" t="s">
        <v>141</v>
      </c>
      <c r="M201" s="45"/>
      <c r="N201" s="127"/>
      <c r="O201" s="131">
        <f>ROUND($H$189*$I$7,2)</f>
        <v>0.62</v>
      </c>
      <c r="P201" s="434"/>
      <c r="Q201" s="129"/>
      <c r="R201" s="45"/>
      <c r="S201" s="45"/>
      <c r="T201" s="131"/>
      <c r="U201" s="275"/>
      <c r="V201" s="128" t="s">
        <v>247</v>
      </c>
      <c r="W201" s="45"/>
      <c r="X201" s="45"/>
      <c r="Y201" s="131">
        <f>ROUND(($Z$188+$AA$188)*$I$8,2)</f>
        <v>0.6</v>
      </c>
      <c r="Z201" s="434"/>
      <c r="AA201" s="176"/>
      <c r="AB201" s="127"/>
      <c r="AC201" s="127"/>
      <c r="AD201" s="127"/>
      <c r="AE201" s="127"/>
      <c r="AF201" s="127"/>
      <c r="AG201" s="41"/>
      <c r="AH201" s="3"/>
      <c r="AI201" s="115">
        <v>4</v>
      </c>
      <c r="AJ201" s="254" t="s">
        <v>180</v>
      </c>
      <c r="AK201" s="3"/>
      <c r="AL201" s="12"/>
    </row>
    <row r="202" spans="1:42" s="7" customFormat="1" ht="13.8" x14ac:dyDescent="0.3">
      <c r="A202" s="435"/>
      <c r="B202" s="121">
        <v>7.12</v>
      </c>
      <c r="C202" s="281"/>
      <c r="D202" s="39">
        <v>45008</v>
      </c>
      <c r="E202" s="124">
        <v>0</v>
      </c>
      <c r="F202" s="41"/>
      <c r="G202" s="129"/>
      <c r="H202" s="45"/>
      <c r="I202" s="45"/>
      <c r="J202" s="131"/>
      <c r="K202" s="282"/>
      <c r="L202" s="129"/>
      <c r="M202" s="45"/>
      <c r="N202" s="127"/>
      <c r="O202" s="131"/>
      <c r="P202" s="282"/>
      <c r="Q202" s="129"/>
      <c r="R202" s="45"/>
      <c r="S202" s="45"/>
      <c r="T202" s="131"/>
      <c r="U202" s="275"/>
      <c r="V202" s="128"/>
      <c r="W202" s="45"/>
      <c r="X202" s="45"/>
      <c r="Y202" s="131"/>
      <c r="Z202" s="283"/>
      <c r="AA202" s="129" t="s">
        <v>181</v>
      </c>
      <c r="AB202" s="127" t="s">
        <v>280</v>
      </c>
      <c r="AC202" s="127"/>
      <c r="AD202" s="127"/>
      <c r="AE202" s="127"/>
      <c r="AF202" s="127">
        <f t="shared" ref="AF202:AF212" si="64">ROUND(((SUM($Z$221:$AJ$221)+SUM($Z$222:$AN$222))*$I$9),2)</f>
        <v>7.13</v>
      </c>
      <c r="AG202" s="41"/>
      <c r="AH202" s="3"/>
      <c r="AI202" s="115">
        <v>5</v>
      </c>
      <c r="AJ202" s="254" t="s">
        <v>182</v>
      </c>
      <c r="AK202" s="3"/>
      <c r="AL202" s="12"/>
    </row>
    <row r="203" spans="1:42" s="7" customFormat="1" ht="13.8" x14ac:dyDescent="0.3">
      <c r="A203" s="435"/>
      <c r="B203" s="121">
        <v>7.13</v>
      </c>
      <c r="C203" s="281"/>
      <c r="D203" s="39">
        <v>45009</v>
      </c>
      <c r="E203" s="124">
        <v>0</v>
      </c>
      <c r="F203" s="41"/>
      <c r="G203" s="129"/>
      <c r="H203" s="45"/>
      <c r="I203" s="45"/>
      <c r="J203" s="131"/>
      <c r="K203" s="282"/>
      <c r="L203" s="129"/>
      <c r="M203" s="45"/>
      <c r="N203" s="127"/>
      <c r="O203" s="131"/>
      <c r="P203" s="282"/>
      <c r="Q203" s="129"/>
      <c r="R203" s="45"/>
      <c r="S203" s="45"/>
      <c r="T203" s="131"/>
      <c r="U203" s="275"/>
      <c r="V203" s="128"/>
      <c r="W203" s="45"/>
      <c r="X203" s="45"/>
      <c r="Y203" s="131"/>
      <c r="Z203" s="283"/>
      <c r="AA203" s="129" t="s">
        <v>183</v>
      </c>
      <c r="AB203" s="127"/>
      <c r="AC203" s="127"/>
      <c r="AD203" s="127"/>
      <c r="AE203" s="127"/>
      <c r="AF203" s="127">
        <f t="shared" si="64"/>
        <v>7.13</v>
      </c>
      <c r="AG203" s="41"/>
      <c r="AH203" s="3"/>
      <c r="AI203" s="23">
        <v>6</v>
      </c>
      <c r="AJ203" s="7" t="s">
        <v>130</v>
      </c>
      <c r="AK203" s="3"/>
      <c r="AL203" s="12"/>
    </row>
    <row r="204" spans="1:42" s="7" customFormat="1" ht="13.8" x14ac:dyDescent="0.3">
      <c r="A204" s="435"/>
      <c r="B204" s="121">
        <v>7.14</v>
      </c>
      <c r="C204" s="281"/>
      <c r="D204" s="39">
        <v>45010</v>
      </c>
      <c r="E204" s="124">
        <v>0</v>
      </c>
      <c r="F204" s="41"/>
      <c r="G204" s="129"/>
      <c r="H204" s="45"/>
      <c r="I204" s="45"/>
      <c r="J204" s="131"/>
      <c r="K204" s="282"/>
      <c r="L204" s="129"/>
      <c r="M204" s="45"/>
      <c r="N204" s="127"/>
      <c r="O204" s="131"/>
      <c r="P204" s="282"/>
      <c r="Q204" s="129"/>
      <c r="R204" s="45"/>
      <c r="S204" s="45"/>
      <c r="T204" s="131"/>
      <c r="U204" s="275"/>
      <c r="V204" s="128"/>
      <c r="W204" s="45"/>
      <c r="X204" s="45"/>
      <c r="Y204" s="131"/>
      <c r="Z204" s="283"/>
      <c r="AA204" s="129" t="s">
        <v>184</v>
      </c>
      <c r="AB204" s="127"/>
      <c r="AC204" s="127"/>
      <c r="AD204" s="127"/>
      <c r="AE204" s="127"/>
      <c r="AF204" s="127">
        <f t="shared" si="64"/>
        <v>7.13</v>
      </c>
      <c r="AG204" s="41"/>
      <c r="AH204" s="3"/>
      <c r="AI204" s="23">
        <v>7</v>
      </c>
      <c r="AJ204" s="7" t="s">
        <v>132</v>
      </c>
      <c r="AK204" s="3"/>
      <c r="AL204" s="12"/>
    </row>
    <row r="205" spans="1:42" s="7" customFormat="1" ht="13.8" x14ac:dyDescent="0.3">
      <c r="A205" s="435"/>
      <c r="B205" s="121">
        <v>7.15</v>
      </c>
      <c r="C205" s="281"/>
      <c r="D205" s="39">
        <v>45011</v>
      </c>
      <c r="E205" s="124">
        <v>0</v>
      </c>
      <c r="F205" s="41"/>
      <c r="G205" s="129"/>
      <c r="H205" s="45"/>
      <c r="I205" s="45"/>
      <c r="J205" s="131"/>
      <c r="K205" s="282"/>
      <c r="L205" s="129"/>
      <c r="M205" s="45"/>
      <c r="N205" s="127"/>
      <c r="O205" s="131"/>
      <c r="P205" s="282"/>
      <c r="Q205" s="129"/>
      <c r="R205" s="45"/>
      <c r="S205" s="45"/>
      <c r="T205" s="131"/>
      <c r="U205" s="275"/>
      <c r="V205" s="128"/>
      <c r="W205" s="45"/>
      <c r="X205" s="45"/>
      <c r="Y205" s="131"/>
      <c r="Z205" s="283"/>
      <c r="AA205" s="129" t="s">
        <v>185</v>
      </c>
      <c r="AB205" s="127"/>
      <c r="AC205" s="127"/>
      <c r="AD205" s="127"/>
      <c r="AE205" s="127"/>
      <c r="AF205" s="127">
        <f t="shared" si="64"/>
        <v>7.13</v>
      </c>
      <c r="AG205" s="41"/>
      <c r="AH205" s="3"/>
      <c r="AI205" s="23">
        <v>8</v>
      </c>
      <c r="AJ205" s="7" t="s">
        <v>63</v>
      </c>
      <c r="AK205" s="3"/>
      <c r="AL205" s="12"/>
    </row>
    <row r="206" spans="1:42" s="7" customFormat="1" ht="13.8" x14ac:dyDescent="0.3">
      <c r="A206" s="435"/>
      <c r="B206" s="121">
        <v>7.16</v>
      </c>
      <c r="C206" s="281"/>
      <c r="D206" s="39">
        <v>45012</v>
      </c>
      <c r="E206" s="124">
        <v>0</v>
      </c>
      <c r="F206" s="41"/>
      <c r="G206" s="129"/>
      <c r="H206" s="45"/>
      <c r="I206" s="45"/>
      <c r="J206" s="131"/>
      <c r="K206" s="282"/>
      <c r="L206" s="129"/>
      <c r="M206" s="45"/>
      <c r="N206" s="127"/>
      <c r="O206" s="131"/>
      <c r="P206" s="282"/>
      <c r="Q206" s="129"/>
      <c r="R206" s="45"/>
      <c r="S206" s="45"/>
      <c r="T206" s="131"/>
      <c r="U206" s="275"/>
      <c r="V206" s="128"/>
      <c r="W206" s="45"/>
      <c r="X206" s="45"/>
      <c r="Y206" s="131"/>
      <c r="Z206" s="283"/>
      <c r="AA206" s="129" t="s">
        <v>186</v>
      </c>
      <c r="AB206" s="127"/>
      <c r="AC206" s="127"/>
      <c r="AD206" s="127"/>
      <c r="AE206" s="127"/>
      <c r="AF206" s="127">
        <f t="shared" si="64"/>
        <v>7.13</v>
      </c>
      <c r="AG206" s="41"/>
      <c r="AH206" s="3"/>
      <c r="AI206" s="23">
        <v>9</v>
      </c>
      <c r="AJ206" s="7" t="s">
        <v>64</v>
      </c>
      <c r="AK206" s="3"/>
      <c r="AL206" s="12"/>
    </row>
    <row r="207" spans="1:42" s="7" customFormat="1" ht="13.8" x14ac:dyDescent="0.3">
      <c r="A207" s="435"/>
      <c r="B207" s="121">
        <v>7.17</v>
      </c>
      <c r="C207" s="281"/>
      <c r="D207" s="39">
        <v>45013</v>
      </c>
      <c r="E207" s="124">
        <v>0</v>
      </c>
      <c r="F207" s="41"/>
      <c r="G207" s="129"/>
      <c r="H207" s="45"/>
      <c r="I207" s="45"/>
      <c r="J207" s="131"/>
      <c r="K207" s="282"/>
      <c r="L207" s="129"/>
      <c r="M207" s="45"/>
      <c r="N207" s="127"/>
      <c r="O207" s="131"/>
      <c r="P207" s="282"/>
      <c r="Q207" s="129"/>
      <c r="R207" s="45"/>
      <c r="S207" s="45"/>
      <c r="T207" s="131"/>
      <c r="U207" s="275"/>
      <c r="V207" s="128"/>
      <c r="W207" s="45"/>
      <c r="X207" s="45"/>
      <c r="Y207" s="131"/>
      <c r="Z207" s="283"/>
      <c r="AA207" s="129" t="s">
        <v>187</v>
      </c>
      <c r="AB207" s="127"/>
      <c r="AC207" s="127"/>
      <c r="AD207" s="127"/>
      <c r="AE207" s="127"/>
      <c r="AF207" s="127">
        <f t="shared" si="64"/>
        <v>7.13</v>
      </c>
      <c r="AG207" s="41"/>
      <c r="AH207" s="3"/>
      <c r="AI207" s="23">
        <v>10</v>
      </c>
      <c r="AJ207" s="7" t="s">
        <v>188</v>
      </c>
      <c r="AK207" s="3"/>
      <c r="AL207" s="12"/>
    </row>
    <row r="208" spans="1:42" s="7" customFormat="1" ht="13.8" x14ac:dyDescent="0.3">
      <c r="A208" s="435"/>
      <c r="B208" s="121">
        <v>7.18</v>
      </c>
      <c r="C208" s="281"/>
      <c r="D208" s="39">
        <v>45014</v>
      </c>
      <c r="E208" s="124">
        <v>0</v>
      </c>
      <c r="F208" s="41"/>
      <c r="G208" s="129"/>
      <c r="H208" s="45"/>
      <c r="I208" s="45"/>
      <c r="J208" s="131"/>
      <c r="K208" s="282"/>
      <c r="L208" s="129"/>
      <c r="M208" s="45"/>
      <c r="N208" s="127"/>
      <c r="O208" s="131"/>
      <c r="P208" s="282"/>
      <c r="Q208" s="129"/>
      <c r="R208" s="45"/>
      <c r="S208" s="45"/>
      <c r="T208" s="131"/>
      <c r="U208" s="275"/>
      <c r="V208" s="128"/>
      <c r="W208" s="45"/>
      <c r="X208" s="45"/>
      <c r="Y208" s="131"/>
      <c r="Z208" s="283"/>
      <c r="AA208" s="129" t="s">
        <v>189</v>
      </c>
      <c r="AB208" s="127"/>
      <c r="AC208" s="127"/>
      <c r="AD208" s="127"/>
      <c r="AE208" s="127"/>
      <c r="AF208" s="127">
        <f t="shared" si="64"/>
        <v>7.13</v>
      </c>
      <c r="AG208" s="41"/>
      <c r="AH208" s="3"/>
      <c r="AI208" s="23">
        <v>11</v>
      </c>
      <c r="AJ208" s="7" t="s">
        <v>190</v>
      </c>
      <c r="AK208" s="3"/>
      <c r="AL208" s="12"/>
      <c r="AN208" s="285"/>
    </row>
    <row r="209" spans="1:42" s="7" customFormat="1" ht="13.8" x14ac:dyDescent="0.3">
      <c r="A209" s="435"/>
      <c r="B209" s="121">
        <v>7.19</v>
      </c>
      <c r="C209" s="281"/>
      <c r="D209" s="39">
        <v>45015</v>
      </c>
      <c r="E209" s="124">
        <v>0</v>
      </c>
      <c r="F209" s="41"/>
      <c r="G209" s="129"/>
      <c r="H209" s="45"/>
      <c r="I209" s="45"/>
      <c r="J209" s="131"/>
      <c r="K209" s="282"/>
      <c r="L209" s="129"/>
      <c r="M209" s="45"/>
      <c r="N209" s="127"/>
      <c r="O209" s="131"/>
      <c r="P209" s="282"/>
      <c r="Q209" s="129"/>
      <c r="R209" s="45"/>
      <c r="S209" s="45"/>
      <c r="T209" s="131"/>
      <c r="U209" s="275"/>
      <c r="V209" s="128"/>
      <c r="W209" s="45"/>
      <c r="X209" s="45"/>
      <c r="Y209" s="131"/>
      <c r="Z209" s="283"/>
      <c r="AA209" s="129" t="s">
        <v>191</v>
      </c>
      <c r="AB209" s="127"/>
      <c r="AC209" s="127"/>
      <c r="AD209" s="127"/>
      <c r="AE209" s="127"/>
      <c r="AF209" s="127">
        <f t="shared" si="64"/>
        <v>7.13</v>
      </c>
      <c r="AG209" s="41"/>
      <c r="AH209" s="3"/>
      <c r="AI209" s="23">
        <v>12</v>
      </c>
      <c r="AJ209" s="7" t="s">
        <v>138</v>
      </c>
      <c r="AK209" s="3"/>
      <c r="AL209" s="12"/>
    </row>
    <row r="210" spans="1:42" s="7" customFormat="1" ht="13.8" x14ac:dyDescent="0.3">
      <c r="A210" s="435"/>
      <c r="B210" s="284" t="s">
        <v>192</v>
      </c>
      <c r="C210" s="281"/>
      <c r="D210" s="39">
        <v>45016</v>
      </c>
      <c r="E210" s="124">
        <v>0</v>
      </c>
      <c r="F210" s="41"/>
      <c r="G210" s="129"/>
      <c r="H210" s="45"/>
      <c r="I210" s="45"/>
      <c r="J210" s="131"/>
      <c r="K210" s="282"/>
      <c r="L210" s="129"/>
      <c r="M210" s="45"/>
      <c r="N210" s="127"/>
      <c r="O210" s="131"/>
      <c r="P210" s="282"/>
      <c r="Q210" s="129"/>
      <c r="R210" s="45"/>
      <c r="S210" s="45"/>
      <c r="T210" s="131"/>
      <c r="U210" s="275"/>
      <c r="V210" s="128"/>
      <c r="W210" s="45"/>
      <c r="X210" s="45"/>
      <c r="Y210" s="131"/>
      <c r="Z210" s="283"/>
      <c r="AA210" s="129" t="s">
        <v>193</v>
      </c>
      <c r="AB210" s="127"/>
      <c r="AC210" s="127"/>
      <c r="AD210" s="127"/>
      <c r="AE210" s="127"/>
      <c r="AF210" s="127">
        <f t="shared" si="64"/>
        <v>7.13</v>
      </c>
      <c r="AG210" s="41"/>
      <c r="AH210" s="3"/>
      <c r="AI210" s="3"/>
      <c r="AJ210" s="3"/>
      <c r="AK210" s="3"/>
      <c r="AL210" s="12"/>
    </row>
    <row r="211" spans="1:42" s="7" customFormat="1" ht="13.8" x14ac:dyDescent="0.3">
      <c r="A211" s="435"/>
      <c r="B211" s="121">
        <v>7.21</v>
      </c>
      <c r="C211" s="281"/>
      <c r="D211" s="39">
        <v>45017</v>
      </c>
      <c r="E211" s="124">
        <v>0</v>
      </c>
      <c r="F211" s="41"/>
      <c r="G211" s="129"/>
      <c r="H211" s="45"/>
      <c r="I211" s="45"/>
      <c r="J211" s="131"/>
      <c r="K211" s="282"/>
      <c r="L211" s="129"/>
      <c r="M211" s="45"/>
      <c r="N211" s="127"/>
      <c r="O211" s="131"/>
      <c r="P211" s="282"/>
      <c r="Q211" s="129"/>
      <c r="R211" s="45"/>
      <c r="S211" s="45"/>
      <c r="T211" s="131"/>
      <c r="U211" s="275"/>
      <c r="V211" s="128"/>
      <c r="W211" s="45"/>
      <c r="X211" s="45"/>
      <c r="Y211" s="131"/>
      <c r="Z211" s="283"/>
      <c r="AA211" s="129" t="s">
        <v>194</v>
      </c>
      <c r="AB211" s="127"/>
      <c r="AC211" s="127"/>
      <c r="AD211" s="127"/>
      <c r="AE211" s="127"/>
      <c r="AF211" s="127">
        <f t="shared" si="64"/>
        <v>7.13</v>
      </c>
      <c r="AG211" s="41"/>
      <c r="AH211" s="3"/>
      <c r="AI211" s="66" t="s">
        <v>195</v>
      </c>
      <c r="AK211" s="400">
        <f>$AD$176+$AI$221+$E$201</f>
        <v>7350.5394367999997</v>
      </c>
    </row>
    <row r="212" spans="1:42" s="7" customFormat="1" ht="13.8" x14ac:dyDescent="0.3">
      <c r="A212" s="435"/>
      <c r="B212" s="121">
        <v>7.22</v>
      </c>
      <c r="C212" s="281"/>
      <c r="D212" s="39">
        <v>45018</v>
      </c>
      <c r="E212" s="124">
        <v>0</v>
      </c>
      <c r="F212" s="127"/>
      <c r="G212" s="129"/>
      <c r="H212" s="45"/>
      <c r="I212" s="45"/>
      <c r="J212" s="131"/>
      <c r="K212" s="282"/>
      <c r="L212" s="129"/>
      <c r="M212" s="45"/>
      <c r="N212" s="127"/>
      <c r="O212" s="131"/>
      <c r="P212" s="282"/>
      <c r="Q212" s="129"/>
      <c r="R212" s="45"/>
      <c r="S212" s="45"/>
      <c r="T212" s="131"/>
      <c r="U212" s="275"/>
      <c r="V212" s="128"/>
      <c r="W212" s="45"/>
      <c r="X212" s="45"/>
      <c r="Y212" s="131"/>
      <c r="Z212" s="283"/>
      <c r="AA212" s="129" t="s">
        <v>196</v>
      </c>
      <c r="AB212" s="127"/>
      <c r="AC212" s="127"/>
      <c r="AD212" s="127"/>
      <c r="AE212" s="127"/>
      <c r="AF212" s="127">
        <f t="shared" si="64"/>
        <v>7.13</v>
      </c>
      <c r="AG212" s="41"/>
      <c r="AH212" s="3"/>
      <c r="AI212" s="63" t="s">
        <v>197</v>
      </c>
      <c r="AJ212" s="63"/>
      <c r="AK212" s="33">
        <f>SUM($Z$221:$AN$222)</f>
        <v>7350.5394368000007</v>
      </c>
      <c r="AL212" s="286" t="s">
        <v>281</v>
      </c>
    </row>
    <row r="213" spans="1:42" s="28" customFormat="1" ht="14.4" thickBot="1" x14ac:dyDescent="0.35">
      <c r="A213" s="435"/>
      <c r="B213" s="23"/>
      <c r="D213" s="188"/>
      <c r="E213" s="119"/>
      <c r="G213" s="142"/>
      <c r="H213" s="142"/>
      <c r="I213" s="142"/>
      <c r="J213" s="142"/>
      <c r="K213" s="142"/>
      <c r="L213" s="143"/>
      <c r="N213" s="189"/>
      <c r="O213" s="142"/>
      <c r="P213" s="142"/>
      <c r="Q213" s="142"/>
      <c r="R213" s="142"/>
      <c r="S213" s="142"/>
      <c r="T213" s="248"/>
      <c r="U213" s="249"/>
      <c r="V213" s="120"/>
      <c r="W213" s="189"/>
      <c r="X213" s="189"/>
      <c r="Y213" s="142"/>
      <c r="Z213" s="142"/>
      <c r="AA213" s="142"/>
      <c r="AB213" s="142"/>
      <c r="AC213" s="248"/>
      <c r="AD213" s="248"/>
      <c r="AF213" s="3"/>
      <c r="AG213" s="3"/>
      <c r="AH213" s="3"/>
      <c r="AI213" s="3"/>
      <c r="AJ213" s="3"/>
      <c r="AK213" s="3"/>
      <c r="AL213" s="12"/>
      <c r="AM213" s="7"/>
    </row>
    <row r="214" spans="1:42" s="12" customFormat="1" ht="74.25" customHeight="1" thickBot="1" x14ac:dyDescent="0.35">
      <c r="A214" s="435"/>
      <c r="B214" s="67" t="s">
        <v>14</v>
      </c>
      <c r="C214" s="71" t="s">
        <v>37</v>
      </c>
      <c r="D214" s="68" t="s">
        <v>15</v>
      </c>
      <c r="E214" s="69" t="s">
        <v>108</v>
      </c>
      <c r="F214" s="13" t="s">
        <v>16</v>
      </c>
      <c r="G214" s="69" t="s">
        <v>17</v>
      </c>
      <c r="H214" s="70" t="s">
        <v>38</v>
      </c>
      <c r="I214" s="71" t="s">
        <v>39</v>
      </c>
      <c r="J214" s="74" t="s">
        <v>109</v>
      </c>
      <c r="K214" s="190" t="s">
        <v>40</v>
      </c>
      <c r="L214" s="190" t="s">
        <v>41</v>
      </c>
      <c r="M214" s="191" t="s">
        <v>110</v>
      </c>
      <c r="N214" s="191" t="s">
        <v>266</v>
      </c>
      <c r="O214" s="70" t="s">
        <v>42</v>
      </c>
      <c r="P214" s="71" t="s">
        <v>43</v>
      </c>
      <c r="Q214" s="192" t="s">
        <v>42</v>
      </c>
      <c r="R214" s="71" t="s">
        <v>43</v>
      </c>
      <c r="S214" s="74" t="s">
        <v>111</v>
      </c>
      <c r="T214" s="190" t="s">
        <v>44</v>
      </c>
      <c r="U214" s="190" t="s">
        <v>45</v>
      </c>
      <c r="V214" s="190" t="s">
        <v>152</v>
      </c>
      <c r="W214" s="70" t="s">
        <v>46</v>
      </c>
      <c r="X214" s="71" t="s">
        <v>47</v>
      </c>
      <c r="Y214" s="74" t="s">
        <v>153</v>
      </c>
      <c r="Z214" s="190" t="s">
        <v>112</v>
      </c>
      <c r="AA214" s="190" t="s">
        <v>113</v>
      </c>
      <c r="AB214" s="190" t="s">
        <v>113</v>
      </c>
      <c r="AC214" s="70" t="s">
        <v>114</v>
      </c>
      <c r="AD214" s="74" t="s">
        <v>115</v>
      </c>
      <c r="AE214" s="190" t="s">
        <v>116</v>
      </c>
      <c r="AF214" s="190" t="s">
        <v>117</v>
      </c>
      <c r="AG214" s="70" t="s">
        <v>118</v>
      </c>
      <c r="AH214" s="71" t="s">
        <v>119</v>
      </c>
      <c r="AI214" s="192" t="s">
        <v>118</v>
      </c>
      <c r="AJ214" s="74" t="s">
        <v>119</v>
      </c>
      <c r="AK214" s="72" t="s">
        <v>198</v>
      </c>
      <c r="AL214" s="73" t="s">
        <v>199</v>
      </c>
      <c r="AM214" s="70" t="s">
        <v>200</v>
      </c>
      <c r="AN214" s="74" t="s">
        <v>201</v>
      </c>
      <c r="AO214" s="72" t="s">
        <v>202</v>
      </c>
      <c r="AP214" s="73" t="s">
        <v>203</v>
      </c>
    </row>
    <row r="215" spans="1:42" s="254" customFormat="1" ht="13.8" x14ac:dyDescent="0.3">
      <c r="A215" s="435"/>
      <c r="B215" s="144"/>
      <c r="C215" s="145"/>
      <c r="D215" s="146">
        <f>IF(DAY($E$2)&gt;28,DATE(YEAR($E$2),MONTH($E$2)+1,1),$E$2)</f>
        <v>44785</v>
      </c>
      <c r="E215" s="250"/>
      <c r="F215" s="147"/>
      <c r="G215" s="148">
        <f>-$E$3</f>
        <v>-12000</v>
      </c>
      <c r="H215" s="149"/>
      <c r="I215" s="150"/>
      <c r="J215" s="197"/>
      <c r="K215" s="148"/>
      <c r="L215" s="150"/>
      <c r="M215" s="382"/>
      <c r="N215" s="198"/>
      <c r="O215" s="149"/>
      <c r="P215" s="150"/>
      <c r="Q215" s="199"/>
      <c r="R215" s="150"/>
      <c r="S215" s="197"/>
      <c r="T215" s="148"/>
      <c r="U215" s="150"/>
      <c r="V215" s="197"/>
      <c r="W215" s="200"/>
      <c r="X215" s="201"/>
      <c r="Y215" s="251"/>
      <c r="Z215" s="202"/>
      <c r="AA215" s="154"/>
      <c r="AB215" s="154"/>
      <c r="AC215" s="202"/>
      <c r="AD215" s="154"/>
      <c r="AE215" s="202"/>
      <c r="AF215" s="154"/>
      <c r="AG215" s="202"/>
      <c r="AH215" s="201"/>
      <c r="AI215" s="252"/>
      <c r="AJ215" s="154"/>
      <c r="AK215" s="202"/>
      <c r="AL215" s="154"/>
      <c r="AM215" s="202"/>
      <c r="AN215" s="154"/>
      <c r="AO215" s="202"/>
      <c r="AP215" s="154"/>
    </row>
    <row r="216" spans="1:42" s="142" customFormat="1" ht="13.8" x14ac:dyDescent="0.3">
      <c r="A216" s="435"/>
      <c r="B216" s="155">
        <v>1</v>
      </c>
      <c r="C216" s="156" t="s">
        <v>48</v>
      </c>
      <c r="D216" s="157">
        <f>DATE(YEAR(D215),MONTH(D215)+1,DAY(D215))</f>
        <v>44816</v>
      </c>
      <c r="E216" s="157"/>
      <c r="F216" s="158">
        <f>$E$3</f>
        <v>12000</v>
      </c>
      <c r="G216" s="159">
        <f t="shared" ref="G216:G227" si="65">IF($B216&lt;=$E$4,$E$8,0)</f>
        <v>1134.1199999999999</v>
      </c>
      <c r="H216" s="160">
        <f t="shared" ref="H216:H227" si="66">IF($B216&gt;$E$4,0,$G216-$K216-$T216)</f>
        <v>962.97</v>
      </c>
      <c r="I216" s="161">
        <f>-H216</f>
        <v>-962.97</v>
      </c>
      <c r="J216" s="203"/>
      <c r="K216" s="159">
        <f t="shared" ref="K216:K227" si="67">ROUND($F216*$I$2,2)</f>
        <v>82</v>
      </c>
      <c r="L216" s="161">
        <f>-K216</f>
        <v>-82</v>
      </c>
      <c r="M216" s="159"/>
      <c r="N216" s="203"/>
      <c r="O216" s="160"/>
      <c r="P216" s="161"/>
      <c r="Q216" s="204"/>
      <c r="R216" s="161"/>
      <c r="S216" s="203"/>
      <c r="T216" s="159">
        <f t="shared" ref="T216:T227" si="68">$E$8-$E$7</f>
        <v>89.149999999999864</v>
      </c>
      <c r="U216" s="161">
        <f>-T216</f>
        <v>-89.149999999999864</v>
      </c>
      <c r="V216" s="203"/>
      <c r="W216" s="200"/>
      <c r="X216" s="205"/>
      <c r="Y216" s="255"/>
      <c r="Z216" s="206"/>
      <c r="AA216" s="162"/>
      <c r="AB216" s="162"/>
      <c r="AC216" s="206"/>
      <c r="AD216" s="162"/>
      <c r="AE216" s="206"/>
      <c r="AF216" s="162"/>
      <c r="AG216" s="207"/>
      <c r="AH216" s="161"/>
      <c r="AI216" s="256"/>
      <c r="AJ216" s="162"/>
      <c r="AK216" s="206"/>
      <c r="AL216" s="162"/>
      <c r="AM216" s="207"/>
      <c r="AN216" s="162"/>
      <c r="AO216" s="206"/>
      <c r="AP216" s="162"/>
    </row>
    <row r="217" spans="1:42" s="142" customFormat="1" ht="13.8" x14ac:dyDescent="0.3">
      <c r="A217" s="435"/>
      <c r="B217" s="155">
        <f>B216+1</f>
        <v>2</v>
      </c>
      <c r="C217" s="156" t="s">
        <v>48</v>
      </c>
      <c r="D217" s="157">
        <f>DATE(YEAR(D216),MONTH(D216)+1,DAY(D216))</f>
        <v>44846</v>
      </c>
      <c r="E217" s="157"/>
      <c r="F217" s="158">
        <f t="shared" ref="F217:F227" si="69">$F216-$H216</f>
        <v>11037.03</v>
      </c>
      <c r="G217" s="159">
        <f t="shared" si="65"/>
        <v>1134.1199999999999</v>
      </c>
      <c r="H217" s="160">
        <f t="shared" si="66"/>
        <v>969.55</v>
      </c>
      <c r="I217" s="161">
        <f t="shared" ref="I217:I219" si="70">-H217</f>
        <v>-969.55</v>
      </c>
      <c r="J217" s="203"/>
      <c r="K217" s="159">
        <f t="shared" si="67"/>
        <v>75.42</v>
      </c>
      <c r="L217" s="161">
        <f t="shared" ref="L217:L219" si="71">-K217</f>
        <v>-75.42</v>
      </c>
      <c r="M217" s="159"/>
      <c r="N217" s="203"/>
      <c r="O217" s="208"/>
      <c r="P217" s="161"/>
      <c r="Q217" s="204"/>
      <c r="R217" s="161"/>
      <c r="S217" s="203"/>
      <c r="T217" s="159">
        <f t="shared" si="68"/>
        <v>89.149999999999864</v>
      </c>
      <c r="U217" s="161">
        <f t="shared" ref="U217:U219" si="72">-T217</f>
        <v>-89.149999999999864</v>
      </c>
      <c r="V217" s="203"/>
      <c r="W217" s="200"/>
      <c r="X217" s="205"/>
      <c r="Y217" s="255"/>
      <c r="Z217" s="206"/>
      <c r="AA217" s="162"/>
      <c r="AB217" s="162"/>
      <c r="AC217" s="206"/>
      <c r="AD217" s="162"/>
      <c r="AE217" s="206"/>
      <c r="AF217" s="162"/>
      <c r="AG217" s="207"/>
      <c r="AH217" s="161"/>
      <c r="AI217" s="256"/>
      <c r="AJ217" s="162"/>
      <c r="AK217" s="206"/>
      <c r="AL217" s="162"/>
      <c r="AM217" s="207"/>
      <c r="AN217" s="162"/>
      <c r="AO217" s="206"/>
      <c r="AP217" s="162"/>
    </row>
    <row r="218" spans="1:42" s="142" customFormat="1" ht="13.8" x14ac:dyDescent="0.3">
      <c r="A218" s="435"/>
      <c r="B218" s="155">
        <f t="shared" ref="B218:B227" si="73">B217+1</f>
        <v>3</v>
      </c>
      <c r="C218" s="156" t="s">
        <v>61</v>
      </c>
      <c r="D218" s="157">
        <f t="shared" ref="D218:D227" si="74">DATE(YEAR(D217),MONTH(D217)+1,DAY(D217))</f>
        <v>44877</v>
      </c>
      <c r="E218" s="157">
        <f>D218+10</f>
        <v>44887</v>
      </c>
      <c r="F218" s="158">
        <f t="shared" si="69"/>
        <v>10067.480000000001</v>
      </c>
      <c r="G218" s="159">
        <f t="shared" si="65"/>
        <v>1134.1199999999999</v>
      </c>
      <c r="H218" s="160">
        <f t="shared" si="66"/>
        <v>976.18000000000006</v>
      </c>
      <c r="I218" s="161">
        <f t="shared" si="70"/>
        <v>-976.18000000000006</v>
      </c>
      <c r="J218" s="203"/>
      <c r="K218" s="159">
        <f t="shared" si="67"/>
        <v>68.790000000000006</v>
      </c>
      <c r="L218" s="161">
        <f t="shared" si="71"/>
        <v>-68.790000000000006</v>
      </c>
      <c r="M218" s="159"/>
      <c r="N218" s="203"/>
      <c r="O218" s="160">
        <f>$K$66</f>
        <v>1.32</v>
      </c>
      <c r="P218" s="161">
        <f>-O218</f>
        <v>-1.32</v>
      </c>
      <c r="Q218" s="204"/>
      <c r="R218" s="161"/>
      <c r="S218" s="203"/>
      <c r="T218" s="159">
        <f t="shared" si="68"/>
        <v>89.149999999999864</v>
      </c>
      <c r="U218" s="161">
        <f t="shared" si="72"/>
        <v>-89.149999999999864</v>
      </c>
      <c r="V218" s="203"/>
      <c r="W218" s="160">
        <f>$O$66</f>
        <v>3.6599999999999997</v>
      </c>
      <c r="X218" s="161">
        <f>-W218</f>
        <v>-3.6599999999999997</v>
      </c>
      <c r="Y218" s="203"/>
      <c r="Z218" s="206"/>
      <c r="AA218" s="162"/>
      <c r="AB218" s="162"/>
      <c r="AC218" s="206"/>
      <c r="AD218" s="162"/>
      <c r="AE218" s="206"/>
      <c r="AF218" s="162"/>
      <c r="AG218" s="207"/>
      <c r="AH218" s="161"/>
      <c r="AI218" s="256"/>
      <c r="AJ218" s="162"/>
      <c r="AK218" s="206"/>
      <c r="AL218" s="162"/>
      <c r="AM218" s="207"/>
      <c r="AN218" s="162"/>
      <c r="AO218" s="206"/>
      <c r="AP218" s="162"/>
    </row>
    <row r="219" spans="1:42" s="142" customFormat="1" ht="13.8" x14ac:dyDescent="0.3">
      <c r="A219" s="435"/>
      <c r="B219" s="155">
        <f t="shared" si="73"/>
        <v>4</v>
      </c>
      <c r="C219" s="156" t="s">
        <v>48</v>
      </c>
      <c r="D219" s="157">
        <f t="shared" si="74"/>
        <v>44907</v>
      </c>
      <c r="E219" s="157"/>
      <c r="F219" s="158">
        <f t="shared" si="69"/>
        <v>9091.3000000000011</v>
      </c>
      <c r="G219" s="159">
        <f t="shared" si="65"/>
        <v>1134.1199999999999</v>
      </c>
      <c r="H219" s="160">
        <f t="shared" si="66"/>
        <v>982.85000000000014</v>
      </c>
      <c r="I219" s="161">
        <f t="shared" si="70"/>
        <v>-982.85000000000014</v>
      </c>
      <c r="J219" s="203"/>
      <c r="K219" s="159">
        <f t="shared" si="67"/>
        <v>62.12</v>
      </c>
      <c r="L219" s="161">
        <f t="shared" si="71"/>
        <v>-62.12</v>
      </c>
      <c r="M219" s="159"/>
      <c r="N219" s="203"/>
      <c r="O219" s="160"/>
      <c r="P219" s="161"/>
      <c r="Q219" s="204"/>
      <c r="R219" s="161"/>
      <c r="S219" s="203"/>
      <c r="T219" s="159">
        <f t="shared" si="68"/>
        <v>89.149999999999864</v>
      </c>
      <c r="U219" s="161">
        <f t="shared" si="72"/>
        <v>-89.149999999999864</v>
      </c>
      <c r="V219" s="203"/>
      <c r="W219" s="200"/>
      <c r="X219" s="205"/>
      <c r="Y219" s="255"/>
      <c r="Z219" s="206"/>
      <c r="AA219" s="162"/>
      <c r="AB219" s="162"/>
      <c r="AC219" s="206"/>
      <c r="AD219" s="162"/>
      <c r="AE219" s="206"/>
      <c r="AF219" s="162"/>
      <c r="AG219" s="207"/>
      <c r="AH219" s="161"/>
      <c r="AI219" s="256"/>
      <c r="AJ219" s="162"/>
      <c r="AK219" s="206"/>
      <c r="AL219" s="162"/>
      <c r="AM219" s="207"/>
      <c r="AN219" s="162"/>
      <c r="AO219" s="206"/>
      <c r="AP219" s="162"/>
    </row>
    <row r="220" spans="1:42" s="142" customFormat="1" ht="13.8" x14ac:dyDescent="0.3">
      <c r="A220" s="435"/>
      <c r="B220" s="155">
        <f t="shared" si="73"/>
        <v>5</v>
      </c>
      <c r="C220" s="156" t="s">
        <v>61</v>
      </c>
      <c r="D220" s="157">
        <f t="shared" si="74"/>
        <v>44938</v>
      </c>
      <c r="E220" s="157">
        <f>D220+10</f>
        <v>44948</v>
      </c>
      <c r="F220" s="158">
        <f t="shared" si="69"/>
        <v>8108.4500000000007</v>
      </c>
      <c r="G220" s="159">
        <f t="shared" si="65"/>
        <v>1134.1199999999999</v>
      </c>
      <c r="H220" s="160">
        <f t="shared" si="66"/>
        <v>989.56</v>
      </c>
      <c r="I220" s="161">
        <f>$Y$82</f>
        <v>-244.59</v>
      </c>
      <c r="J220" s="203">
        <f>-(H220+I220)</f>
        <v>-744.96999999999991</v>
      </c>
      <c r="K220" s="159">
        <f t="shared" si="67"/>
        <v>55.41</v>
      </c>
      <c r="L220" s="161">
        <f>-K220</f>
        <v>-55.41</v>
      </c>
      <c r="M220" s="159"/>
      <c r="N220" s="203"/>
      <c r="O220" s="160">
        <f>$K$80</f>
        <v>1.31</v>
      </c>
      <c r="P220" s="161">
        <f>-O220</f>
        <v>-1.31</v>
      </c>
      <c r="Q220" s="204">
        <f>$K$82</f>
        <v>0</v>
      </c>
      <c r="R220" s="161"/>
      <c r="S220" s="203">
        <f>-Q220</f>
        <v>0</v>
      </c>
      <c r="T220" s="159">
        <f t="shared" si="68"/>
        <v>89.149999999999864</v>
      </c>
      <c r="U220" s="161">
        <f>-T220</f>
        <v>-89.149999999999864</v>
      </c>
      <c r="V220" s="203"/>
      <c r="W220" s="160">
        <f>$P$80+$P$82</f>
        <v>4.54</v>
      </c>
      <c r="X220" s="161">
        <f>-W220</f>
        <v>-4.54</v>
      </c>
      <c r="Y220" s="255"/>
      <c r="Z220" s="206">
        <f>-J220</f>
        <v>744.96999999999991</v>
      </c>
      <c r="AA220" s="162">
        <f>$AD$137</f>
        <v>-91.640000000000128</v>
      </c>
      <c r="AB220" s="162">
        <f>-SUM(Z220:AA220)</f>
        <v>-653.32999999999981</v>
      </c>
      <c r="AC220" s="206">
        <f>-N220</f>
        <v>0</v>
      </c>
      <c r="AD220" s="162">
        <f>-AC220</f>
        <v>0</v>
      </c>
      <c r="AE220" s="206">
        <f>-S220</f>
        <v>0</v>
      </c>
      <c r="AF220" s="162">
        <f>-AE220</f>
        <v>0</v>
      </c>
      <c r="AG220" s="206">
        <f>$U$128</f>
        <v>14.309999999999995</v>
      </c>
      <c r="AH220" s="161">
        <f>-AG220</f>
        <v>-14.309999999999995</v>
      </c>
      <c r="AI220" s="287">
        <f>$U$163</f>
        <v>8.8000000000000025</v>
      </c>
      <c r="AJ220" s="162">
        <f>-AI220</f>
        <v>-8.8000000000000025</v>
      </c>
      <c r="AK220" s="206"/>
      <c r="AL220" s="162"/>
      <c r="AM220" s="206"/>
      <c r="AN220" s="162"/>
      <c r="AO220" s="206"/>
      <c r="AP220" s="162"/>
    </row>
    <row r="221" spans="1:42" s="28" customFormat="1" ht="13.8" x14ac:dyDescent="0.3">
      <c r="A221" s="435"/>
      <c r="B221" s="86">
        <f t="shared" si="73"/>
        <v>6</v>
      </c>
      <c r="C221" s="167" t="s">
        <v>61</v>
      </c>
      <c r="D221" s="88">
        <f t="shared" si="74"/>
        <v>44969</v>
      </c>
      <c r="E221" s="88">
        <f>D221+10</f>
        <v>44979</v>
      </c>
      <c r="F221" s="26">
        <f t="shared" si="69"/>
        <v>7118.8900000000012</v>
      </c>
      <c r="G221" s="89">
        <f t="shared" si="65"/>
        <v>1134.1199999999999</v>
      </c>
      <c r="H221" s="160">
        <f t="shared" si="66"/>
        <v>996.32999999999993</v>
      </c>
      <c r="I221" s="161"/>
      <c r="J221" s="203">
        <f>-H221</f>
        <v>-996.32999999999993</v>
      </c>
      <c r="K221" s="159">
        <f t="shared" si="67"/>
        <v>48.64</v>
      </c>
      <c r="L221" s="161"/>
      <c r="M221" s="159"/>
      <c r="N221" s="203">
        <f>-K221</f>
        <v>-48.64</v>
      </c>
      <c r="O221" s="160">
        <f>$K$129</f>
        <v>2.3000000000000003</v>
      </c>
      <c r="P221" s="161"/>
      <c r="Q221" s="204"/>
      <c r="R221" s="161"/>
      <c r="S221" s="203">
        <f>-O221</f>
        <v>-2.3000000000000003</v>
      </c>
      <c r="T221" s="159">
        <f t="shared" si="68"/>
        <v>89.149999999999864</v>
      </c>
      <c r="U221" s="161">
        <f>-T221</f>
        <v>-89.149999999999864</v>
      </c>
      <c r="V221" s="288"/>
      <c r="W221" s="160">
        <f>$P$129</f>
        <v>6.2</v>
      </c>
      <c r="X221" s="161">
        <f>-W221</f>
        <v>-6.2</v>
      </c>
      <c r="Y221" s="289"/>
      <c r="Z221" s="217">
        <f>-J221</f>
        <v>996.32999999999993</v>
      </c>
      <c r="AA221" s="277">
        <f>$AE$172</f>
        <v>-374.7500000000004</v>
      </c>
      <c r="AC221" s="206">
        <f>-N221</f>
        <v>48.64</v>
      </c>
      <c r="AD221" s="162">
        <f>-AC221</f>
        <v>-48.64</v>
      </c>
      <c r="AE221" s="206">
        <f>-S221</f>
        <v>2.3000000000000003</v>
      </c>
      <c r="AF221" s="162">
        <f>-AE221</f>
        <v>-2.3000000000000003</v>
      </c>
      <c r="AG221" s="287">
        <f>$Z$163</f>
        <v>15.520000000000003</v>
      </c>
      <c r="AH221" s="162">
        <f>-AG221</f>
        <v>-15.520000000000003</v>
      </c>
      <c r="AI221" s="278">
        <f>$Z$197</f>
        <v>7.1999999999999984</v>
      </c>
      <c r="AJ221" s="219"/>
      <c r="AK221" s="290"/>
      <c r="AL221" s="291"/>
      <c r="AM221" s="292"/>
      <c r="AN221" s="291"/>
      <c r="AO221" s="290"/>
      <c r="AP221" s="291"/>
    </row>
    <row r="222" spans="1:42" s="28" customFormat="1" ht="13.8" x14ac:dyDescent="0.3">
      <c r="A222" s="435"/>
      <c r="B222" s="86">
        <f t="shared" si="73"/>
        <v>7</v>
      </c>
      <c r="C222" s="167" t="s">
        <v>61</v>
      </c>
      <c r="D222" s="88">
        <f t="shared" si="74"/>
        <v>44997</v>
      </c>
      <c r="E222" s="88">
        <f>D222+10</f>
        <v>45007</v>
      </c>
      <c r="F222" s="26">
        <f t="shared" si="69"/>
        <v>6122.5600000000013</v>
      </c>
      <c r="G222" s="89">
        <f t="shared" si="65"/>
        <v>1134.1199999999999</v>
      </c>
      <c r="H222" s="90">
        <f t="shared" si="66"/>
        <v>1003.1300000000001</v>
      </c>
      <c r="I222" s="95"/>
      <c r="J222" s="211">
        <f>-F222</f>
        <v>-6122.5600000000013</v>
      </c>
      <c r="K222" s="89">
        <f t="shared" si="67"/>
        <v>41.84</v>
      </c>
      <c r="L222" s="225"/>
      <c r="M222" s="391">
        <f>-K222</f>
        <v>-41.84</v>
      </c>
      <c r="N222" s="212">
        <f>-$F$222*$I$4*_xlfn.DAYS(E222,D222)</f>
        <v>-13.959436800000004</v>
      </c>
      <c r="O222" s="213">
        <f>$K$197</f>
        <v>2.3000000000000003</v>
      </c>
      <c r="P222" s="95"/>
      <c r="Q222" s="226"/>
      <c r="R222" s="95"/>
      <c r="S222" s="211">
        <f>-O222</f>
        <v>-2.3000000000000003</v>
      </c>
      <c r="T222" s="89">
        <f t="shared" si="68"/>
        <v>89.149999999999864</v>
      </c>
      <c r="U222" s="215"/>
      <c r="V222" s="212">
        <f>-SUM(T222:T227)</f>
        <v>-534.89999999999918</v>
      </c>
      <c r="W222" s="213">
        <f>$P$197</f>
        <v>6.2</v>
      </c>
      <c r="X222" s="91"/>
      <c r="Y222" s="211">
        <f>-W222</f>
        <v>-6.2</v>
      </c>
      <c r="Z222" s="217">
        <f>-J222</f>
        <v>6122.5600000000013</v>
      </c>
      <c r="AA222" s="101"/>
      <c r="AB222" s="101"/>
      <c r="AC222" s="218">
        <f>-(N222+M222)</f>
        <v>55.799436800000009</v>
      </c>
      <c r="AD222" s="219"/>
      <c r="AE222" s="217">
        <f>-S222</f>
        <v>2.3000000000000003</v>
      </c>
      <c r="AF222" s="101"/>
      <c r="AG222" s="224"/>
      <c r="AH222" s="95"/>
      <c r="AI222" s="265"/>
      <c r="AJ222" s="219"/>
      <c r="AK222" s="217">
        <f>-V222</f>
        <v>534.89999999999918</v>
      </c>
      <c r="AL222" s="101"/>
      <c r="AM222" s="218">
        <f>-Y222</f>
        <v>6.2</v>
      </c>
      <c r="AN222" s="219"/>
      <c r="AO222" s="293" t="s">
        <v>282</v>
      </c>
      <c r="AP222" s="101"/>
    </row>
    <row r="223" spans="1:42" s="28" customFormat="1" ht="13.8" x14ac:dyDescent="0.3">
      <c r="A223" s="435"/>
      <c r="B223" s="294">
        <f t="shared" si="73"/>
        <v>8</v>
      </c>
      <c r="C223" s="295"/>
      <c r="D223" s="296">
        <f t="shared" si="74"/>
        <v>45028</v>
      </c>
      <c r="E223" s="296"/>
      <c r="F223" s="297">
        <f t="shared" si="69"/>
        <v>5119.4300000000012</v>
      </c>
      <c r="G223" s="298">
        <f t="shared" si="65"/>
        <v>1134.1199999999999</v>
      </c>
      <c r="H223" s="299">
        <f t="shared" si="66"/>
        <v>1009.99</v>
      </c>
      <c r="I223" s="300"/>
      <c r="J223" s="301"/>
      <c r="K223" s="298">
        <f t="shared" si="67"/>
        <v>34.979999999999997</v>
      </c>
      <c r="L223" s="302"/>
      <c r="M223" s="298"/>
      <c r="N223" s="303"/>
      <c r="O223" s="304"/>
      <c r="P223" s="300"/>
      <c r="Q223" s="226"/>
      <c r="R223" s="95"/>
      <c r="S223" s="301"/>
      <c r="T223" s="298">
        <f t="shared" si="68"/>
        <v>89.149999999999864</v>
      </c>
      <c r="U223" s="302"/>
      <c r="V223" s="303"/>
      <c r="W223" s="305"/>
      <c r="X223" s="306"/>
      <c r="Y223" s="307"/>
      <c r="Z223" s="308"/>
      <c r="AA223" s="309"/>
      <c r="AB223" s="309"/>
      <c r="AC223" s="310"/>
      <c r="AD223" s="311"/>
      <c r="AE223" s="308"/>
      <c r="AF223" s="309"/>
      <c r="AG223" s="312"/>
      <c r="AH223" s="300"/>
      <c r="AI223" s="313"/>
      <c r="AJ223" s="311"/>
      <c r="AK223" s="308"/>
      <c r="AL223" s="309"/>
      <c r="AM223" s="312"/>
      <c r="AN223" s="311"/>
      <c r="AO223" s="308"/>
      <c r="AP223" s="309"/>
    </row>
    <row r="224" spans="1:42" s="28" customFormat="1" ht="13.8" x14ac:dyDescent="0.3">
      <c r="A224" s="435"/>
      <c r="B224" s="294">
        <f t="shared" si="73"/>
        <v>9</v>
      </c>
      <c r="C224" s="295"/>
      <c r="D224" s="296">
        <f t="shared" si="74"/>
        <v>45058</v>
      </c>
      <c r="E224" s="296"/>
      <c r="F224" s="297">
        <f t="shared" si="69"/>
        <v>4109.4400000000014</v>
      </c>
      <c r="G224" s="298">
        <f t="shared" si="65"/>
        <v>1134.1199999999999</v>
      </c>
      <c r="H224" s="299">
        <f t="shared" si="66"/>
        <v>1016.8900000000001</v>
      </c>
      <c r="I224" s="300"/>
      <c r="J224" s="301"/>
      <c r="K224" s="298">
        <f t="shared" si="67"/>
        <v>28.08</v>
      </c>
      <c r="L224" s="302"/>
      <c r="M224" s="298"/>
      <c r="N224" s="303"/>
      <c r="O224" s="304"/>
      <c r="P224" s="300"/>
      <c r="Q224" s="226"/>
      <c r="R224" s="95"/>
      <c r="S224" s="301"/>
      <c r="T224" s="298">
        <f t="shared" si="68"/>
        <v>89.149999999999864</v>
      </c>
      <c r="U224" s="302"/>
      <c r="V224" s="303"/>
      <c r="W224" s="304"/>
      <c r="X224" s="300"/>
      <c r="Y224" s="301"/>
      <c r="Z224" s="308"/>
      <c r="AA224" s="309"/>
      <c r="AB224" s="309"/>
      <c r="AC224" s="310"/>
      <c r="AD224" s="311"/>
      <c r="AE224" s="308"/>
      <c r="AF224" s="309"/>
      <c r="AG224" s="312"/>
      <c r="AH224" s="300"/>
      <c r="AI224" s="313"/>
      <c r="AJ224" s="311"/>
      <c r="AK224" s="308"/>
      <c r="AL224" s="309"/>
      <c r="AM224" s="312"/>
      <c r="AN224" s="311"/>
      <c r="AO224" s="308"/>
      <c r="AP224" s="309"/>
    </row>
    <row r="225" spans="1:45" s="28" customFormat="1" ht="13.8" x14ac:dyDescent="0.3">
      <c r="A225" s="435"/>
      <c r="B225" s="294">
        <f t="shared" si="73"/>
        <v>10</v>
      </c>
      <c r="C225" s="295"/>
      <c r="D225" s="296">
        <f t="shared" si="74"/>
        <v>45089</v>
      </c>
      <c r="E225" s="296"/>
      <c r="F225" s="297">
        <f t="shared" si="69"/>
        <v>3092.5500000000011</v>
      </c>
      <c r="G225" s="298">
        <f t="shared" si="65"/>
        <v>1134.1199999999999</v>
      </c>
      <c r="H225" s="299">
        <f t="shared" si="66"/>
        <v>1023.8399999999999</v>
      </c>
      <c r="I225" s="300"/>
      <c r="J225" s="301"/>
      <c r="K225" s="298">
        <f t="shared" si="67"/>
        <v>21.13</v>
      </c>
      <c r="L225" s="302"/>
      <c r="M225" s="298"/>
      <c r="N225" s="303"/>
      <c r="O225" s="304"/>
      <c r="P225" s="300"/>
      <c r="Q225" s="226"/>
      <c r="R225" s="95"/>
      <c r="S225" s="301"/>
      <c r="T225" s="298">
        <f t="shared" si="68"/>
        <v>89.149999999999864</v>
      </c>
      <c r="U225" s="302"/>
      <c r="V225" s="303"/>
      <c r="W225" s="305"/>
      <c r="X225" s="306"/>
      <c r="Y225" s="307"/>
      <c r="Z225" s="308"/>
      <c r="AA225" s="309"/>
      <c r="AB225" s="309"/>
      <c r="AC225" s="310"/>
      <c r="AD225" s="311"/>
      <c r="AE225" s="308"/>
      <c r="AF225" s="309"/>
      <c r="AG225" s="312"/>
      <c r="AH225" s="300"/>
      <c r="AI225" s="313"/>
      <c r="AJ225" s="311"/>
      <c r="AK225" s="308"/>
      <c r="AL225" s="309"/>
      <c r="AM225" s="312"/>
      <c r="AN225" s="311"/>
      <c r="AO225" s="308"/>
      <c r="AP225" s="309"/>
    </row>
    <row r="226" spans="1:45" s="28" customFormat="1" ht="13.8" x14ac:dyDescent="0.3">
      <c r="A226" s="435"/>
      <c r="B226" s="294">
        <f t="shared" si="73"/>
        <v>11</v>
      </c>
      <c r="C226" s="295"/>
      <c r="D226" s="296">
        <f t="shared" si="74"/>
        <v>45119</v>
      </c>
      <c r="E226" s="296"/>
      <c r="F226" s="297">
        <f t="shared" si="69"/>
        <v>2068.7100000000009</v>
      </c>
      <c r="G226" s="298">
        <f t="shared" si="65"/>
        <v>1134.1199999999999</v>
      </c>
      <c r="H226" s="299">
        <f t="shared" si="66"/>
        <v>1030.83</v>
      </c>
      <c r="I226" s="300"/>
      <c r="J226" s="301"/>
      <c r="K226" s="298">
        <f t="shared" si="67"/>
        <v>14.14</v>
      </c>
      <c r="L226" s="302"/>
      <c r="M226" s="298"/>
      <c r="N226" s="303"/>
      <c r="O226" s="304"/>
      <c r="P226" s="300"/>
      <c r="Q226" s="226"/>
      <c r="R226" s="95"/>
      <c r="S226" s="301"/>
      <c r="T226" s="298">
        <f t="shared" si="68"/>
        <v>89.149999999999864</v>
      </c>
      <c r="U226" s="302"/>
      <c r="V226" s="303"/>
      <c r="W226" s="304"/>
      <c r="X226" s="300"/>
      <c r="Y226" s="301"/>
      <c r="Z226" s="308"/>
      <c r="AA226" s="309"/>
      <c r="AB226" s="309"/>
      <c r="AC226" s="310"/>
      <c r="AD226" s="311"/>
      <c r="AE226" s="308"/>
      <c r="AF226" s="309"/>
      <c r="AG226" s="312"/>
      <c r="AH226" s="300"/>
      <c r="AI226" s="313"/>
      <c r="AJ226" s="311"/>
      <c r="AK226" s="308"/>
      <c r="AL226" s="309"/>
      <c r="AM226" s="312"/>
      <c r="AN226" s="311"/>
      <c r="AO226" s="308"/>
      <c r="AP226" s="309"/>
    </row>
    <row r="227" spans="1:45" s="28" customFormat="1" ht="14.4" thickBot="1" x14ac:dyDescent="0.35">
      <c r="A227" s="435"/>
      <c r="B227" s="314">
        <f t="shared" si="73"/>
        <v>12</v>
      </c>
      <c r="C227" s="315"/>
      <c r="D227" s="316">
        <f t="shared" si="74"/>
        <v>45150</v>
      </c>
      <c r="E227" s="316"/>
      <c r="F227" s="317">
        <f t="shared" si="69"/>
        <v>1037.880000000001</v>
      </c>
      <c r="G227" s="318">
        <f t="shared" si="65"/>
        <v>1134.1199999999999</v>
      </c>
      <c r="H227" s="319">
        <f t="shared" si="66"/>
        <v>1037.8800000000001</v>
      </c>
      <c r="I227" s="320"/>
      <c r="J227" s="321"/>
      <c r="K227" s="318">
        <f t="shared" si="67"/>
        <v>7.09</v>
      </c>
      <c r="L227" s="322"/>
      <c r="M227" s="318"/>
      <c r="N227" s="323"/>
      <c r="O227" s="324"/>
      <c r="P227" s="320"/>
      <c r="Q227" s="232"/>
      <c r="R227" s="109"/>
      <c r="S227" s="321"/>
      <c r="T227" s="318">
        <f t="shared" si="68"/>
        <v>89.149999999999864</v>
      </c>
      <c r="U227" s="322"/>
      <c r="V227" s="323"/>
      <c r="W227" s="324"/>
      <c r="X227" s="325"/>
      <c r="Y227" s="321"/>
      <c r="Z227" s="326"/>
      <c r="AA227" s="327"/>
      <c r="AB227" s="327"/>
      <c r="AC227" s="328"/>
      <c r="AD227" s="329"/>
      <c r="AE227" s="326"/>
      <c r="AF227" s="327"/>
      <c r="AG227" s="328"/>
      <c r="AH227" s="320"/>
      <c r="AI227" s="330"/>
      <c r="AJ227" s="329"/>
      <c r="AK227" s="326"/>
      <c r="AL227" s="327"/>
      <c r="AM227" s="328"/>
      <c r="AN227" s="329"/>
      <c r="AO227" s="326"/>
      <c r="AP227" s="327"/>
    </row>
    <row r="231" spans="1:45" ht="15.75" customHeight="1" thickBot="1" x14ac:dyDescent="0.35">
      <c r="Z231" s="427" t="s">
        <v>204</v>
      </c>
      <c r="AA231" s="427"/>
      <c r="AB231" s="427"/>
      <c r="AC231" s="427" t="s">
        <v>205</v>
      </c>
      <c r="AD231" s="427"/>
      <c r="AE231" s="427" t="s">
        <v>206</v>
      </c>
      <c r="AF231" s="427"/>
      <c r="AG231" s="427" t="s">
        <v>207</v>
      </c>
      <c r="AH231" s="427"/>
      <c r="AI231" s="427"/>
      <c r="AJ231" s="427"/>
      <c r="AK231" s="427" t="s">
        <v>208</v>
      </c>
      <c r="AL231" s="427"/>
      <c r="AM231" s="427" t="s">
        <v>209</v>
      </c>
      <c r="AN231" s="427"/>
      <c r="AO231" s="427" t="s">
        <v>210</v>
      </c>
      <c r="AP231" s="427"/>
    </row>
    <row r="232" spans="1:45" s="12" customFormat="1" ht="74.25" customHeight="1" thickBot="1" x14ac:dyDescent="0.35">
      <c r="A232" s="428" t="s">
        <v>265</v>
      </c>
      <c r="B232" s="67" t="s">
        <v>14</v>
      </c>
      <c r="C232" s="71" t="s">
        <v>37</v>
      </c>
      <c r="D232" s="68" t="s">
        <v>15</v>
      </c>
      <c r="E232" s="69" t="s">
        <v>108</v>
      </c>
      <c r="F232" s="13" t="s">
        <v>16</v>
      </c>
      <c r="G232" s="69" t="s">
        <v>17</v>
      </c>
      <c r="H232" s="70" t="s">
        <v>38</v>
      </c>
      <c r="I232" s="71" t="s">
        <v>39</v>
      </c>
      <c r="J232" s="74" t="s">
        <v>109</v>
      </c>
      <c r="K232" s="190" t="s">
        <v>40</v>
      </c>
      <c r="L232" s="190" t="s">
        <v>41</v>
      </c>
      <c r="M232" s="191" t="s">
        <v>110</v>
      </c>
      <c r="N232" s="191" t="s">
        <v>266</v>
      </c>
      <c r="O232" s="70" t="s">
        <v>42</v>
      </c>
      <c r="P232" s="71" t="s">
        <v>43</v>
      </c>
      <c r="Q232" s="192" t="s">
        <v>42</v>
      </c>
      <c r="R232" s="71" t="s">
        <v>43</v>
      </c>
      <c r="S232" s="74" t="s">
        <v>111</v>
      </c>
      <c r="T232" s="190" t="s">
        <v>44</v>
      </c>
      <c r="U232" s="190" t="s">
        <v>45</v>
      </c>
      <c r="V232" s="190" t="s">
        <v>152</v>
      </c>
      <c r="W232" s="70" t="s">
        <v>46</v>
      </c>
      <c r="X232" s="71" t="s">
        <v>47</v>
      </c>
      <c r="Y232" s="74" t="s">
        <v>153</v>
      </c>
      <c r="Z232" s="190" t="s">
        <v>112</v>
      </c>
      <c r="AA232" s="190" t="s">
        <v>113</v>
      </c>
      <c r="AB232" s="190" t="s">
        <v>113</v>
      </c>
      <c r="AC232" s="70" t="s">
        <v>114</v>
      </c>
      <c r="AD232" s="74" t="s">
        <v>115</v>
      </c>
      <c r="AE232" s="190" t="s">
        <v>116</v>
      </c>
      <c r="AF232" s="190" t="s">
        <v>117</v>
      </c>
      <c r="AG232" s="70" t="s">
        <v>118</v>
      </c>
      <c r="AH232" s="71" t="s">
        <v>119</v>
      </c>
      <c r="AI232" s="192" t="s">
        <v>118</v>
      </c>
      <c r="AJ232" s="74" t="s">
        <v>119</v>
      </c>
      <c r="AK232" s="72" t="s">
        <v>198</v>
      </c>
      <c r="AL232" s="73" t="s">
        <v>199</v>
      </c>
      <c r="AM232" s="70" t="s">
        <v>200</v>
      </c>
      <c r="AN232" s="74" t="s">
        <v>201</v>
      </c>
      <c r="AO232" s="72" t="s">
        <v>202</v>
      </c>
      <c r="AP232" s="73" t="s">
        <v>203</v>
      </c>
    </row>
    <row r="233" spans="1:45" s="22" customFormat="1" ht="13.8" x14ac:dyDescent="0.3">
      <c r="A233" s="429"/>
      <c r="B233" s="193"/>
      <c r="C233" s="194"/>
      <c r="D233" s="195">
        <f>IF(DAY($E$2)&gt;28,DATE(YEAR($E$2),MONTH($E$2)+1,1),$E$2)</f>
        <v>44785</v>
      </c>
      <c r="E233" s="196"/>
      <c r="F233" s="331"/>
      <c r="G233" s="332">
        <f>-$E$3</f>
        <v>-12000</v>
      </c>
      <c r="H233" s="333"/>
      <c r="I233" s="334"/>
      <c r="J233" s="335"/>
      <c r="K233" s="332"/>
      <c r="L233" s="334"/>
      <c r="M233" s="392"/>
      <c r="N233" s="336"/>
      <c r="O233" s="337"/>
      <c r="P233" s="334"/>
      <c r="Q233" s="199"/>
      <c r="R233" s="150"/>
      <c r="S233" s="335"/>
      <c r="T233" s="332"/>
      <c r="U233" s="334"/>
      <c r="V233" s="335"/>
      <c r="W233" s="338"/>
      <c r="X233" s="339"/>
      <c r="Y233" s="340"/>
      <c r="Z233" s="341"/>
      <c r="AA233" s="342"/>
      <c r="AB233" s="342"/>
      <c r="AC233" s="343"/>
      <c r="AD233" s="342"/>
      <c r="AE233" s="341"/>
      <c r="AF233" s="342"/>
      <c r="AG233" s="344"/>
      <c r="AH233" s="339"/>
      <c r="AI233" s="345"/>
      <c r="AJ233" s="342"/>
      <c r="AK233" s="341"/>
      <c r="AL233" s="342"/>
      <c r="AM233" s="344"/>
      <c r="AN233" s="342"/>
      <c r="AO233" s="341"/>
      <c r="AP233" s="342"/>
      <c r="AR233" s="280" t="s">
        <v>175</v>
      </c>
      <c r="AS233" s="280"/>
    </row>
    <row r="234" spans="1:45" s="28" customFormat="1" ht="13.8" x14ac:dyDescent="0.3">
      <c r="A234" s="429"/>
      <c r="B234" s="155">
        <v>1</v>
      </c>
      <c r="C234" s="346" t="s">
        <v>48</v>
      </c>
      <c r="D234" s="157">
        <f>DATE(YEAR(D233),MONTH(D233)+1,DAY(D233))</f>
        <v>44816</v>
      </c>
      <c r="E234" s="157"/>
      <c r="F234" s="158">
        <f>$E$3</f>
        <v>12000</v>
      </c>
      <c r="G234" s="159">
        <f t="shared" ref="G234:G245" si="75">IF($B234&lt;=$E$4,$E$8,0)</f>
        <v>1134.1199999999999</v>
      </c>
      <c r="H234" s="160">
        <f t="shared" ref="H234:H245" si="76">IF($B234&gt;$E$4,0,$G234-$K234-$T234)</f>
        <v>962.97</v>
      </c>
      <c r="I234" s="347">
        <f>-H234</f>
        <v>-962.97</v>
      </c>
      <c r="J234" s="348"/>
      <c r="K234" s="159">
        <f t="shared" ref="K234:K245" si="77">ROUND($F234*$I$2,2)</f>
        <v>82</v>
      </c>
      <c r="L234" s="347">
        <f>-K234</f>
        <v>-82</v>
      </c>
      <c r="M234" s="393"/>
      <c r="N234" s="348"/>
      <c r="O234" s="349"/>
      <c r="P234" s="161"/>
      <c r="Q234" s="204"/>
      <c r="R234" s="161"/>
      <c r="S234" s="203"/>
      <c r="T234" s="159">
        <f t="shared" ref="T234:T245" si="78">$E$8-$E$7</f>
        <v>89.149999999999864</v>
      </c>
      <c r="U234" s="347">
        <f>-T234</f>
        <v>-89.149999999999864</v>
      </c>
      <c r="V234" s="348"/>
      <c r="W234" s="338"/>
      <c r="X234" s="350"/>
      <c r="Y234" s="289"/>
      <c r="Z234" s="351"/>
      <c r="AA234" s="162"/>
      <c r="AB234" s="162"/>
      <c r="AC234" s="206"/>
      <c r="AD234" s="162"/>
      <c r="AE234" s="351"/>
      <c r="AF234" s="162"/>
      <c r="AG234" s="352"/>
      <c r="AH234" s="161"/>
      <c r="AI234" s="353"/>
      <c r="AJ234" s="162"/>
      <c r="AK234" s="351"/>
      <c r="AL234" s="162"/>
      <c r="AM234" s="352"/>
      <c r="AN234" s="162"/>
      <c r="AO234" s="351"/>
      <c r="AP234" s="162"/>
      <c r="AR234" s="354"/>
      <c r="AS234" s="355" t="s">
        <v>176</v>
      </c>
    </row>
    <row r="235" spans="1:45" s="28" customFormat="1" ht="13.8" x14ac:dyDescent="0.3">
      <c r="A235" s="429"/>
      <c r="B235" s="155">
        <f>B234+1</f>
        <v>2</v>
      </c>
      <c r="C235" s="346" t="s">
        <v>48</v>
      </c>
      <c r="D235" s="157">
        <f>DATE(YEAR(D234),MONTH(D234)+1,DAY(D234))</f>
        <v>44846</v>
      </c>
      <c r="E235" s="157"/>
      <c r="F235" s="158">
        <f t="shared" ref="F235:F245" si="79">$F234-$H234</f>
        <v>11037.03</v>
      </c>
      <c r="G235" s="159">
        <f t="shared" si="75"/>
        <v>1134.1199999999999</v>
      </c>
      <c r="H235" s="160">
        <f t="shared" si="76"/>
        <v>969.55</v>
      </c>
      <c r="I235" s="347">
        <f t="shared" ref="I235:I237" si="80">-H235</f>
        <v>-969.55</v>
      </c>
      <c r="J235" s="348"/>
      <c r="K235" s="159">
        <f t="shared" si="77"/>
        <v>75.42</v>
      </c>
      <c r="L235" s="347">
        <f t="shared" ref="L235:L237" si="81">-K235</f>
        <v>-75.42</v>
      </c>
      <c r="M235" s="393"/>
      <c r="N235" s="348"/>
      <c r="O235" s="356"/>
      <c r="P235" s="161"/>
      <c r="Q235" s="204"/>
      <c r="R235" s="161"/>
      <c r="S235" s="203"/>
      <c r="T235" s="159">
        <f t="shared" si="78"/>
        <v>89.149999999999864</v>
      </c>
      <c r="U235" s="347">
        <f t="shared" ref="U235:U237" si="82">-T235</f>
        <v>-89.149999999999864</v>
      </c>
      <c r="V235" s="348"/>
      <c r="W235" s="338"/>
      <c r="X235" s="350"/>
      <c r="Y235" s="289"/>
      <c r="Z235" s="351"/>
      <c r="AA235" s="162"/>
      <c r="AB235" s="162"/>
      <c r="AC235" s="206"/>
      <c r="AD235" s="162"/>
      <c r="AE235" s="351"/>
      <c r="AF235" s="162"/>
      <c r="AG235" s="352"/>
      <c r="AH235" s="161"/>
      <c r="AI235" s="353"/>
      <c r="AJ235" s="162"/>
      <c r="AK235" s="351"/>
      <c r="AL235" s="162"/>
      <c r="AM235" s="352"/>
      <c r="AN235" s="162"/>
      <c r="AO235" s="351"/>
      <c r="AP235" s="162"/>
      <c r="AR235" s="354"/>
      <c r="AS235" s="355" t="s">
        <v>177</v>
      </c>
    </row>
    <row r="236" spans="1:45" s="28" customFormat="1" ht="13.8" x14ac:dyDescent="0.3">
      <c r="A236" s="429"/>
      <c r="B236" s="155">
        <f t="shared" ref="B236:B245" si="83">B235+1</f>
        <v>3</v>
      </c>
      <c r="C236" s="357" t="s">
        <v>61</v>
      </c>
      <c r="D236" s="157">
        <f t="shared" ref="D236:D245" si="84">DATE(YEAR(D235),MONTH(D235)+1,DAY(D235))</f>
        <v>44877</v>
      </c>
      <c r="E236" s="157">
        <f>D236+10</f>
        <v>44887</v>
      </c>
      <c r="F236" s="158">
        <f t="shared" si="79"/>
        <v>10067.480000000001</v>
      </c>
      <c r="G236" s="159">
        <f t="shared" si="75"/>
        <v>1134.1199999999999</v>
      </c>
      <c r="H236" s="160">
        <f t="shared" si="76"/>
        <v>976.18000000000006</v>
      </c>
      <c r="I236" s="347">
        <f t="shared" si="80"/>
        <v>-976.18000000000006</v>
      </c>
      <c r="J236" s="348"/>
      <c r="K236" s="159">
        <f t="shared" si="77"/>
        <v>68.790000000000006</v>
      </c>
      <c r="L236" s="347">
        <f t="shared" si="81"/>
        <v>-68.790000000000006</v>
      </c>
      <c r="M236" s="393"/>
      <c r="N236" s="348"/>
      <c r="O236" s="349">
        <f>$K$66</f>
        <v>1.32</v>
      </c>
      <c r="P236" s="347">
        <f>-O236</f>
        <v>-1.32</v>
      </c>
      <c r="Q236" s="204"/>
      <c r="R236" s="161"/>
      <c r="S236" s="348"/>
      <c r="T236" s="159">
        <f t="shared" si="78"/>
        <v>89.149999999999864</v>
      </c>
      <c r="U236" s="347">
        <f t="shared" si="82"/>
        <v>-89.149999999999864</v>
      </c>
      <c r="V236" s="348"/>
      <c r="W236" s="349">
        <f>$O$66</f>
        <v>3.6599999999999997</v>
      </c>
      <c r="X236" s="347">
        <f>-W236</f>
        <v>-3.6599999999999997</v>
      </c>
      <c r="Y236" s="348"/>
      <c r="Z236" s="351"/>
      <c r="AA236" s="162"/>
      <c r="AB236" s="162"/>
      <c r="AC236" s="206"/>
      <c r="AD236" s="162"/>
      <c r="AE236" s="351"/>
      <c r="AF236" s="162"/>
      <c r="AG236" s="352"/>
      <c r="AH236" s="161"/>
      <c r="AI236" s="353"/>
      <c r="AJ236" s="162"/>
      <c r="AK236" s="351"/>
      <c r="AL236" s="162"/>
      <c r="AM236" s="352"/>
      <c r="AN236" s="162"/>
      <c r="AO236" s="351"/>
      <c r="AP236" s="162"/>
      <c r="AR236" s="354"/>
      <c r="AS236" s="355" t="s">
        <v>179</v>
      </c>
    </row>
    <row r="237" spans="1:45" s="28" customFormat="1" ht="13.8" x14ac:dyDescent="0.3">
      <c r="A237" s="429"/>
      <c r="B237" s="155">
        <f t="shared" si="83"/>
        <v>4</v>
      </c>
      <c r="C237" s="358" t="s">
        <v>48</v>
      </c>
      <c r="D237" s="157">
        <f t="shared" si="84"/>
        <v>44907</v>
      </c>
      <c r="E237" s="157"/>
      <c r="F237" s="158">
        <f t="shared" si="79"/>
        <v>9091.3000000000011</v>
      </c>
      <c r="G237" s="159">
        <f t="shared" si="75"/>
        <v>1134.1199999999999</v>
      </c>
      <c r="H237" s="160">
        <f t="shared" si="76"/>
        <v>982.85000000000014</v>
      </c>
      <c r="I237" s="347">
        <f t="shared" si="80"/>
        <v>-982.85000000000014</v>
      </c>
      <c r="J237" s="348"/>
      <c r="K237" s="159">
        <f t="shared" si="77"/>
        <v>62.12</v>
      </c>
      <c r="L237" s="347">
        <f t="shared" si="81"/>
        <v>-62.12</v>
      </c>
      <c r="M237" s="393"/>
      <c r="N237" s="348"/>
      <c r="O237" s="349"/>
      <c r="P237" s="161"/>
      <c r="Q237" s="204"/>
      <c r="R237" s="161"/>
      <c r="S237" s="203"/>
      <c r="T237" s="159">
        <f t="shared" si="78"/>
        <v>89.149999999999864</v>
      </c>
      <c r="U237" s="347">
        <f t="shared" si="82"/>
        <v>-89.149999999999864</v>
      </c>
      <c r="V237" s="348"/>
      <c r="W237" s="338"/>
      <c r="X237" s="350"/>
      <c r="Y237" s="289"/>
      <c r="Z237" s="351"/>
      <c r="AA237" s="162"/>
      <c r="AB237" s="162"/>
      <c r="AC237" s="206"/>
      <c r="AD237" s="162"/>
      <c r="AE237" s="351"/>
      <c r="AF237" s="162"/>
      <c r="AG237" s="352"/>
      <c r="AH237" s="161"/>
      <c r="AI237" s="353"/>
      <c r="AJ237" s="162"/>
      <c r="AK237" s="351"/>
      <c r="AL237" s="162"/>
      <c r="AM237" s="352"/>
      <c r="AN237" s="162"/>
      <c r="AO237" s="351"/>
      <c r="AP237" s="162"/>
      <c r="AR237" s="115">
        <v>1</v>
      </c>
      <c r="AS237" s="254" t="s">
        <v>180</v>
      </c>
    </row>
    <row r="238" spans="1:45" s="28" customFormat="1" ht="13.8" x14ac:dyDescent="0.3">
      <c r="A238" s="429"/>
      <c r="B238" s="155">
        <f t="shared" si="83"/>
        <v>5</v>
      </c>
      <c r="C238" s="357" t="s">
        <v>61</v>
      </c>
      <c r="D238" s="157">
        <f t="shared" si="84"/>
        <v>44938</v>
      </c>
      <c r="E238" s="157">
        <f>D238+10</f>
        <v>44948</v>
      </c>
      <c r="F238" s="158">
        <f t="shared" si="79"/>
        <v>8108.4500000000007</v>
      </c>
      <c r="G238" s="159">
        <f t="shared" si="75"/>
        <v>1134.1199999999999</v>
      </c>
      <c r="H238" s="160">
        <f t="shared" si="76"/>
        <v>989.56</v>
      </c>
      <c r="I238" s="347">
        <f>$Y$82</f>
        <v>-244.59</v>
      </c>
      <c r="J238" s="288">
        <f>-(H238+I238)</f>
        <v>-744.96999999999991</v>
      </c>
      <c r="K238" s="159">
        <f t="shared" si="77"/>
        <v>55.41</v>
      </c>
      <c r="L238" s="347">
        <f>-K220</f>
        <v>-55.41</v>
      </c>
      <c r="M238" s="393"/>
      <c r="N238" s="288"/>
      <c r="O238" s="349">
        <f>$K$80</f>
        <v>1.31</v>
      </c>
      <c r="P238" s="347">
        <f>-O238</f>
        <v>-1.31</v>
      </c>
      <c r="Q238" s="381">
        <f>$K$82</f>
        <v>0</v>
      </c>
      <c r="R238" s="161"/>
      <c r="S238" s="288">
        <f>-Q238</f>
        <v>0</v>
      </c>
      <c r="T238" s="159">
        <f t="shared" si="78"/>
        <v>89.149999999999864</v>
      </c>
      <c r="U238" s="347">
        <f>-T238</f>
        <v>-89.149999999999864</v>
      </c>
      <c r="V238" s="288"/>
      <c r="W238" s="349">
        <f>$P$80+$P$82</f>
        <v>4.54</v>
      </c>
      <c r="X238" s="347">
        <f>-W238</f>
        <v>-4.54</v>
      </c>
      <c r="Y238" s="289"/>
      <c r="Z238" s="290">
        <f>-J238</f>
        <v>744.96999999999991</v>
      </c>
      <c r="AA238" s="291">
        <f>$AD$137</f>
        <v>-91.640000000000128</v>
      </c>
      <c r="AB238" s="291">
        <f>-SUM(Z238:AA238)</f>
        <v>-653.32999999999981</v>
      </c>
      <c r="AC238" s="290">
        <f>-N238</f>
        <v>0</v>
      </c>
      <c r="AD238" s="291">
        <f>-AC238</f>
        <v>0</v>
      </c>
      <c r="AE238" s="290">
        <f>-S238</f>
        <v>0</v>
      </c>
      <c r="AF238" s="291">
        <f>-AE238</f>
        <v>0</v>
      </c>
      <c r="AG238" s="292">
        <f>$U$128</f>
        <v>14.309999999999995</v>
      </c>
      <c r="AH238" s="347">
        <f>-AG238</f>
        <v>-14.309999999999995</v>
      </c>
      <c r="AI238" s="360">
        <f>$U$163</f>
        <v>8.8000000000000025</v>
      </c>
      <c r="AJ238" s="291">
        <f>-AI238</f>
        <v>-8.8000000000000025</v>
      </c>
      <c r="AK238" s="290"/>
      <c r="AL238" s="291"/>
      <c r="AM238" s="292"/>
      <c r="AN238" s="291"/>
      <c r="AO238" s="290"/>
      <c r="AP238" s="291"/>
      <c r="AR238" s="115">
        <v>2</v>
      </c>
      <c r="AS238" s="254" t="s">
        <v>182</v>
      </c>
    </row>
    <row r="239" spans="1:45" s="28" customFormat="1" ht="13.8" x14ac:dyDescent="0.3">
      <c r="A239" s="429"/>
      <c r="B239" s="86">
        <f t="shared" si="83"/>
        <v>6</v>
      </c>
      <c r="C239" s="167" t="s">
        <v>61</v>
      </c>
      <c r="D239" s="157">
        <f t="shared" si="84"/>
        <v>44969</v>
      </c>
      <c r="E239" s="157">
        <f>D239+10</f>
        <v>44979</v>
      </c>
      <c r="F239" s="158">
        <f t="shared" si="79"/>
        <v>7118.8900000000012</v>
      </c>
      <c r="G239" s="159">
        <f t="shared" si="75"/>
        <v>1134.1199999999999</v>
      </c>
      <c r="H239" s="160">
        <f t="shared" si="76"/>
        <v>996.32999999999993</v>
      </c>
      <c r="I239" s="359"/>
      <c r="J239" s="288">
        <f>-H239</f>
        <v>-996.32999999999993</v>
      </c>
      <c r="K239" s="159">
        <f t="shared" si="77"/>
        <v>48.64</v>
      </c>
      <c r="L239" s="359"/>
      <c r="M239" s="386"/>
      <c r="N239" s="288">
        <f>-K239</f>
        <v>-48.64</v>
      </c>
      <c r="O239" s="349">
        <f>$K$129</f>
        <v>2.3000000000000003</v>
      </c>
      <c r="P239" s="359"/>
      <c r="Q239" s="361"/>
      <c r="R239" s="359"/>
      <c r="S239" s="288">
        <f>-O239</f>
        <v>-2.3000000000000003</v>
      </c>
      <c r="T239" s="159">
        <f t="shared" si="78"/>
        <v>89.149999999999864</v>
      </c>
      <c r="U239" s="347">
        <f>-T239</f>
        <v>-89.149999999999864</v>
      </c>
      <c r="V239" s="288"/>
      <c r="W239" s="349">
        <f>$P$129</f>
        <v>6.2</v>
      </c>
      <c r="X239" s="347">
        <f>-W239</f>
        <v>-6.2</v>
      </c>
      <c r="Y239" s="289"/>
      <c r="Z239" s="217">
        <f>-J239</f>
        <v>996.32999999999993</v>
      </c>
      <c r="AA239" s="93">
        <f>$AE$172</f>
        <v>-374.7500000000004</v>
      </c>
      <c r="AC239" s="290">
        <f>-N239</f>
        <v>48.64</v>
      </c>
      <c r="AD239" s="291">
        <f>-AC239</f>
        <v>-48.64</v>
      </c>
      <c r="AE239" s="290">
        <f>-S239</f>
        <v>2.3000000000000003</v>
      </c>
      <c r="AF239" s="291">
        <f>-AE239</f>
        <v>-2.3000000000000003</v>
      </c>
      <c r="AG239" s="360">
        <f>$Z$163</f>
        <v>15.520000000000003</v>
      </c>
      <c r="AH239" s="291">
        <f>-AG239</f>
        <v>-15.520000000000003</v>
      </c>
      <c r="AI239" s="278">
        <f>$Z$197</f>
        <v>7.1999999999999984</v>
      </c>
      <c r="AJ239" s="219"/>
      <c r="AK239" s="290"/>
      <c r="AL239" s="291"/>
      <c r="AM239" s="292"/>
      <c r="AN239" s="291"/>
      <c r="AO239" s="290"/>
      <c r="AP239" s="291"/>
      <c r="AR239" s="23">
        <v>3</v>
      </c>
      <c r="AS239" s="7" t="s">
        <v>130</v>
      </c>
    </row>
    <row r="240" spans="1:45" s="28" customFormat="1" ht="13.8" x14ac:dyDescent="0.3">
      <c r="A240" s="429"/>
      <c r="B240" s="86">
        <f t="shared" si="83"/>
        <v>7</v>
      </c>
      <c r="C240" s="167" t="s">
        <v>61</v>
      </c>
      <c r="D240" s="88">
        <f t="shared" si="84"/>
        <v>44997</v>
      </c>
      <c r="E240" s="88">
        <f>D240+10</f>
        <v>45007</v>
      </c>
      <c r="F240" s="158">
        <f t="shared" si="79"/>
        <v>6122.5600000000013</v>
      </c>
      <c r="G240" s="159">
        <f t="shared" si="75"/>
        <v>1134.1199999999999</v>
      </c>
      <c r="H240" s="160">
        <f t="shared" si="76"/>
        <v>1003.1300000000001</v>
      </c>
      <c r="I240" s="161"/>
      <c r="J240" s="288">
        <f>-F240</f>
        <v>-6122.5600000000013</v>
      </c>
      <c r="K240" s="159">
        <f t="shared" si="77"/>
        <v>41.84</v>
      </c>
      <c r="L240" s="161"/>
      <c r="M240" s="386">
        <f>-K240</f>
        <v>-41.84</v>
      </c>
      <c r="N240" s="288">
        <f>-$F$222*$I$4*_xlfn.DAYS(E240,D240)</f>
        <v>-13.959436800000004</v>
      </c>
      <c r="O240" s="349">
        <f>$K$197</f>
        <v>2.3000000000000003</v>
      </c>
      <c r="P240" s="161"/>
      <c r="Q240" s="204"/>
      <c r="R240" s="161"/>
      <c r="S240" s="288">
        <f>-O240</f>
        <v>-2.3000000000000003</v>
      </c>
      <c r="T240" s="159">
        <f t="shared" si="78"/>
        <v>89.149999999999864</v>
      </c>
      <c r="U240" s="347"/>
      <c r="V240" s="288">
        <f>-SUM(T240:T245)</f>
        <v>-534.89999999999918</v>
      </c>
      <c r="W240" s="349">
        <f>$P$197</f>
        <v>6.2</v>
      </c>
      <c r="X240" s="347"/>
      <c r="Y240" s="288">
        <f>-W240</f>
        <v>-6.2</v>
      </c>
      <c r="Z240" s="217">
        <f>-J240</f>
        <v>6122.5600000000013</v>
      </c>
      <c r="AA240" s="101"/>
      <c r="AB240" s="101"/>
      <c r="AC240" s="218">
        <f>-(N240+M240)</f>
        <v>55.799436800000009</v>
      </c>
      <c r="AD240" s="219"/>
      <c r="AE240" s="217">
        <f>-S240</f>
        <v>2.3000000000000003</v>
      </c>
      <c r="AF240" s="101"/>
      <c r="AG240" s="224"/>
      <c r="AH240" s="95"/>
      <c r="AI240" s="265"/>
      <c r="AJ240" s="219"/>
      <c r="AK240" s="217">
        <f>-V240</f>
        <v>534.89999999999918</v>
      </c>
      <c r="AL240" s="101"/>
      <c r="AM240" s="218">
        <f>-Y240</f>
        <v>6.2</v>
      </c>
      <c r="AN240" s="219"/>
      <c r="AO240" s="293" t="s">
        <v>282</v>
      </c>
      <c r="AP240" s="101"/>
      <c r="AR240" s="23">
        <v>4</v>
      </c>
      <c r="AS240" s="7" t="s">
        <v>132</v>
      </c>
    </row>
    <row r="241" spans="1:45" s="370" customFormat="1" ht="13.8" x14ac:dyDescent="0.3">
      <c r="A241" s="429"/>
      <c r="B241" s="294">
        <f t="shared" si="83"/>
        <v>8</v>
      </c>
      <c r="C241" s="295"/>
      <c r="D241" s="296">
        <f t="shared" si="84"/>
        <v>45028</v>
      </c>
      <c r="E241" s="296"/>
      <c r="F241" s="297">
        <f t="shared" si="79"/>
        <v>5119.4300000000012</v>
      </c>
      <c r="G241" s="298">
        <f t="shared" si="75"/>
        <v>1134.1199999999999</v>
      </c>
      <c r="H241" s="160">
        <f t="shared" si="76"/>
        <v>1009.99</v>
      </c>
      <c r="I241" s="362"/>
      <c r="J241" s="363"/>
      <c r="K241" s="364">
        <f t="shared" si="77"/>
        <v>34.979999999999997</v>
      </c>
      <c r="L241" s="362"/>
      <c r="M241" s="364"/>
      <c r="N241" s="363"/>
      <c r="O241" s="365"/>
      <c r="P241" s="362"/>
      <c r="Q241" s="366"/>
      <c r="R241" s="362"/>
      <c r="S241" s="363"/>
      <c r="T241" s="159">
        <f t="shared" si="78"/>
        <v>89.149999999999864</v>
      </c>
      <c r="U241" s="362"/>
      <c r="V241" s="363"/>
      <c r="W241" s="367"/>
      <c r="X241" s="368"/>
      <c r="Y241" s="369"/>
      <c r="Z241" s="308"/>
      <c r="AA241" s="309"/>
      <c r="AB241" s="309"/>
      <c r="AC241" s="310"/>
      <c r="AD241" s="311"/>
      <c r="AE241" s="308"/>
      <c r="AF241" s="309"/>
      <c r="AG241" s="312"/>
      <c r="AH241" s="300"/>
      <c r="AI241" s="313"/>
      <c r="AJ241" s="311"/>
      <c r="AK241" s="308"/>
      <c r="AL241" s="309"/>
      <c r="AM241" s="312"/>
      <c r="AN241" s="311"/>
      <c r="AO241" s="308"/>
      <c r="AP241" s="309"/>
      <c r="AR241" s="371"/>
      <c r="AS241" s="372" t="s">
        <v>63</v>
      </c>
    </row>
    <row r="242" spans="1:45" s="370" customFormat="1" ht="13.8" x14ac:dyDescent="0.3">
      <c r="A242" s="429"/>
      <c r="B242" s="294">
        <f t="shared" si="83"/>
        <v>9</v>
      </c>
      <c r="C242" s="295"/>
      <c r="D242" s="296">
        <f t="shared" si="84"/>
        <v>45058</v>
      </c>
      <c r="E242" s="296"/>
      <c r="F242" s="297">
        <f t="shared" si="79"/>
        <v>4109.4400000000014</v>
      </c>
      <c r="G242" s="298">
        <f t="shared" si="75"/>
        <v>1134.1199999999999</v>
      </c>
      <c r="H242" s="160">
        <f t="shared" si="76"/>
        <v>1016.8900000000001</v>
      </c>
      <c r="I242" s="362"/>
      <c r="J242" s="363"/>
      <c r="K242" s="364">
        <f t="shared" si="77"/>
        <v>28.08</v>
      </c>
      <c r="L242" s="362"/>
      <c r="M242" s="364"/>
      <c r="N242" s="363"/>
      <c r="O242" s="365"/>
      <c r="P242" s="362"/>
      <c r="Q242" s="366"/>
      <c r="R242" s="362"/>
      <c r="S242" s="363"/>
      <c r="T242" s="159">
        <f t="shared" si="78"/>
        <v>89.149999999999864</v>
      </c>
      <c r="U242" s="362"/>
      <c r="V242" s="363"/>
      <c r="W242" s="365"/>
      <c r="X242" s="362"/>
      <c r="Y242" s="363"/>
      <c r="Z242" s="308"/>
      <c r="AA242" s="309"/>
      <c r="AB242" s="309"/>
      <c r="AC242" s="310"/>
      <c r="AD242" s="311"/>
      <c r="AE242" s="308"/>
      <c r="AF242" s="309"/>
      <c r="AG242" s="312"/>
      <c r="AH242" s="300"/>
      <c r="AI242" s="313"/>
      <c r="AJ242" s="311"/>
      <c r="AK242" s="308"/>
      <c r="AL242" s="309"/>
      <c r="AM242" s="312"/>
      <c r="AN242" s="311"/>
      <c r="AO242" s="308"/>
      <c r="AP242" s="309"/>
      <c r="AR242" s="371"/>
      <c r="AS242" s="372" t="s">
        <v>64</v>
      </c>
    </row>
    <row r="243" spans="1:45" s="370" customFormat="1" ht="13.8" x14ac:dyDescent="0.3">
      <c r="A243" s="429"/>
      <c r="B243" s="294">
        <f t="shared" si="83"/>
        <v>10</v>
      </c>
      <c r="C243" s="295"/>
      <c r="D243" s="296">
        <f t="shared" si="84"/>
        <v>45089</v>
      </c>
      <c r="E243" s="296"/>
      <c r="F243" s="297">
        <f t="shared" si="79"/>
        <v>3092.5500000000011</v>
      </c>
      <c r="G243" s="298">
        <f t="shared" si="75"/>
        <v>1134.1199999999999</v>
      </c>
      <c r="H243" s="160">
        <f t="shared" si="76"/>
        <v>1023.8399999999999</v>
      </c>
      <c r="I243" s="362"/>
      <c r="J243" s="363"/>
      <c r="K243" s="364">
        <f t="shared" si="77"/>
        <v>21.13</v>
      </c>
      <c r="L243" s="362"/>
      <c r="M243" s="364"/>
      <c r="N243" s="363"/>
      <c r="O243" s="365"/>
      <c r="P243" s="362"/>
      <c r="Q243" s="366"/>
      <c r="R243" s="362"/>
      <c r="S243" s="363"/>
      <c r="T243" s="159">
        <f t="shared" si="78"/>
        <v>89.149999999999864</v>
      </c>
      <c r="U243" s="362"/>
      <c r="V243" s="363"/>
      <c r="W243" s="367"/>
      <c r="X243" s="368"/>
      <c r="Y243" s="369"/>
      <c r="Z243" s="308"/>
      <c r="AA243" s="309"/>
      <c r="AB243" s="309"/>
      <c r="AC243" s="310"/>
      <c r="AD243" s="311"/>
      <c r="AE243" s="308"/>
      <c r="AF243" s="309"/>
      <c r="AG243" s="312"/>
      <c r="AH243" s="300"/>
      <c r="AI243" s="313"/>
      <c r="AJ243" s="311"/>
      <c r="AK243" s="308"/>
      <c r="AL243" s="309"/>
      <c r="AM243" s="312"/>
      <c r="AN243" s="311"/>
      <c r="AO243" s="308"/>
      <c r="AP243" s="309"/>
      <c r="AR243" s="23">
        <v>5</v>
      </c>
      <c r="AS243" s="7" t="s">
        <v>188</v>
      </c>
    </row>
    <row r="244" spans="1:45" s="370" customFormat="1" ht="13.8" x14ac:dyDescent="0.3">
      <c r="A244" s="429"/>
      <c r="B244" s="294">
        <f t="shared" si="83"/>
        <v>11</v>
      </c>
      <c r="C244" s="295"/>
      <c r="D244" s="296">
        <f t="shared" si="84"/>
        <v>45119</v>
      </c>
      <c r="E244" s="296"/>
      <c r="F244" s="297">
        <f t="shared" si="79"/>
        <v>2068.7100000000009</v>
      </c>
      <c r="G244" s="298">
        <f t="shared" si="75"/>
        <v>1134.1199999999999</v>
      </c>
      <c r="H244" s="160">
        <f t="shared" si="76"/>
        <v>1030.83</v>
      </c>
      <c r="I244" s="362"/>
      <c r="J244" s="363"/>
      <c r="K244" s="364">
        <f t="shared" si="77"/>
        <v>14.14</v>
      </c>
      <c r="L244" s="362"/>
      <c r="M244" s="364"/>
      <c r="N244" s="363"/>
      <c r="O244" s="365"/>
      <c r="P244" s="362"/>
      <c r="Q244" s="366"/>
      <c r="R244" s="362"/>
      <c r="S244" s="363"/>
      <c r="T244" s="159">
        <f t="shared" si="78"/>
        <v>89.149999999999864</v>
      </c>
      <c r="U244" s="362"/>
      <c r="V244" s="363"/>
      <c r="W244" s="365"/>
      <c r="X244" s="362"/>
      <c r="Y244" s="363"/>
      <c r="Z244" s="308"/>
      <c r="AA244" s="309"/>
      <c r="AB244" s="309"/>
      <c r="AC244" s="310"/>
      <c r="AD244" s="311"/>
      <c r="AE244" s="308"/>
      <c r="AF244" s="309"/>
      <c r="AG244" s="312"/>
      <c r="AH244" s="300"/>
      <c r="AI244" s="313"/>
      <c r="AJ244" s="311"/>
      <c r="AK244" s="308"/>
      <c r="AL244" s="309"/>
      <c r="AM244" s="312"/>
      <c r="AN244" s="311"/>
      <c r="AO244" s="308"/>
      <c r="AP244" s="309"/>
      <c r="AR244" s="23">
        <v>6</v>
      </c>
      <c r="AS244" s="7" t="s">
        <v>190</v>
      </c>
    </row>
    <row r="245" spans="1:45" s="370" customFormat="1" ht="14.4" thickBot="1" x14ac:dyDescent="0.35">
      <c r="A245" s="429"/>
      <c r="B245" s="314">
        <f t="shared" si="83"/>
        <v>12</v>
      </c>
      <c r="C245" s="315"/>
      <c r="D245" s="316">
        <f t="shared" si="84"/>
        <v>45150</v>
      </c>
      <c r="E245" s="316"/>
      <c r="F245" s="317">
        <f t="shared" si="79"/>
        <v>1037.880000000001</v>
      </c>
      <c r="G245" s="318">
        <f t="shared" si="75"/>
        <v>1134.1199999999999</v>
      </c>
      <c r="H245" s="373">
        <f t="shared" si="76"/>
        <v>1037.8800000000001</v>
      </c>
      <c r="I245" s="374"/>
      <c r="J245" s="375"/>
      <c r="K245" s="376">
        <f t="shared" si="77"/>
        <v>7.09</v>
      </c>
      <c r="L245" s="374"/>
      <c r="M245" s="376"/>
      <c r="N245" s="375"/>
      <c r="O245" s="377"/>
      <c r="P245" s="374"/>
      <c r="Q245" s="378"/>
      <c r="R245" s="374"/>
      <c r="S245" s="375"/>
      <c r="T245" s="379">
        <f t="shared" si="78"/>
        <v>89.149999999999864</v>
      </c>
      <c r="U245" s="374"/>
      <c r="V245" s="375"/>
      <c r="W245" s="377"/>
      <c r="X245" s="380"/>
      <c r="Y245" s="375"/>
      <c r="Z245" s="326"/>
      <c r="AA245" s="327"/>
      <c r="AB245" s="327"/>
      <c r="AC245" s="328"/>
      <c r="AD245" s="329"/>
      <c r="AE245" s="326"/>
      <c r="AF245" s="327"/>
      <c r="AG245" s="328"/>
      <c r="AH245" s="320"/>
      <c r="AI245" s="330"/>
      <c r="AJ245" s="329"/>
      <c r="AK245" s="326"/>
      <c r="AL245" s="327"/>
      <c r="AM245" s="328"/>
      <c r="AN245" s="329"/>
      <c r="AO245" s="326"/>
      <c r="AP245" s="327"/>
      <c r="AR245" s="23">
        <v>7</v>
      </c>
      <c r="AS245" s="7" t="s">
        <v>138</v>
      </c>
    </row>
    <row r="246" spans="1:45" ht="16.2" thickBot="1" x14ac:dyDescent="0.35"/>
    <row r="247" spans="1:45" ht="34.5" customHeight="1" x14ac:dyDescent="0.3">
      <c r="B247" s="394" t="s">
        <v>14</v>
      </c>
      <c r="C247" s="395" t="s">
        <v>37</v>
      </c>
      <c r="D247" s="396" t="s">
        <v>15</v>
      </c>
      <c r="E247" s="396" t="s">
        <v>283</v>
      </c>
      <c r="F247" s="396" t="s">
        <v>268</v>
      </c>
      <c r="G247" s="397" t="s">
        <v>267</v>
      </c>
      <c r="J247" s="4"/>
      <c r="M247" s="3"/>
      <c r="Q247" s="426" t="s">
        <v>294</v>
      </c>
      <c r="R247" s="426"/>
      <c r="S247" s="426"/>
      <c r="T247" s="426"/>
      <c r="U247" s="426"/>
      <c r="V247" s="426"/>
    </row>
    <row r="248" spans="1:45" ht="17.25" customHeight="1" x14ac:dyDescent="0.3">
      <c r="B248" s="410">
        <v>1</v>
      </c>
      <c r="C248" s="411" t="s">
        <v>48</v>
      </c>
      <c r="D248" s="88">
        <f>D234</f>
        <v>44816</v>
      </c>
      <c r="E248" s="402">
        <f>SUM(G234,O234,W234,Q234,AG234,AI234)</f>
        <v>1134.1199999999999</v>
      </c>
      <c r="F248" s="402">
        <f t="shared" ref="F248:F251" si="85">-SUM(I234,L234,P234,R234,U234,X234,AH234,AB234,AD234,AF234,AJ234,AA234)</f>
        <v>1134.1199999999999</v>
      </c>
      <c r="G248" s="403">
        <f>E248-F248</f>
        <v>0</v>
      </c>
      <c r="J248" s="4"/>
      <c r="M248" s="3"/>
      <c r="Q248" s="426" t="s">
        <v>295</v>
      </c>
      <c r="R248" s="426"/>
      <c r="S248" s="426"/>
      <c r="T248" s="426"/>
      <c r="U248" s="426"/>
      <c r="V248" s="426"/>
    </row>
    <row r="249" spans="1:45" ht="17.25" customHeight="1" x14ac:dyDescent="0.3">
      <c r="B249" s="410">
        <v>2</v>
      </c>
      <c r="C249" s="411" t="s">
        <v>48</v>
      </c>
      <c r="D249" s="88">
        <f>DATE(YEAR(D248),MONTH(D248)+1,DAY(D248))</f>
        <v>44846</v>
      </c>
      <c r="E249" s="402">
        <f t="shared" ref="E249:E253" si="86">SUM(G235,O235,W235,Q235,AG235,AI235)</f>
        <v>1134.1199999999999</v>
      </c>
      <c r="F249" s="402">
        <f t="shared" si="85"/>
        <v>1134.1199999999999</v>
      </c>
      <c r="G249" s="403">
        <f t="shared" ref="G249:G254" si="87">E249-F249</f>
        <v>0</v>
      </c>
      <c r="J249" s="4"/>
      <c r="M249" s="3"/>
      <c r="Q249" s="426" t="s">
        <v>296</v>
      </c>
      <c r="R249" s="426"/>
      <c r="S249" s="426"/>
      <c r="T249" s="426"/>
      <c r="U249" s="426"/>
      <c r="V249" s="426"/>
    </row>
    <row r="250" spans="1:45" ht="15.75" customHeight="1" x14ac:dyDescent="0.3">
      <c r="B250" s="410">
        <v>3</v>
      </c>
      <c r="C250" s="407" t="s">
        <v>61</v>
      </c>
      <c r="D250" s="88">
        <f t="shared" ref="D250:D254" si="88">DATE(YEAR(D249),MONTH(D249)+1,DAY(D249))</f>
        <v>44877</v>
      </c>
      <c r="E250" s="402">
        <f t="shared" si="86"/>
        <v>1139.0999999999999</v>
      </c>
      <c r="F250" s="402">
        <f t="shared" si="85"/>
        <v>1139.0999999999999</v>
      </c>
      <c r="G250" s="403">
        <f t="shared" si="87"/>
        <v>0</v>
      </c>
      <c r="J250" s="4"/>
      <c r="M250" s="3"/>
      <c r="Q250" s="426" t="s">
        <v>297</v>
      </c>
      <c r="R250" s="426"/>
      <c r="S250" s="426"/>
      <c r="T250" s="426"/>
      <c r="U250" s="426"/>
      <c r="V250" s="426"/>
    </row>
    <row r="251" spans="1:45" ht="13.5" customHeight="1" x14ac:dyDescent="0.3">
      <c r="B251" s="410">
        <v>4</v>
      </c>
      <c r="C251" s="411" t="s">
        <v>48</v>
      </c>
      <c r="D251" s="88">
        <f t="shared" si="88"/>
        <v>44907</v>
      </c>
      <c r="E251" s="402">
        <f t="shared" si="86"/>
        <v>1134.1199999999999</v>
      </c>
      <c r="F251" s="402">
        <f t="shared" si="85"/>
        <v>1134.1199999999999</v>
      </c>
      <c r="G251" s="403">
        <f t="shared" si="87"/>
        <v>0</v>
      </c>
      <c r="J251" s="4"/>
      <c r="M251" s="3"/>
      <c r="Q251" s="426" t="s">
        <v>298</v>
      </c>
      <c r="R251" s="426"/>
      <c r="S251" s="426"/>
      <c r="T251" s="426"/>
      <c r="U251" s="426"/>
      <c r="V251" s="426"/>
    </row>
    <row r="252" spans="1:45" ht="13.5" customHeight="1" x14ac:dyDescent="0.3">
      <c r="B252" s="398">
        <v>5</v>
      </c>
      <c r="C252" s="407" t="s">
        <v>61</v>
      </c>
      <c r="D252" s="88">
        <f t="shared" si="88"/>
        <v>44938</v>
      </c>
      <c r="E252" s="402">
        <f>SUM(G238,O238,W238,Q238,AG238,AI238)</f>
        <v>1163.0799999999997</v>
      </c>
      <c r="F252" s="402">
        <f>-SUM(I238,L238,P238,R238,U238,X238,AH238,AB238,AD238,AF238,AJ238,AA238)</f>
        <v>1163.0799999999997</v>
      </c>
      <c r="G252" s="403">
        <f t="shared" si="87"/>
        <v>0</v>
      </c>
      <c r="J252" s="4"/>
      <c r="M252" s="3"/>
      <c r="Q252" s="426" t="s">
        <v>130</v>
      </c>
      <c r="R252" s="426"/>
      <c r="S252" s="426"/>
      <c r="T252" s="426"/>
      <c r="U252" s="426"/>
      <c r="V252" s="426"/>
    </row>
    <row r="253" spans="1:45" x14ac:dyDescent="0.3">
      <c r="B253" s="86">
        <f>B239</f>
        <v>6</v>
      </c>
      <c r="C253" s="408" t="s">
        <v>61</v>
      </c>
      <c r="D253" s="88">
        <f t="shared" si="88"/>
        <v>44969</v>
      </c>
      <c r="E253" s="402">
        <f t="shared" si="86"/>
        <v>1165.3399999999999</v>
      </c>
      <c r="F253" s="402">
        <f t="shared" ref="F253:F254" si="89">-SUM(I239,L239,P239,R239,U239,X239,AH239,AB239,AD239,AF239,AJ239,AA239)</f>
        <v>536.56000000000029</v>
      </c>
      <c r="G253" s="405">
        <f t="shared" si="87"/>
        <v>628.77999999999963</v>
      </c>
      <c r="H253" s="4"/>
      <c r="J253" s="4"/>
      <c r="M253" s="3"/>
      <c r="Q253" s="426" t="s">
        <v>299</v>
      </c>
      <c r="R253" s="426"/>
      <c r="S253" s="426"/>
      <c r="T253" s="426"/>
      <c r="U253" s="426"/>
      <c r="V253" s="426"/>
    </row>
    <row r="254" spans="1:45" ht="16.2" thickBot="1" x14ac:dyDescent="0.35">
      <c r="B254" s="104">
        <f t="shared" ref="B254" si="90">B253+1</f>
        <v>7</v>
      </c>
      <c r="C254" s="409" t="s">
        <v>61</v>
      </c>
      <c r="D254" s="106">
        <f t="shared" si="88"/>
        <v>44997</v>
      </c>
      <c r="E254" s="404">
        <f>SUM(Z240,AC240,AE240,AK240,AM240)</f>
        <v>6721.7594368</v>
      </c>
      <c r="F254" s="404">
        <f t="shared" si="89"/>
        <v>0</v>
      </c>
      <c r="G254" s="406">
        <f t="shared" si="87"/>
        <v>6721.7594368</v>
      </c>
      <c r="J254" s="4"/>
      <c r="M254" s="3"/>
      <c r="Q254" s="426" t="s">
        <v>300</v>
      </c>
      <c r="R254" s="426"/>
      <c r="S254" s="426"/>
      <c r="T254" s="426"/>
      <c r="U254" s="426"/>
      <c r="V254" s="426"/>
    </row>
    <row r="255" spans="1:45" x14ac:dyDescent="0.3">
      <c r="Q255" s="426" t="s">
        <v>301</v>
      </c>
      <c r="R255" s="426"/>
      <c r="S255" s="426"/>
      <c r="T255" s="426"/>
      <c r="U255" s="426"/>
      <c r="V255" s="426"/>
    </row>
  </sheetData>
  <mergeCells count="94">
    <mergeCell ref="C5:D5"/>
    <mergeCell ref="G6:H6"/>
    <mergeCell ref="C2:D2"/>
    <mergeCell ref="C3:D3"/>
    <mergeCell ref="G2:H2"/>
    <mergeCell ref="C4:D4"/>
    <mergeCell ref="G4:H4"/>
    <mergeCell ref="G5:H5"/>
    <mergeCell ref="G3:H3"/>
    <mergeCell ref="C6:D6"/>
    <mergeCell ref="G7:H7"/>
    <mergeCell ref="C7:D7"/>
    <mergeCell ref="G8:H8"/>
    <mergeCell ref="C8:D8"/>
    <mergeCell ref="C9:D9"/>
    <mergeCell ref="G9:H9"/>
    <mergeCell ref="A27:A49"/>
    <mergeCell ref="G27:K27"/>
    <mergeCell ref="L27:P27"/>
    <mergeCell ref="H30:I30"/>
    <mergeCell ref="M30:N30"/>
    <mergeCell ref="H31:I31"/>
    <mergeCell ref="M31:N31"/>
    <mergeCell ref="H32:I32"/>
    <mergeCell ref="M32:N32"/>
    <mergeCell ref="H33:I33"/>
    <mergeCell ref="M33:N33"/>
    <mergeCell ref="H34:I34"/>
    <mergeCell ref="M34:N34"/>
    <mergeCell ref="A52:A75"/>
    <mergeCell ref="G52:K52"/>
    <mergeCell ref="L52:P52"/>
    <mergeCell ref="H54:I54"/>
    <mergeCell ref="K54:K59"/>
    <mergeCell ref="M54:N54"/>
    <mergeCell ref="M57:N57"/>
    <mergeCell ref="H58:I58"/>
    <mergeCell ref="M58:N58"/>
    <mergeCell ref="H59:I59"/>
    <mergeCell ref="M59:N59"/>
    <mergeCell ref="P54:P59"/>
    <mergeCell ref="H55:I55"/>
    <mergeCell ref="M55:N55"/>
    <mergeCell ref="H56:I56"/>
    <mergeCell ref="M56:N56"/>
    <mergeCell ref="A78:A124"/>
    <mergeCell ref="G78:K78"/>
    <mergeCell ref="L78:P78"/>
    <mergeCell ref="Q78:U78"/>
    <mergeCell ref="H80:I80"/>
    <mergeCell ref="M80:N80"/>
    <mergeCell ref="H82:I82"/>
    <mergeCell ref="U90:U109"/>
    <mergeCell ref="H57:I57"/>
    <mergeCell ref="M82:N82"/>
    <mergeCell ref="R90:S90"/>
    <mergeCell ref="K80:K86"/>
    <mergeCell ref="H87:I87"/>
    <mergeCell ref="M87:N87"/>
    <mergeCell ref="P80:P89"/>
    <mergeCell ref="K87:K89"/>
    <mergeCell ref="K129:K138"/>
    <mergeCell ref="P129:P138"/>
    <mergeCell ref="U135:U144"/>
    <mergeCell ref="A162:A194"/>
    <mergeCell ref="G162:K162"/>
    <mergeCell ref="L162:P162"/>
    <mergeCell ref="Q162:Z162"/>
    <mergeCell ref="U163:U172"/>
    <mergeCell ref="Z163:Z172"/>
    <mergeCell ref="Z173:Z179"/>
    <mergeCell ref="A127:A159"/>
    <mergeCell ref="G127:K127"/>
    <mergeCell ref="L127:P127"/>
    <mergeCell ref="Q127:Z127"/>
    <mergeCell ref="U128:U134"/>
    <mergeCell ref="K175:K179"/>
    <mergeCell ref="P175:P179"/>
    <mergeCell ref="A196:A227"/>
    <mergeCell ref="G196:J196"/>
    <mergeCell ref="L196:P196"/>
    <mergeCell ref="AK231:AL231"/>
    <mergeCell ref="AM231:AN231"/>
    <mergeCell ref="AO231:AP231"/>
    <mergeCell ref="A232:A245"/>
    <mergeCell ref="AA196:AG196"/>
    <mergeCell ref="K197:K201"/>
    <mergeCell ref="P197:P201"/>
    <mergeCell ref="Z197:Z201"/>
    <mergeCell ref="Z231:AB231"/>
    <mergeCell ref="AC231:AD231"/>
    <mergeCell ref="AE231:AF231"/>
    <mergeCell ref="AG231:AJ231"/>
    <mergeCell ref="Q196:Z196"/>
  </mergeCells>
  <conditionalFormatting sqref="E9">
    <cfRule type="cellIs" dxfId="56" priority="55" operator="greaterThan">
      <formula>36%</formula>
    </cfRule>
  </conditionalFormatting>
  <conditionalFormatting sqref="B51:AM51 B38:G39 K38:N39 Q52:AL52 Q53:Q58 T53:AM58 Q59:S59 B40:N50 W115 Y159 X154:Y154 X156:Y156 X158:Y158 X150:Y150 AC128 S148:V159 Y194 X189:Y189 X191:Y191 X193:Y193 X185:Y185 X224:Y224 X226:Y226 X218:Y218 X222:Y222 Y227 S216:V219 S234:V245 T187:V187 S221:V227 T220:V220 B113:U124 B148:I159 K148:P151 K153:P159 L152:P152 B183:I194 K187:N187 K188:V194 K183:V186 W59:X59 Q61:AM61 Q60:R60 T60:AM60 Z59:AM59 B216:P219 B220:N220 B221:P227 B234:P245 B253:C254 D248:D254">
    <cfRule type="expression" dxfId="55" priority="56">
      <formula>$B38&gt;$E$4</formula>
    </cfRule>
  </conditionalFormatting>
  <conditionalFormatting sqref="Z153:AE159 AC187:AF194 AJ183:AJ194 AB187 AB189:AB194 Z187:AA194 AG153:AG159 AJ216:AJ227 AB220 AB222:AB227 Z220:AA227 AH188:AH194 AH221:AH227 AN222:AN227">
    <cfRule type="expression" dxfId="54" priority="57">
      <formula>#REF!&gt;$E$4</formula>
    </cfRule>
  </conditionalFormatting>
  <conditionalFormatting sqref="C14:I25">
    <cfRule type="expression" dxfId="53" priority="58">
      <formula>$C14&gt;$E$4</formula>
    </cfRule>
  </conditionalFormatting>
  <conditionalFormatting sqref="AE113:AE124 X113:AC124 AC183:AF186 Z183:AA186 Z216:AA219">
    <cfRule type="expression" dxfId="52" priority="54">
      <formula>#REF!&gt;$E$4</formula>
    </cfRule>
  </conditionalFormatting>
  <conditionalFormatting sqref="B64:N75">
    <cfRule type="expression" dxfId="51" priority="53">
      <formula>$B64&gt;$E$4</formula>
    </cfRule>
  </conditionalFormatting>
  <conditionalFormatting sqref="H38:J39">
    <cfRule type="expression" dxfId="50" priority="52">
      <formula>$B38&gt;$E$4</formula>
    </cfRule>
  </conditionalFormatting>
  <conditionalFormatting sqref="AG148:AG151">
    <cfRule type="expression" dxfId="49" priority="51">
      <formula>#REF!&gt;$E$4</formula>
    </cfRule>
  </conditionalFormatting>
  <conditionalFormatting sqref="Z148:AE151">
    <cfRule type="expression" dxfId="48" priority="50">
      <formula>#REF!&gt;$E$4</formula>
    </cfRule>
  </conditionalFormatting>
  <conditionalFormatting sqref="Z152:AE152">
    <cfRule type="expression" dxfId="47" priority="49">
      <formula>#REF!&gt;$E$4</formula>
    </cfRule>
  </conditionalFormatting>
  <conditionalFormatting sqref="AG152">
    <cfRule type="expression" dxfId="46" priority="48">
      <formula>#REF!&gt;$E$4</formula>
    </cfRule>
  </conditionalFormatting>
  <conditionalFormatting sqref="AH187">
    <cfRule type="expression" dxfId="45" priority="45">
      <formula>#REF!&gt;$E$4</formula>
    </cfRule>
  </conditionalFormatting>
  <conditionalFormatting sqref="AC220:AF227">
    <cfRule type="expression" dxfId="44" priority="43">
      <formula>#REF!&gt;$E$4</formula>
    </cfRule>
  </conditionalFormatting>
  <conditionalFormatting sqref="AI148:AI159">
    <cfRule type="expression" dxfId="43" priority="47">
      <formula>#REF!&gt;$E$4</formula>
    </cfRule>
  </conditionalFormatting>
  <conditionalFormatting sqref="AH183:AH186">
    <cfRule type="expression" dxfId="42" priority="46">
      <formula>#REF!&gt;$E$4</formula>
    </cfRule>
  </conditionalFormatting>
  <conditionalFormatting sqref="AB183:AB186">
    <cfRule type="expression" dxfId="41" priority="44">
      <formula>#REF!&gt;$E$4</formula>
    </cfRule>
  </conditionalFormatting>
  <conditionalFormatting sqref="AC216:AF219">
    <cfRule type="expression" dxfId="40" priority="42">
      <formula>#REF!&gt;$E$4</formula>
    </cfRule>
  </conditionalFormatting>
  <conditionalFormatting sqref="AH216:AH219">
    <cfRule type="expression" dxfId="39" priority="41">
      <formula>#REF!&gt;$E$4</formula>
    </cfRule>
  </conditionalFormatting>
  <conditionalFormatting sqref="AH220">
    <cfRule type="expression" dxfId="38" priority="40">
      <formula>#REF!&gt;$E$4</formula>
    </cfRule>
  </conditionalFormatting>
  <conditionalFormatting sqref="AB216:AB219">
    <cfRule type="expression" dxfId="37" priority="39">
      <formula>#REF!&gt;$E$4</formula>
    </cfRule>
  </conditionalFormatting>
  <conditionalFormatting sqref="AK220:AL227">
    <cfRule type="expression" dxfId="36" priority="38">
      <formula>#REF!&gt;$E$4</formula>
    </cfRule>
  </conditionalFormatting>
  <conditionalFormatting sqref="AK216:AL219">
    <cfRule type="expression" dxfId="35" priority="37">
      <formula>#REF!&gt;$E$4</formula>
    </cfRule>
  </conditionalFormatting>
  <conditionalFormatting sqref="AN221">
    <cfRule type="expression" dxfId="34" priority="36">
      <formula>#REF!&gt;$E$4</formula>
    </cfRule>
  </conditionalFormatting>
  <conditionalFormatting sqref="AN216:AN219">
    <cfRule type="expression" dxfId="33" priority="35">
      <formula>#REF!&gt;$E$4</formula>
    </cfRule>
  </conditionalFormatting>
  <conditionalFormatting sqref="AN220">
    <cfRule type="expression" dxfId="32" priority="34">
      <formula>#REF!&gt;$E$4</formula>
    </cfRule>
  </conditionalFormatting>
  <conditionalFormatting sqref="AO220:AP227">
    <cfRule type="expression" dxfId="31" priority="33">
      <formula>#REF!&gt;$E$4</formula>
    </cfRule>
  </conditionalFormatting>
  <conditionalFormatting sqref="AO216:AP219">
    <cfRule type="expression" dxfId="30" priority="32">
      <formula>#REF!&gt;$E$4</formula>
    </cfRule>
  </conditionalFormatting>
  <conditionalFormatting sqref="Y59">
    <cfRule type="expression" dxfId="29" priority="31">
      <formula>$B59&gt;$E$4</formula>
    </cfRule>
  </conditionalFormatting>
  <conditionalFormatting sqref="Q148:R159">
    <cfRule type="expression" dxfId="28" priority="30">
      <formula>$B148&gt;$E$4</formula>
    </cfRule>
  </conditionalFormatting>
  <conditionalFormatting sqref="X242:Y242 X244:Y244 X236:Y236 X240:Y240 Y245">
    <cfRule type="expression" dxfId="27" priority="28">
      <formula>$B236&gt;$E$4</formula>
    </cfRule>
  </conditionalFormatting>
  <conditionalFormatting sqref="AJ234:AJ245 AB238 AB240:AB245 Z238:AA245 AH239:AH245 AN240:AN245">
    <cfRule type="expression" dxfId="26" priority="29">
      <formula>#REF!&gt;$E$4</formula>
    </cfRule>
  </conditionalFormatting>
  <conditionalFormatting sqref="Z234:AA237">
    <cfRule type="expression" dxfId="25" priority="27">
      <formula>#REF!&gt;$E$4</formula>
    </cfRule>
  </conditionalFormatting>
  <conditionalFormatting sqref="AC238:AF245">
    <cfRule type="expression" dxfId="24" priority="26">
      <formula>#REF!&gt;$E$4</formula>
    </cfRule>
  </conditionalFormatting>
  <conditionalFormatting sqref="AC234:AF237">
    <cfRule type="expression" dxfId="23" priority="25">
      <formula>#REF!&gt;$E$4</formula>
    </cfRule>
  </conditionalFormatting>
  <conditionalFormatting sqref="AH234:AH237">
    <cfRule type="expression" dxfId="22" priority="24">
      <formula>#REF!&gt;$E$4</formula>
    </cfRule>
  </conditionalFormatting>
  <conditionalFormatting sqref="AH238">
    <cfRule type="expression" dxfId="21" priority="23">
      <formula>#REF!&gt;$E$4</formula>
    </cfRule>
  </conditionalFormatting>
  <conditionalFormatting sqref="AB234:AB237">
    <cfRule type="expression" dxfId="20" priority="22">
      <formula>#REF!&gt;$E$4</formula>
    </cfRule>
  </conditionalFormatting>
  <conditionalFormatting sqref="AK238:AL245">
    <cfRule type="expression" dxfId="19" priority="21">
      <formula>#REF!&gt;$E$4</formula>
    </cfRule>
  </conditionalFormatting>
  <conditionalFormatting sqref="AK234:AL237">
    <cfRule type="expression" dxfId="18" priority="20">
      <formula>#REF!&gt;$E$4</formula>
    </cfRule>
  </conditionalFormatting>
  <conditionalFormatting sqref="AN239">
    <cfRule type="expression" dxfId="17" priority="19">
      <formula>#REF!&gt;$E$4</formula>
    </cfRule>
  </conditionalFormatting>
  <conditionalFormatting sqref="AN234:AN237">
    <cfRule type="expression" dxfId="16" priority="18">
      <formula>#REF!&gt;$E$4</formula>
    </cfRule>
  </conditionalFormatting>
  <conditionalFormatting sqref="AN238">
    <cfRule type="expression" dxfId="15" priority="17">
      <formula>#REF!&gt;$E$4</formula>
    </cfRule>
  </conditionalFormatting>
  <conditionalFormatting sqref="AO238:AP245">
    <cfRule type="expression" dxfId="14" priority="16">
      <formula>#REF!&gt;$E$4</formula>
    </cfRule>
  </conditionalFormatting>
  <conditionalFormatting sqref="AO234:AP237">
    <cfRule type="expression" dxfId="13" priority="15">
      <formula>#REF!&gt;$E$4</formula>
    </cfRule>
  </conditionalFormatting>
  <conditionalFormatting sqref="Q216:R219 Q221:R227">
    <cfRule type="expression" dxfId="12" priority="14">
      <formula>$B216&gt;$E$4</formula>
    </cfRule>
  </conditionalFormatting>
  <conditionalFormatting sqref="Q234:R245">
    <cfRule type="expression" dxfId="11" priority="13">
      <formula>$B234&gt;$E$4</formula>
    </cfRule>
  </conditionalFormatting>
  <conditionalFormatting sqref="S187 O187:P187">
    <cfRule type="expression" dxfId="10" priority="12">
      <formula>$B187&gt;$E$4</formula>
    </cfRule>
  </conditionalFormatting>
  <conditionalFormatting sqref="R187">
    <cfRule type="expression" dxfId="9" priority="11">
      <formula>$B187&gt;$E$4</formula>
    </cfRule>
  </conditionalFormatting>
  <conditionalFormatting sqref="S220 O220:P220">
    <cfRule type="expression" dxfId="8" priority="10">
      <formula>$B220&gt;$E$4</formula>
    </cfRule>
  </conditionalFormatting>
  <conditionalFormatting sqref="Q220:R220">
    <cfRule type="expression" dxfId="7" priority="9">
      <formula>$B220&gt;$E$4</formula>
    </cfRule>
  </conditionalFormatting>
  <conditionalFormatting sqref="J148:J151 J153:J159">
    <cfRule type="expression" dxfId="6" priority="8">
      <formula>$B148&gt;$E$4</formula>
    </cfRule>
  </conditionalFormatting>
  <conditionalFormatting sqref="J152">
    <cfRule type="expression" dxfId="5" priority="7">
      <formula>$B152&gt;$E$4</formula>
    </cfRule>
  </conditionalFormatting>
  <conditionalFormatting sqref="K152">
    <cfRule type="expression" dxfId="4" priority="6">
      <formula>$B152&gt;$E$4</formula>
    </cfRule>
  </conditionalFormatting>
  <conditionalFormatting sqref="J183:J186 J188:J194">
    <cfRule type="expression" dxfId="3" priority="5">
      <formula>$B183&gt;$E$4</formula>
    </cfRule>
  </conditionalFormatting>
  <conditionalFormatting sqref="J187">
    <cfRule type="expression" dxfId="2" priority="4">
      <formula>$B187&gt;$E$4</formula>
    </cfRule>
  </conditionalFormatting>
  <conditionalFormatting sqref="Q187">
    <cfRule type="expression" dxfId="1" priority="3">
      <formula>$B187&gt;$E$4</formula>
    </cfRule>
  </conditionalFormatting>
  <conditionalFormatting sqref="T59">
    <cfRule type="expression" dxfId="0" priority="62">
      <formula>$B60&gt;$E$4</formula>
    </cfRule>
  </conditionalFormatting>
  <dataValidations count="1">
    <dataValidation type="decimal" allowBlank="1" showInputMessage="1" showErrorMessage="1" sqref="I7:I9 I5 E3:E6" xr:uid="{00000000-0002-0000-0000-000000000000}">
      <formula1>0</formula1>
      <formula2>200000</formula2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一个栗子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 Wang (CN)</dc:creator>
  <cp:lastModifiedBy>Jack Ji (CN)</cp:lastModifiedBy>
  <dcterms:created xsi:type="dcterms:W3CDTF">2023-04-04T09:06:04Z</dcterms:created>
  <dcterms:modified xsi:type="dcterms:W3CDTF">2023-04-17T06:09:15Z</dcterms:modified>
</cp:coreProperties>
</file>