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alberta.ca\Desktop\Career\Independent Projects\Projects\Stocker\"/>
    </mc:Choice>
  </mc:AlternateContent>
  <xr:revisionPtr revIDLastSave="0" documentId="13_ncr:1_{5AFD3FB4-B099-4EB0-9D94-4E59D26F8441}" xr6:coauthVersionLast="47" xr6:coauthVersionMax="47" xr10:uidLastSave="{00000000-0000-0000-0000-000000000000}"/>
  <bookViews>
    <workbookView xWindow="-120" yWindow="-120" windowWidth="29040" windowHeight="15720" xr2:uid="{4B957C84-3A08-402B-940A-1137F06EF2BB}"/>
  </bookViews>
  <sheets>
    <sheet name="Sheet1" sheetId="1" r:id="rId1"/>
  </sheets>
  <definedNames>
    <definedName name="I_ST_CAS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6" i="1" l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S176" i="1"/>
  <c r="R176" i="1"/>
  <c r="Q176" i="1"/>
  <c r="P176" i="1"/>
  <c r="O176" i="1"/>
  <c r="N176" i="1"/>
  <c r="F176" i="1" s="1"/>
  <c r="M176" i="1"/>
  <c r="G176" i="1" s="1"/>
  <c r="L176" i="1"/>
  <c r="K176" i="1"/>
  <c r="I176" i="1"/>
  <c r="S175" i="1"/>
  <c r="Q175" i="1"/>
  <c r="P175" i="1"/>
  <c r="O175" i="1"/>
  <c r="N175" i="1"/>
  <c r="F175" i="1" s="1"/>
  <c r="M175" i="1"/>
  <c r="G175" i="1" s="1"/>
  <c r="L175" i="1"/>
  <c r="K175" i="1"/>
  <c r="I175" i="1"/>
  <c r="R175" i="1" s="1"/>
  <c r="S174" i="1"/>
  <c r="Q174" i="1"/>
  <c r="P174" i="1"/>
  <c r="O174" i="1"/>
  <c r="N174" i="1"/>
  <c r="F174" i="1" s="1"/>
  <c r="M174" i="1"/>
  <c r="G174" i="1" s="1"/>
  <c r="L174" i="1"/>
  <c r="K174" i="1"/>
  <c r="I174" i="1"/>
  <c r="R174" i="1" s="1"/>
  <c r="S173" i="1"/>
  <c r="Q173" i="1"/>
  <c r="P173" i="1"/>
  <c r="O173" i="1"/>
  <c r="N173" i="1"/>
  <c r="F173" i="1" s="1"/>
  <c r="M173" i="1"/>
  <c r="G173" i="1" s="1"/>
  <c r="L173" i="1"/>
  <c r="K173" i="1"/>
  <c r="I173" i="1"/>
  <c r="R173" i="1" s="1"/>
  <c r="S172" i="1"/>
  <c r="Q172" i="1"/>
  <c r="P172" i="1"/>
  <c r="O172" i="1"/>
  <c r="N172" i="1"/>
  <c r="F172" i="1" s="1"/>
  <c r="M172" i="1"/>
  <c r="G172" i="1" s="1"/>
  <c r="L172" i="1"/>
  <c r="K172" i="1"/>
  <c r="I172" i="1"/>
  <c r="R172" i="1" s="1"/>
  <c r="S171" i="1"/>
  <c r="Q171" i="1"/>
  <c r="P171" i="1"/>
  <c r="O171" i="1"/>
  <c r="N171" i="1"/>
  <c r="F171" i="1" s="1"/>
  <c r="M171" i="1"/>
  <c r="G171" i="1" s="1"/>
  <c r="L171" i="1"/>
  <c r="K171" i="1"/>
  <c r="I171" i="1"/>
  <c r="R171" i="1" s="1"/>
  <c r="S170" i="1"/>
  <c r="Q170" i="1"/>
  <c r="P170" i="1"/>
  <c r="O170" i="1"/>
  <c r="N170" i="1"/>
  <c r="F170" i="1" s="1"/>
  <c r="M170" i="1"/>
  <c r="G170" i="1" s="1"/>
  <c r="L170" i="1"/>
  <c r="K170" i="1"/>
  <c r="I170" i="1"/>
  <c r="R170" i="1" s="1"/>
  <c r="S169" i="1"/>
  <c r="R169" i="1"/>
  <c r="Q169" i="1"/>
  <c r="P169" i="1"/>
  <c r="O169" i="1"/>
  <c r="N169" i="1"/>
  <c r="F169" i="1" s="1"/>
  <c r="M169" i="1"/>
  <c r="G169" i="1" s="1"/>
  <c r="L169" i="1"/>
  <c r="K169" i="1"/>
  <c r="I169" i="1"/>
  <c r="S168" i="1"/>
  <c r="Q168" i="1"/>
  <c r="P168" i="1"/>
  <c r="O168" i="1"/>
  <c r="N168" i="1"/>
  <c r="F168" i="1" s="1"/>
  <c r="M168" i="1"/>
  <c r="G168" i="1" s="1"/>
  <c r="L168" i="1"/>
  <c r="K168" i="1"/>
  <c r="I168" i="1"/>
  <c r="R168" i="1" s="1"/>
  <c r="S167" i="1"/>
  <c r="Q167" i="1"/>
  <c r="P167" i="1"/>
  <c r="O167" i="1"/>
  <c r="N167" i="1"/>
  <c r="F167" i="1" s="1"/>
  <c r="M167" i="1"/>
  <c r="G167" i="1" s="1"/>
  <c r="L167" i="1"/>
  <c r="K167" i="1"/>
  <c r="I167" i="1"/>
  <c r="R167" i="1" s="1"/>
  <c r="S166" i="1"/>
  <c r="Q166" i="1"/>
  <c r="P166" i="1"/>
  <c r="O166" i="1"/>
  <c r="N166" i="1"/>
  <c r="F166" i="1" s="1"/>
  <c r="M166" i="1"/>
  <c r="G166" i="1" s="1"/>
  <c r="L166" i="1"/>
  <c r="K166" i="1"/>
  <c r="I166" i="1"/>
  <c r="R166" i="1" s="1"/>
  <c r="S165" i="1"/>
  <c r="Q165" i="1"/>
  <c r="P165" i="1"/>
  <c r="O165" i="1"/>
  <c r="N165" i="1"/>
  <c r="F165" i="1" s="1"/>
  <c r="M165" i="1"/>
  <c r="G165" i="1" s="1"/>
  <c r="L165" i="1"/>
  <c r="K165" i="1"/>
  <c r="I165" i="1"/>
  <c r="R165" i="1" s="1"/>
  <c r="S164" i="1"/>
  <c r="Q164" i="1"/>
  <c r="P164" i="1"/>
  <c r="O164" i="1"/>
  <c r="N164" i="1"/>
  <c r="F164" i="1" s="1"/>
  <c r="M164" i="1"/>
  <c r="G164" i="1" s="1"/>
  <c r="L164" i="1"/>
  <c r="K164" i="1"/>
  <c r="I164" i="1"/>
  <c r="R164" i="1" s="1"/>
  <c r="S163" i="1"/>
  <c r="Q163" i="1"/>
  <c r="P163" i="1"/>
  <c r="O163" i="1"/>
  <c r="N163" i="1"/>
  <c r="F163" i="1" s="1"/>
  <c r="M163" i="1"/>
  <c r="G163" i="1" s="1"/>
  <c r="L163" i="1"/>
  <c r="K163" i="1"/>
  <c r="I163" i="1"/>
  <c r="R163" i="1" s="1"/>
  <c r="S162" i="1"/>
  <c r="Q162" i="1"/>
  <c r="P162" i="1"/>
  <c r="O162" i="1"/>
  <c r="N162" i="1"/>
  <c r="F162" i="1" s="1"/>
  <c r="M162" i="1"/>
  <c r="G162" i="1" s="1"/>
  <c r="L162" i="1"/>
  <c r="K162" i="1"/>
  <c r="I162" i="1"/>
  <c r="R162" i="1" s="1"/>
  <c r="S161" i="1"/>
  <c r="Q161" i="1"/>
  <c r="P161" i="1"/>
  <c r="O161" i="1"/>
  <c r="N161" i="1"/>
  <c r="F161" i="1" s="1"/>
  <c r="M161" i="1"/>
  <c r="G161" i="1" s="1"/>
  <c r="L161" i="1"/>
  <c r="K161" i="1"/>
  <c r="I161" i="1"/>
  <c r="R161" i="1" s="1"/>
  <c r="S160" i="1"/>
  <c r="Q160" i="1"/>
  <c r="P160" i="1"/>
  <c r="O160" i="1"/>
  <c r="N160" i="1"/>
  <c r="F160" i="1" s="1"/>
  <c r="M160" i="1"/>
  <c r="G160" i="1" s="1"/>
  <c r="L160" i="1"/>
  <c r="K160" i="1"/>
  <c r="I160" i="1"/>
  <c r="R160" i="1" s="1"/>
  <c r="S159" i="1"/>
  <c r="Q159" i="1"/>
  <c r="P159" i="1"/>
  <c r="O159" i="1"/>
  <c r="N159" i="1"/>
  <c r="F159" i="1" s="1"/>
  <c r="M159" i="1"/>
  <c r="G159" i="1" s="1"/>
  <c r="L159" i="1"/>
  <c r="K159" i="1"/>
  <c r="I159" i="1"/>
  <c r="R159" i="1" s="1"/>
  <c r="S158" i="1"/>
  <c r="Q158" i="1"/>
  <c r="P158" i="1"/>
  <c r="O158" i="1"/>
  <c r="N158" i="1"/>
  <c r="F158" i="1" s="1"/>
  <c r="M158" i="1"/>
  <c r="G158" i="1" s="1"/>
  <c r="L158" i="1"/>
  <c r="K158" i="1"/>
  <c r="I158" i="1"/>
  <c r="R158" i="1" s="1"/>
  <c r="S157" i="1"/>
  <c r="Q157" i="1"/>
  <c r="P157" i="1"/>
  <c r="O157" i="1"/>
  <c r="N157" i="1"/>
  <c r="F157" i="1" s="1"/>
  <c r="M157" i="1"/>
  <c r="G157" i="1" s="1"/>
  <c r="L157" i="1"/>
  <c r="K157" i="1"/>
  <c r="I157" i="1"/>
  <c r="R157" i="1" s="1"/>
  <c r="S156" i="1"/>
  <c r="Q156" i="1"/>
  <c r="P156" i="1"/>
  <c r="O156" i="1"/>
  <c r="N156" i="1"/>
  <c r="F156" i="1" s="1"/>
  <c r="M156" i="1"/>
  <c r="G156" i="1" s="1"/>
  <c r="L156" i="1"/>
  <c r="K156" i="1"/>
  <c r="I156" i="1"/>
  <c r="R156" i="1" s="1"/>
  <c r="S155" i="1"/>
  <c r="Q155" i="1"/>
  <c r="P155" i="1"/>
  <c r="O155" i="1"/>
  <c r="N155" i="1"/>
  <c r="F155" i="1" s="1"/>
  <c r="M155" i="1"/>
  <c r="G155" i="1" s="1"/>
  <c r="L155" i="1"/>
  <c r="K155" i="1"/>
  <c r="I155" i="1"/>
  <c r="R155" i="1" s="1"/>
  <c r="S154" i="1"/>
  <c r="Q154" i="1"/>
  <c r="P154" i="1"/>
  <c r="O154" i="1"/>
  <c r="N154" i="1"/>
  <c r="F154" i="1" s="1"/>
  <c r="M154" i="1"/>
  <c r="G154" i="1" s="1"/>
  <c r="L154" i="1"/>
  <c r="K154" i="1"/>
  <c r="I154" i="1"/>
  <c r="R154" i="1" s="1"/>
  <c r="S153" i="1"/>
  <c r="Q153" i="1"/>
  <c r="P153" i="1"/>
  <c r="O153" i="1"/>
  <c r="N153" i="1"/>
  <c r="F153" i="1" s="1"/>
  <c r="M153" i="1"/>
  <c r="G153" i="1" s="1"/>
  <c r="L153" i="1"/>
  <c r="K153" i="1"/>
  <c r="I153" i="1"/>
  <c r="R153" i="1" s="1"/>
  <c r="S152" i="1"/>
  <c r="Q152" i="1"/>
  <c r="P152" i="1"/>
  <c r="O152" i="1"/>
  <c r="N152" i="1"/>
  <c r="F152" i="1" s="1"/>
  <c r="M152" i="1"/>
  <c r="G152" i="1" s="1"/>
  <c r="L152" i="1"/>
  <c r="K152" i="1"/>
  <c r="I152" i="1"/>
  <c r="R152" i="1" s="1"/>
  <c r="S151" i="1"/>
  <c r="Q151" i="1"/>
  <c r="P151" i="1"/>
  <c r="O151" i="1"/>
  <c r="N151" i="1"/>
  <c r="F151" i="1" s="1"/>
  <c r="M151" i="1"/>
  <c r="G151" i="1" s="1"/>
  <c r="L151" i="1"/>
  <c r="K151" i="1"/>
  <c r="I151" i="1"/>
  <c r="R151" i="1" s="1"/>
  <c r="S150" i="1"/>
  <c r="Q150" i="1"/>
  <c r="P150" i="1"/>
  <c r="O150" i="1"/>
  <c r="N150" i="1"/>
  <c r="F150" i="1" s="1"/>
  <c r="M150" i="1"/>
  <c r="G150" i="1" s="1"/>
  <c r="L150" i="1"/>
  <c r="K150" i="1"/>
  <c r="I150" i="1"/>
  <c r="R150" i="1" s="1"/>
  <c r="S149" i="1"/>
  <c r="Q149" i="1"/>
  <c r="P149" i="1"/>
  <c r="O149" i="1"/>
  <c r="N149" i="1"/>
  <c r="F149" i="1" s="1"/>
  <c r="M149" i="1"/>
  <c r="G149" i="1" s="1"/>
  <c r="L149" i="1"/>
  <c r="K149" i="1"/>
  <c r="I149" i="1"/>
  <c r="R149" i="1" s="1"/>
  <c r="S148" i="1"/>
  <c r="Q148" i="1"/>
  <c r="P148" i="1"/>
  <c r="O148" i="1"/>
  <c r="N148" i="1"/>
  <c r="F148" i="1" s="1"/>
  <c r="M148" i="1"/>
  <c r="G148" i="1" s="1"/>
  <c r="L148" i="1"/>
  <c r="K148" i="1"/>
  <c r="I148" i="1"/>
  <c r="R148" i="1" s="1"/>
  <c r="S147" i="1"/>
  <c r="Q147" i="1"/>
  <c r="P147" i="1"/>
  <c r="O147" i="1"/>
  <c r="N147" i="1"/>
  <c r="F147" i="1" s="1"/>
  <c r="M147" i="1"/>
  <c r="G147" i="1" s="1"/>
  <c r="L147" i="1"/>
  <c r="K147" i="1"/>
  <c r="I147" i="1"/>
  <c r="R147" i="1" s="1"/>
  <c r="S146" i="1"/>
  <c r="Q146" i="1"/>
  <c r="P146" i="1"/>
  <c r="O146" i="1"/>
  <c r="N146" i="1"/>
  <c r="F146" i="1" s="1"/>
  <c r="M146" i="1"/>
  <c r="G146" i="1" s="1"/>
  <c r="L146" i="1"/>
  <c r="K146" i="1"/>
  <c r="I146" i="1"/>
  <c r="R146" i="1" s="1"/>
  <c r="S145" i="1"/>
  <c r="Q145" i="1"/>
  <c r="P145" i="1"/>
  <c r="O145" i="1"/>
  <c r="N145" i="1"/>
  <c r="F145" i="1" s="1"/>
  <c r="M145" i="1"/>
  <c r="G145" i="1" s="1"/>
  <c r="L145" i="1"/>
  <c r="K145" i="1"/>
  <c r="I145" i="1"/>
  <c r="R145" i="1" s="1"/>
  <c r="S144" i="1"/>
  <c r="R144" i="1"/>
  <c r="Q144" i="1"/>
  <c r="P144" i="1"/>
  <c r="O144" i="1"/>
  <c r="N144" i="1"/>
  <c r="F144" i="1" s="1"/>
  <c r="M144" i="1"/>
  <c r="G144" i="1" s="1"/>
  <c r="L144" i="1"/>
  <c r="K144" i="1"/>
  <c r="I144" i="1"/>
  <c r="S143" i="1"/>
  <c r="Q143" i="1"/>
  <c r="P143" i="1"/>
  <c r="O143" i="1"/>
  <c r="N143" i="1"/>
  <c r="F143" i="1" s="1"/>
  <c r="M143" i="1"/>
  <c r="G143" i="1" s="1"/>
  <c r="L143" i="1"/>
  <c r="K143" i="1"/>
  <c r="I143" i="1"/>
  <c r="R143" i="1" s="1"/>
  <c r="S142" i="1"/>
  <c r="Q142" i="1"/>
  <c r="P142" i="1"/>
  <c r="O142" i="1"/>
  <c r="N142" i="1"/>
  <c r="F142" i="1" s="1"/>
  <c r="M142" i="1"/>
  <c r="G142" i="1" s="1"/>
  <c r="L142" i="1"/>
  <c r="K142" i="1"/>
  <c r="I142" i="1"/>
  <c r="R142" i="1" s="1"/>
  <c r="S141" i="1"/>
  <c r="Q141" i="1"/>
  <c r="P141" i="1"/>
  <c r="O141" i="1"/>
  <c r="N141" i="1"/>
  <c r="F141" i="1" s="1"/>
  <c r="M141" i="1"/>
  <c r="G141" i="1" s="1"/>
  <c r="L141" i="1"/>
  <c r="K141" i="1"/>
  <c r="I141" i="1"/>
  <c r="R141" i="1" s="1"/>
  <c r="S140" i="1"/>
  <c r="Q140" i="1"/>
  <c r="P140" i="1"/>
  <c r="O140" i="1"/>
  <c r="N140" i="1"/>
  <c r="F140" i="1" s="1"/>
  <c r="M140" i="1"/>
  <c r="G140" i="1" s="1"/>
  <c r="L140" i="1"/>
  <c r="K140" i="1"/>
  <c r="I140" i="1"/>
  <c r="R140" i="1" s="1"/>
  <c r="S139" i="1"/>
  <c r="Q139" i="1"/>
  <c r="P139" i="1"/>
  <c r="O139" i="1"/>
  <c r="N139" i="1"/>
  <c r="F139" i="1" s="1"/>
  <c r="M139" i="1"/>
  <c r="G139" i="1" s="1"/>
  <c r="L139" i="1"/>
  <c r="K139" i="1"/>
  <c r="I139" i="1"/>
  <c r="R139" i="1" s="1"/>
  <c r="S138" i="1"/>
  <c r="Q138" i="1"/>
  <c r="P138" i="1"/>
  <c r="O138" i="1"/>
  <c r="N138" i="1"/>
  <c r="F138" i="1" s="1"/>
  <c r="M138" i="1"/>
  <c r="G138" i="1" s="1"/>
  <c r="L138" i="1"/>
  <c r="K138" i="1"/>
  <c r="I138" i="1"/>
  <c r="R138" i="1" s="1"/>
  <c r="S137" i="1"/>
  <c r="Q137" i="1"/>
  <c r="P137" i="1"/>
  <c r="O137" i="1"/>
  <c r="N137" i="1"/>
  <c r="F137" i="1" s="1"/>
  <c r="M137" i="1"/>
  <c r="G137" i="1" s="1"/>
  <c r="L137" i="1"/>
  <c r="K137" i="1"/>
  <c r="I137" i="1"/>
  <c r="R137" i="1" s="1"/>
  <c r="S136" i="1"/>
  <c r="R136" i="1"/>
  <c r="Q136" i="1"/>
  <c r="P136" i="1"/>
  <c r="O136" i="1"/>
  <c r="N136" i="1"/>
  <c r="F136" i="1" s="1"/>
  <c r="M136" i="1"/>
  <c r="G136" i="1" s="1"/>
  <c r="L136" i="1"/>
  <c r="K136" i="1"/>
  <c r="I136" i="1"/>
  <c r="S135" i="1"/>
  <c r="Q135" i="1"/>
  <c r="P135" i="1"/>
  <c r="O135" i="1"/>
  <c r="N135" i="1"/>
  <c r="F135" i="1" s="1"/>
  <c r="M135" i="1"/>
  <c r="G135" i="1" s="1"/>
  <c r="L135" i="1"/>
  <c r="K135" i="1"/>
  <c r="I135" i="1"/>
  <c r="R135" i="1" s="1"/>
  <c r="S134" i="1"/>
  <c r="Q134" i="1"/>
  <c r="P134" i="1"/>
  <c r="O134" i="1"/>
  <c r="N134" i="1"/>
  <c r="F134" i="1" s="1"/>
  <c r="M134" i="1"/>
  <c r="G134" i="1" s="1"/>
  <c r="L134" i="1"/>
  <c r="K134" i="1"/>
  <c r="I134" i="1"/>
  <c r="R134" i="1" s="1"/>
  <c r="S133" i="1"/>
  <c r="Q133" i="1"/>
  <c r="P133" i="1"/>
  <c r="O133" i="1"/>
  <c r="N133" i="1"/>
  <c r="F133" i="1" s="1"/>
  <c r="M133" i="1"/>
  <c r="G133" i="1" s="1"/>
  <c r="L133" i="1"/>
  <c r="K133" i="1"/>
  <c r="I133" i="1"/>
  <c r="R133" i="1" s="1"/>
  <c r="S132" i="1"/>
  <c r="Q132" i="1"/>
  <c r="P132" i="1"/>
  <c r="O132" i="1"/>
  <c r="N132" i="1"/>
  <c r="F132" i="1" s="1"/>
  <c r="M132" i="1"/>
  <c r="G132" i="1" s="1"/>
  <c r="L132" i="1"/>
  <c r="K132" i="1"/>
  <c r="I132" i="1"/>
  <c r="R132" i="1" s="1"/>
  <c r="S131" i="1"/>
  <c r="Q131" i="1"/>
  <c r="P131" i="1"/>
  <c r="O131" i="1"/>
  <c r="N131" i="1"/>
  <c r="F131" i="1" s="1"/>
  <c r="M131" i="1"/>
  <c r="G131" i="1" s="1"/>
  <c r="L131" i="1"/>
  <c r="K131" i="1"/>
  <c r="I131" i="1"/>
  <c r="R131" i="1" s="1"/>
  <c r="S130" i="1"/>
  <c r="P130" i="1"/>
  <c r="O130" i="1"/>
  <c r="N130" i="1"/>
  <c r="F130" i="1" s="1"/>
  <c r="M130" i="1"/>
  <c r="G130" i="1" s="1"/>
  <c r="L130" i="1"/>
  <c r="K130" i="1"/>
  <c r="D130" i="1"/>
  <c r="Q130" i="1" s="1"/>
  <c r="S129" i="1"/>
  <c r="Q129" i="1"/>
  <c r="P129" i="1"/>
  <c r="O129" i="1"/>
  <c r="N129" i="1"/>
  <c r="F129" i="1" s="1"/>
  <c r="M129" i="1"/>
  <c r="G129" i="1" s="1"/>
  <c r="L129" i="1"/>
  <c r="K129" i="1"/>
  <c r="I129" i="1"/>
  <c r="R129" i="1" s="1"/>
  <c r="S128" i="1"/>
  <c r="Q128" i="1"/>
  <c r="P128" i="1"/>
  <c r="O128" i="1"/>
  <c r="N128" i="1"/>
  <c r="F128" i="1" s="1"/>
  <c r="M128" i="1"/>
  <c r="G128" i="1" s="1"/>
  <c r="L128" i="1"/>
  <c r="K128" i="1"/>
  <c r="I128" i="1"/>
  <c r="R128" i="1" s="1"/>
  <c r="S127" i="1"/>
  <c r="Q127" i="1"/>
  <c r="P127" i="1"/>
  <c r="O127" i="1"/>
  <c r="N127" i="1"/>
  <c r="F127" i="1" s="1"/>
  <c r="M127" i="1"/>
  <c r="G127" i="1" s="1"/>
  <c r="L127" i="1"/>
  <c r="K127" i="1"/>
  <c r="I127" i="1"/>
  <c r="R127" i="1" s="1"/>
  <c r="S126" i="1"/>
  <c r="Q126" i="1"/>
  <c r="P126" i="1"/>
  <c r="O126" i="1"/>
  <c r="N126" i="1"/>
  <c r="F126" i="1" s="1"/>
  <c r="M126" i="1"/>
  <c r="G126" i="1" s="1"/>
  <c r="L126" i="1"/>
  <c r="K126" i="1"/>
  <c r="I126" i="1"/>
  <c r="R126" i="1" s="1"/>
  <c r="S125" i="1"/>
  <c r="Q125" i="1"/>
  <c r="P125" i="1"/>
  <c r="O125" i="1"/>
  <c r="N125" i="1"/>
  <c r="F125" i="1" s="1"/>
  <c r="M125" i="1"/>
  <c r="G125" i="1" s="1"/>
  <c r="L125" i="1"/>
  <c r="K125" i="1"/>
  <c r="I125" i="1"/>
  <c r="R125" i="1" s="1"/>
  <c r="S124" i="1"/>
  <c r="Q124" i="1"/>
  <c r="P124" i="1"/>
  <c r="O124" i="1"/>
  <c r="N124" i="1"/>
  <c r="F124" i="1" s="1"/>
  <c r="M124" i="1"/>
  <c r="G124" i="1" s="1"/>
  <c r="L124" i="1"/>
  <c r="K124" i="1"/>
  <c r="I124" i="1"/>
  <c r="R124" i="1" s="1"/>
  <c r="S123" i="1"/>
  <c r="Q123" i="1"/>
  <c r="P123" i="1"/>
  <c r="O123" i="1"/>
  <c r="N123" i="1"/>
  <c r="F123" i="1" s="1"/>
  <c r="M123" i="1"/>
  <c r="G123" i="1" s="1"/>
  <c r="L123" i="1"/>
  <c r="K123" i="1"/>
  <c r="I123" i="1"/>
  <c r="R123" i="1" s="1"/>
  <c r="S122" i="1"/>
  <c r="Q122" i="1"/>
  <c r="P122" i="1"/>
  <c r="O122" i="1"/>
  <c r="N122" i="1"/>
  <c r="F122" i="1" s="1"/>
  <c r="M122" i="1"/>
  <c r="G122" i="1" s="1"/>
  <c r="L122" i="1"/>
  <c r="K122" i="1"/>
  <c r="I122" i="1"/>
  <c r="R122" i="1" s="1"/>
  <c r="S121" i="1"/>
  <c r="Q121" i="1"/>
  <c r="P121" i="1"/>
  <c r="O121" i="1"/>
  <c r="N121" i="1"/>
  <c r="F121" i="1" s="1"/>
  <c r="M121" i="1"/>
  <c r="G121" i="1" s="1"/>
  <c r="L121" i="1"/>
  <c r="K121" i="1"/>
  <c r="I121" i="1"/>
  <c r="R121" i="1" s="1"/>
  <c r="S120" i="1"/>
  <c r="Q120" i="1"/>
  <c r="P120" i="1"/>
  <c r="O120" i="1"/>
  <c r="N120" i="1"/>
  <c r="F120" i="1" s="1"/>
  <c r="M120" i="1"/>
  <c r="G120" i="1" s="1"/>
  <c r="L120" i="1"/>
  <c r="K120" i="1"/>
  <c r="I120" i="1"/>
  <c r="R120" i="1" s="1"/>
  <c r="S119" i="1"/>
  <c r="Q119" i="1"/>
  <c r="P119" i="1"/>
  <c r="O119" i="1"/>
  <c r="N119" i="1"/>
  <c r="F119" i="1" s="1"/>
  <c r="M119" i="1"/>
  <c r="G119" i="1" s="1"/>
  <c r="L119" i="1"/>
  <c r="K119" i="1"/>
  <c r="I119" i="1"/>
  <c r="R119" i="1" s="1"/>
  <c r="S118" i="1"/>
  <c r="Q118" i="1"/>
  <c r="P118" i="1"/>
  <c r="O118" i="1"/>
  <c r="N118" i="1"/>
  <c r="F118" i="1" s="1"/>
  <c r="M118" i="1"/>
  <c r="G118" i="1" s="1"/>
  <c r="L118" i="1"/>
  <c r="K118" i="1"/>
  <c r="I118" i="1"/>
  <c r="R118" i="1" s="1"/>
  <c r="S117" i="1"/>
  <c r="Q117" i="1"/>
  <c r="P117" i="1"/>
  <c r="O117" i="1"/>
  <c r="N117" i="1"/>
  <c r="F117" i="1" s="1"/>
  <c r="M117" i="1"/>
  <c r="G117" i="1" s="1"/>
  <c r="L117" i="1"/>
  <c r="K117" i="1"/>
  <c r="I117" i="1"/>
  <c r="R117" i="1" s="1"/>
  <c r="S116" i="1"/>
  <c r="Q116" i="1"/>
  <c r="P116" i="1"/>
  <c r="O116" i="1"/>
  <c r="N116" i="1"/>
  <c r="F116" i="1" s="1"/>
  <c r="M116" i="1"/>
  <c r="G116" i="1" s="1"/>
  <c r="L116" i="1"/>
  <c r="K116" i="1"/>
  <c r="I116" i="1"/>
  <c r="R116" i="1" s="1"/>
  <c r="S115" i="1"/>
  <c r="Q115" i="1"/>
  <c r="P115" i="1"/>
  <c r="O115" i="1"/>
  <c r="N115" i="1"/>
  <c r="F115" i="1" s="1"/>
  <c r="M115" i="1"/>
  <c r="G115" i="1" s="1"/>
  <c r="L115" i="1"/>
  <c r="K115" i="1"/>
  <c r="I115" i="1"/>
  <c r="R115" i="1" s="1"/>
  <c r="S114" i="1"/>
  <c r="Q114" i="1"/>
  <c r="P114" i="1"/>
  <c r="O114" i="1"/>
  <c r="N114" i="1"/>
  <c r="F114" i="1" s="1"/>
  <c r="M114" i="1"/>
  <c r="G114" i="1" s="1"/>
  <c r="L114" i="1"/>
  <c r="K114" i="1"/>
  <c r="I114" i="1"/>
  <c r="R114" i="1" s="1"/>
  <c r="S113" i="1"/>
  <c r="Q113" i="1"/>
  <c r="P113" i="1"/>
  <c r="O113" i="1"/>
  <c r="N113" i="1"/>
  <c r="F113" i="1" s="1"/>
  <c r="M113" i="1"/>
  <c r="G113" i="1" s="1"/>
  <c r="L113" i="1"/>
  <c r="K113" i="1"/>
  <c r="I113" i="1"/>
  <c r="R113" i="1" s="1"/>
  <c r="S112" i="1"/>
  <c r="Q112" i="1"/>
  <c r="P112" i="1"/>
  <c r="O112" i="1"/>
  <c r="N112" i="1"/>
  <c r="F112" i="1" s="1"/>
  <c r="M112" i="1"/>
  <c r="G112" i="1" s="1"/>
  <c r="L112" i="1"/>
  <c r="K112" i="1"/>
  <c r="I112" i="1"/>
  <c r="R112" i="1" s="1"/>
  <c r="S111" i="1"/>
  <c r="Q111" i="1"/>
  <c r="P111" i="1"/>
  <c r="O111" i="1"/>
  <c r="N111" i="1"/>
  <c r="F111" i="1" s="1"/>
  <c r="M111" i="1"/>
  <c r="G111" i="1" s="1"/>
  <c r="L111" i="1"/>
  <c r="K111" i="1"/>
  <c r="I111" i="1"/>
  <c r="R111" i="1" s="1"/>
  <c r="S110" i="1"/>
  <c r="Q110" i="1"/>
  <c r="P110" i="1"/>
  <c r="O110" i="1"/>
  <c r="N110" i="1"/>
  <c r="F110" i="1" s="1"/>
  <c r="M110" i="1"/>
  <c r="G110" i="1" s="1"/>
  <c r="L110" i="1"/>
  <c r="K110" i="1"/>
  <c r="I110" i="1"/>
  <c r="R110" i="1" s="1"/>
  <c r="S109" i="1"/>
  <c r="Q109" i="1"/>
  <c r="P109" i="1"/>
  <c r="O109" i="1"/>
  <c r="N109" i="1"/>
  <c r="F109" i="1" s="1"/>
  <c r="M109" i="1"/>
  <c r="G109" i="1" s="1"/>
  <c r="L109" i="1"/>
  <c r="K109" i="1"/>
  <c r="I109" i="1"/>
  <c r="R109" i="1" s="1"/>
  <c r="S108" i="1"/>
  <c r="Q108" i="1"/>
  <c r="P108" i="1"/>
  <c r="O108" i="1"/>
  <c r="N108" i="1"/>
  <c r="F108" i="1" s="1"/>
  <c r="M108" i="1"/>
  <c r="G108" i="1" s="1"/>
  <c r="L108" i="1"/>
  <c r="K108" i="1"/>
  <c r="I108" i="1"/>
  <c r="R108" i="1" s="1"/>
  <c r="S107" i="1"/>
  <c r="Q107" i="1"/>
  <c r="P107" i="1"/>
  <c r="O107" i="1"/>
  <c r="N107" i="1"/>
  <c r="F107" i="1" s="1"/>
  <c r="M107" i="1"/>
  <c r="G107" i="1" s="1"/>
  <c r="L107" i="1"/>
  <c r="K107" i="1"/>
  <c r="I107" i="1"/>
  <c r="R107" i="1" s="1"/>
  <c r="S106" i="1"/>
  <c r="Q106" i="1"/>
  <c r="P106" i="1"/>
  <c r="O106" i="1"/>
  <c r="N106" i="1"/>
  <c r="F106" i="1" s="1"/>
  <c r="M106" i="1"/>
  <c r="G106" i="1" s="1"/>
  <c r="L106" i="1"/>
  <c r="K106" i="1"/>
  <c r="I106" i="1"/>
  <c r="R106" i="1" s="1"/>
  <c r="S105" i="1"/>
  <c r="Q105" i="1"/>
  <c r="P105" i="1"/>
  <c r="O105" i="1"/>
  <c r="N105" i="1"/>
  <c r="F105" i="1" s="1"/>
  <c r="M105" i="1"/>
  <c r="G105" i="1" s="1"/>
  <c r="L105" i="1"/>
  <c r="K105" i="1"/>
  <c r="I105" i="1"/>
  <c r="R105" i="1" s="1"/>
  <c r="S104" i="1"/>
  <c r="Q104" i="1"/>
  <c r="P104" i="1"/>
  <c r="O104" i="1"/>
  <c r="N104" i="1"/>
  <c r="F104" i="1" s="1"/>
  <c r="M104" i="1"/>
  <c r="G104" i="1" s="1"/>
  <c r="L104" i="1"/>
  <c r="K104" i="1"/>
  <c r="I104" i="1"/>
  <c r="R104" i="1" s="1"/>
  <c r="S103" i="1"/>
  <c r="Q103" i="1"/>
  <c r="P103" i="1"/>
  <c r="O103" i="1"/>
  <c r="N103" i="1"/>
  <c r="F103" i="1" s="1"/>
  <c r="M103" i="1"/>
  <c r="G103" i="1" s="1"/>
  <c r="L103" i="1"/>
  <c r="K103" i="1"/>
  <c r="I103" i="1"/>
  <c r="R103" i="1" s="1"/>
  <c r="S102" i="1"/>
  <c r="Q102" i="1"/>
  <c r="P102" i="1"/>
  <c r="O102" i="1"/>
  <c r="N102" i="1"/>
  <c r="F102" i="1" s="1"/>
  <c r="M102" i="1"/>
  <c r="G102" i="1" s="1"/>
  <c r="L102" i="1"/>
  <c r="K102" i="1"/>
  <c r="I102" i="1"/>
  <c r="R102" i="1" s="1"/>
  <c r="S101" i="1"/>
  <c r="Q101" i="1"/>
  <c r="P101" i="1"/>
  <c r="O101" i="1"/>
  <c r="N101" i="1"/>
  <c r="F101" i="1" s="1"/>
  <c r="M101" i="1"/>
  <c r="G101" i="1" s="1"/>
  <c r="L101" i="1"/>
  <c r="K101" i="1"/>
  <c r="I101" i="1"/>
  <c r="R101" i="1" s="1"/>
  <c r="S100" i="1"/>
  <c r="Q100" i="1"/>
  <c r="P100" i="1"/>
  <c r="O100" i="1"/>
  <c r="N100" i="1"/>
  <c r="F100" i="1" s="1"/>
  <c r="M100" i="1"/>
  <c r="G100" i="1" s="1"/>
  <c r="L100" i="1"/>
  <c r="K100" i="1"/>
  <c r="I100" i="1"/>
  <c r="R100" i="1" s="1"/>
  <c r="S99" i="1"/>
  <c r="Q99" i="1"/>
  <c r="P99" i="1"/>
  <c r="O99" i="1"/>
  <c r="N99" i="1"/>
  <c r="F99" i="1" s="1"/>
  <c r="M99" i="1"/>
  <c r="G99" i="1" s="1"/>
  <c r="L99" i="1"/>
  <c r="K99" i="1"/>
  <c r="I99" i="1"/>
  <c r="R99" i="1" s="1"/>
  <c r="S98" i="1"/>
  <c r="Q98" i="1"/>
  <c r="P98" i="1"/>
  <c r="O98" i="1"/>
  <c r="N98" i="1"/>
  <c r="F98" i="1" s="1"/>
  <c r="M98" i="1"/>
  <c r="G98" i="1" s="1"/>
  <c r="L98" i="1"/>
  <c r="K98" i="1"/>
  <c r="I98" i="1"/>
  <c r="R98" i="1" s="1"/>
  <c r="S97" i="1"/>
  <c r="Q97" i="1"/>
  <c r="P97" i="1"/>
  <c r="O97" i="1"/>
  <c r="N97" i="1"/>
  <c r="F97" i="1" s="1"/>
  <c r="M97" i="1"/>
  <c r="G97" i="1" s="1"/>
  <c r="L97" i="1"/>
  <c r="K97" i="1"/>
  <c r="I97" i="1"/>
  <c r="R97" i="1" s="1"/>
  <c r="S96" i="1"/>
  <c r="Q96" i="1"/>
  <c r="P96" i="1"/>
  <c r="O96" i="1"/>
  <c r="N96" i="1"/>
  <c r="F96" i="1" s="1"/>
  <c r="M96" i="1"/>
  <c r="G96" i="1" s="1"/>
  <c r="L96" i="1"/>
  <c r="K96" i="1"/>
  <c r="I96" i="1"/>
  <c r="R96" i="1" s="1"/>
  <c r="S95" i="1"/>
  <c r="Q95" i="1"/>
  <c r="P95" i="1"/>
  <c r="O95" i="1"/>
  <c r="N95" i="1"/>
  <c r="F95" i="1" s="1"/>
  <c r="M95" i="1"/>
  <c r="G95" i="1" s="1"/>
  <c r="L95" i="1"/>
  <c r="K95" i="1"/>
  <c r="I95" i="1"/>
  <c r="R95" i="1" s="1"/>
  <c r="S94" i="1"/>
  <c r="Q94" i="1"/>
  <c r="P94" i="1"/>
  <c r="O94" i="1"/>
  <c r="N94" i="1"/>
  <c r="F94" i="1" s="1"/>
  <c r="M94" i="1"/>
  <c r="G94" i="1" s="1"/>
  <c r="L94" i="1"/>
  <c r="K94" i="1"/>
  <c r="I94" i="1"/>
  <c r="R94" i="1" s="1"/>
  <c r="S93" i="1"/>
  <c r="Q93" i="1"/>
  <c r="P93" i="1"/>
  <c r="O93" i="1"/>
  <c r="N93" i="1"/>
  <c r="F93" i="1" s="1"/>
  <c r="M93" i="1"/>
  <c r="G93" i="1" s="1"/>
  <c r="L93" i="1"/>
  <c r="K93" i="1"/>
  <c r="I93" i="1"/>
  <c r="R93" i="1" s="1"/>
  <c r="S92" i="1"/>
  <c r="Q92" i="1"/>
  <c r="P92" i="1"/>
  <c r="O92" i="1"/>
  <c r="N92" i="1"/>
  <c r="F92" i="1" s="1"/>
  <c r="M92" i="1"/>
  <c r="G92" i="1" s="1"/>
  <c r="L92" i="1"/>
  <c r="K92" i="1"/>
  <c r="I92" i="1"/>
  <c r="R92" i="1" s="1"/>
  <c r="S91" i="1"/>
  <c r="Q91" i="1"/>
  <c r="P91" i="1"/>
  <c r="O91" i="1"/>
  <c r="N91" i="1"/>
  <c r="F91" i="1" s="1"/>
  <c r="M91" i="1"/>
  <c r="G91" i="1" s="1"/>
  <c r="L91" i="1"/>
  <c r="K91" i="1"/>
  <c r="I91" i="1"/>
  <c r="R91" i="1" s="1"/>
  <c r="S90" i="1"/>
  <c r="Q90" i="1"/>
  <c r="P90" i="1"/>
  <c r="O90" i="1"/>
  <c r="N90" i="1"/>
  <c r="F90" i="1" s="1"/>
  <c r="M90" i="1"/>
  <c r="G90" i="1" s="1"/>
  <c r="L90" i="1"/>
  <c r="K90" i="1"/>
  <c r="I90" i="1"/>
  <c r="R90" i="1" s="1"/>
  <c r="S89" i="1"/>
  <c r="Q89" i="1"/>
  <c r="P89" i="1"/>
  <c r="O89" i="1"/>
  <c r="N89" i="1"/>
  <c r="F89" i="1" s="1"/>
  <c r="M89" i="1"/>
  <c r="G89" i="1" s="1"/>
  <c r="L89" i="1"/>
  <c r="K89" i="1"/>
  <c r="I89" i="1"/>
  <c r="R89" i="1" s="1"/>
  <c r="S88" i="1"/>
  <c r="Q88" i="1"/>
  <c r="P88" i="1"/>
  <c r="O88" i="1"/>
  <c r="N88" i="1"/>
  <c r="F88" i="1" s="1"/>
  <c r="M88" i="1"/>
  <c r="G88" i="1" s="1"/>
  <c r="L88" i="1"/>
  <c r="K88" i="1"/>
  <c r="I88" i="1"/>
  <c r="R88" i="1" s="1"/>
  <c r="S87" i="1"/>
  <c r="Q87" i="1"/>
  <c r="P87" i="1"/>
  <c r="O87" i="1"/>
  <c r="N87" i="1"/>
  <c r="F87" i="1" s="1"/>
  <c r="M87" i="1"/>
  <c r="G87" i="1" s="1"/>
  <c r="L87" i="1"/>
  <c r="K87" i="1"/>
  <c r="I87" i="1"/>
  <c r="R87" i="1" s="1"/>
  <c r="S86" i="1"/>
  <c r="Q86" i="1"/>
  <c r="P86" i="1"/>
  <c r="O86" i="1"/>
  <c r="N86" i="1"/>
  <c r="F86" i="1" s="1"/>
  <c r="M86" i="1"/>
  <c r="G86" i="1" s="1"/>
  <c r="L86" i="1"/>
  <c r="K86" i="1"/>
  <c r="I86" i="1"/>
  <c r="R86" i="1" s="1"/>
  <c r="S85" i="1"/>
  <c r="Q85" i="1"/>
  <c r="P85" i="1"/>
  <c r="O85" i="1"/>
  <c r="N85" i="1"/>
  <c r="F85" i="1" s="1"/>
  <c r="M85" i="1"/>
  <c r="G85" i="1" s="1"/>
  <c r="L85" i="1"/>
  <c r="K85" i="1"/>
  <c r="I85" i="1"/>
  <c r="R85" i="1" s="1"/>
  <c r="S84" i="1"/>
  <c r="Q84" i="1"/>
  <c r="P84" i="1"/>
  <c r="O84" i="1"/>
  <c r="N84" i="1"/>
  <c r="F84" i="1" s="1"/>
  <c r="M84" i="1"/>
  <c r="G84" i="1" s="1"/>
  <c r="L84" i="1"/>
  <c r="K84" i="1"/>
  <c r="I84" i="1"/>
  <c r="R84" i="1" s="1"/>
  <c r="S83" i="1"/>
  <c r="R83" i="1"/>
  <c r="Q83" i="1"/>
  <c r="P83" i="1"/>
  <c r="O83" i="1"/>
  <c r="N83" i="1"/>
  <c r="F83" i="1" s="1"/>
  <c r="M83" i="1"/>
  <c r="G83" i="1" s="1"/>
  <c r="L83" i="1"/>
  <c r="K83" i="1"/>
  <c r="I83" i="1"/>
  <c r="S82" i="1"/>
  <c r="Q82" i="1"/>
  <c r="P82" i="1"/>
  <c r="O82" i="1"/>
  <c r="N82" i="1"/>
  <c r="F82" i="1" s="1"/>
  <c r="M82" i="1"/>
  <c r="G82" i="1" s="1"/>
  <c r="L82" i="1"/>
  <c r="K82" i="1"/>
  <c r="I82" i="1"/>
  <c r="R82" i="1" s="1"/>
  <c r="S81" i="1"/>
  <c r="Q81" i="1"/>
  <c r="P81" i="1"/>
  <c r="O81" i="1"/>
  <c r="N81" i="1"/>
  <c r="F81" i="1" s="1"/>
  <c r="M81" i="1"/>
  <c r="G81" i="1" s="1"/>
  <c r="L81" i="1"/>
  <c r="K81" i="1"/>
  <c r="I81" i="1"/>
  <c r="R81" i="1" s="1"/>
  <c r="S80" i="1"/>
  <c r="Q80" i="1"/>
  <c r="P80" i="1"/>
  <c r="O80" i="1"/>
  <c r="N80" i="1"/>
  <c r="F80" i="1" s="1"/>
  <c r="M80" i="1"/>
  <c r="G80" i="1" s="1"/>
  <c r="L80" i="1"/>
  <c r="K80" i="1"/>
  <c r="I80" i="1"/>
  <c r="R80" i="1" s="1"/>
  <c r="S79" i="1"/>
  <c r="R79" i="1"/>
  <c r="Q79" i="1"/>
  <c r="P79" i="1"/>
  <c r="O79" i="1"/>
  <c r="N79" i="1"/>
  <c r="F79" i="1" s="1"/>
  <c r="M79" i="1"/>
  <c r="G79" i="1" s="1"/>
  <c r="L79" i="1"/>
  <c r="K79" i="1"/>
  <c r="I79" i="1"/>
  <c r="S78" i="1"/>
  <c r="Q78" i="1"/>
  <c r="P78" i="1"/>
  <c r="O78" i="1"/>
  <c r="N78" i="1"/>
  <c r="F78" i="1" s="1"/>
  <c r="M78" i="1"/>
  <c r="G78" i="1" s="1"/>
  <c r="L78" i="1"/>
  <c r="K78" i="1"/>
  <c r="I78" i="1"/>
  <c r="R78" i="1" s="1"/>
  <c r="S77" i="1"/>
  <c r="Q77" i="1"/>
  <c r="P77" i="1"/>
  <c r="O77" i="1"/>
  <c r="N77" i="1"/>
  <c r="F77" i="1" s="1"/>
  <c r="M77" i="1"/>
  <c r="G77" i="1" s="1"/>
  <c r="L77" i="1"/>
  <c r="K77" i="1"/>
  <c r="I77" i="1"/>
  <c r="R77" i="1" s="1"/>
  <c r="S76" i="1"/>
  <c r="Q76" i="1"/>
  <c r="P76" i="1"/>
  <c r="O76" i="1"/>
  <c r="N76" i="1"/>
  <c r="F76" i="1" s="1"/>
  <c r="M76" i="1"/>
  <c r="G76" i="1" s="1"/>
  <c r="L76" i="1"/>
  <c r="K76" i="1"/>
  <c r="I76" i="1"/>
  <c r="R76" i="1" s="1"/>
  <c r="S75" i="1"/>
  <c r="Q75" i="1"/>
  <c r="P75" i="1"/>
  <c r="O75" i="1"/>
  <c r="N75" i="1"/>
  <c r="F75" i="1" s="1"/>
  <c r="M75" i="1"/>
  <c r="G75" i="1" s="1"/>
  <c r="L75" i="1"/>
  <c r="K75" i="1"/>
  <c r="I75" i="1"/>
  <c r="R75" i="1" s="1"/>
  <c r="S74" i="1"/>
  <c r="Q74" i="1"/>
  <c r="P74" i="1"/>
  <c r="O74" i="1"/>
  <c r="N74" i="1"/>
  <c r="F74" i="1" s="1"/>
  <c r="M74" i="1"/>
  <c r="G74" i="1" s="1"/>
  <c r="L74" i="1"/>
  <c r="K74" i="1"/>
  <c r="I74" i="1"/>
  <c r="R74" i="1" s="1"/>
  <c r="S73" i="1"/>
  <c r="Q73" i="1"/>
  <c r="P73" i="1"/>
  <c r="O73" i="1"/>
  <c r="N73" i="1"/>
  <c r="F73" i="1" s="1"/>
  <c r="M73" i="1"/>
  <c r="G73" i="1" s="1"/>
  <c r="L73" i="1"/>
  <c r="K73" i="1"/>
  <c r="I73" i="1"/>
  <c r="R73" i="1" s="1"/>
  <c r="S72" i="1"/>
  <c r="Q72" i="1"/>
  <c r="P72" i="1"/>
  <c r="O72" i="1"/>
  <c r="N72" i="1"/>
  <c r="F72" i="1" s="1"/>
  <c r="M72" i="1"/>
  <c r="G72" i="1" s="1"/>
  <c r="L72" i="1"/>
  <c r="K72" i="1"/>
  <c r="I72" i="1"/>
  <c r="R72" i="1" s="1"/>
  <c r="S71" i="1"/>
  <c r="Q71" i="1"/>
  <c r="P71" i="1"/>
  <c r="O71" i="1"/>
  <c r="N71" i="1"/>
  <c r="F71" i="1" s="1"/>
  <c r="M71" i="1"/>
  <c r="G71" i="1" s="1"/>
  <c r="L71" i="1"/>
  <c r="K71" i="1"/>
  <c r="I71" i="1"/>
  <c r="R71" i="1" s="1"/>
  <c r="S70" i="1"/>
  <c r="Q70" i="1"/>
  <c r="P70" i="1"/>
  <c r="O70" i="1"/>
  <c r="N70" i="1"/>
  <c r="F70" i="1" s="1"/>
  <c r="M70" i="1"/>
  <c r="G70" i="1" s="1"/>
  <c r="L70" i="1"/>
  <c r="K70" i="1"/>
  <c r="I70" i="1"/>
  <c r="R70" i="1" s="1"/>
  <c r="S69" i="1"/>
  <c r="Q69" i="1"/>
  <c r="P69" i="1"/>
  <c r="O69" i="1"/>
  <c r="N69" i="1"/>
  <c r="F69" i="1" s="1"/>
  <c r="M69" i="1"/>
  <c r="G69" i="1" s="1"/>
  <c r="L69" i="1"/>
  <c r="K69" i="1"/>
  <c r="I69" i="1"/>
  <c r="R69" i="1" s="1"/>
  <c r="S68" i="1"/>
  <c r="Q68" i="1"/>
  <c r="P68" i="1"/>
  <c r="O68" i="1"/>
  <c r="N68" i="1"/>
  <c r="F68" i="1" s="1"/>
  <c r="M68" i="1"/>
  <c r="G68" i="1" s="1"/>
  <c r="L68" i="1"/>
  <c r="K68" i="1"/>
  <c r="I68" i="1"/>
  <c r="R68" i="1" s="1"/>
  <c r="S67" i="1"/>
  <c r="R67" i="1"/>
  <c r="Q67" i="1"/>
  <c r="P67" i="1"/>
  <c r="O67" i="1"/>
  <c r="N67" i="1"/>
  <c r="F67" i="1" s="1"/>
  <c r="M67" i="1"/>
  <c r="G67" i="1" s="1"/>
  <c r="L67" i="1"/>
  <c r="K67" i="1"/>
  <c r="I67" i="1"/>
  <c r="S66" i="1"/>
  <c r="Q66" i="1"/>
  <c r="P66" i="1"/>
  <c r="O66" i="1"/>
  <c r="N66" i="1"/>
  <c r="F66" i="1" s="1"/>
  <c r="M66" i="1"/>
  <c r="G66" i="1" s="1"/>
  <c r="L66" i="1"/>
  <c r="K66" i="1"/>
  <c r="I66" i="1"/>
  <c r="R66" i="1" s="1"/>
  <c r="S65" i="1"/>
  <c r="Q65" i="1"/>
  <c r="P65" i="1"/>
  <c r="O65" i="1"/>
  <c r="N65" i="1"/>
  <c r="F65" i="1" s="1"/>
  <c r="M65" i="1"/>
  <c r="G65" i="1" s="1"/>
  <c r="L65" i="1"/>
  <c r="K65" i="1"/>
  <c r="I65" i="1"/>
  <c r="R65" i="1" s="1"/>
  <c r="S64" i="1"/>
  <c r="Q64" i="1"/>
  <c r="P64" i="1"/>
  <c r="O64" i="1"/>
  <c r="N64" i="1"/>
  <c r="F64" i="1" s="1"/>
  <c r="M64" i="1"/>
  <c r="G64" i="1" s="1"/>
  <c r="L64" i="1"/>
  <c r="K64" i="1"/>
  <c r="I64" i="1"/>
  <c r="R64" i="1" s="1"/>
  <c r="S63" i="1"/>
  <c r="Q63" i="1"/>
  <c r="P63" i="1"/>
  <c r="O63" i="1"/>
  <c r="N63" i="1"/>
  <c r="F63" i="1" s="1"/>
  <c r="M63" i="1"/>
  <c r="G63" i="1" s="1"/>
  <c r="L63" i="1"/>
  <c r="K63" i="1"/>
  <c r="I63" i="1"/>
  <c r="R63" i="1" s="1"/>
  <c r="S62" i="1"/>
  <c r="Q62" i="1"/>
  <c r="P62" i="1"/>
  <c r="O62" i="1"/>
  <c r="N62" i="1"/>
  <c r="F62" i="1" s="1"/>
  <c r="M62" i="1"/>
  <c r="G62" i="1" s="1"/>
  <c r="L62" i="1"/>
  <c r="K62" i="1"/>
  <c r="I62" i="1"/>
  <c r="R62" i="1" s="1"/>
  <c r="S61" i="1"/>
  <c r="Q61" i="1"/>
  <c r="P61" i="1"/>
  <c r="O61" i="1"/>
  <c r="N61" i="1"/>
  <c r="F61" i="1" s="1"/>
  <c r="M61" i="1"/>
  <c r="G61" i="1" s="1"/>
  <c r="L61" i="1"/>
  <c r="K61" i="1"/>
  <c r="I61" i="1"/>
  <c r="R61" i="1" s="1"/>
  <c r="S60" i="1"/>
  <c r="Q60" i="1"/>
  <c r="P60" i="1"/>
  <c r="O60" i="1"/>
  <c r="N60" i="1"/>
  <c r="F60" i="1" s="1"/>
  <c r="M60" i="1"/>
  <c r="G60" i="1" s="1"/>
  <c r="L60" i="1"/>
  <c r="K60" i="1"/>
  <c r="I60" i="1"/>
  <c r="R60" i="1" s="1"/>
  <c r="S59" i="1"/>
  <c r="Q59" i="1"/>
  <c r="P59" i="1"/>
  <c r="O59" i="1"/>
  <c r="N59" i="1"/>
  <c r="F59" i="1" s="1"/>
  <c r="M59" i="1"/>
  <c r="G59" i="1" s="1"/>
  <c r="L59" i="1"/>
  <c r="K59" i="1"/>
  <c r="I59" i="1"/>
  <c r="R59" i="1" s="1"/>
  <c r="S58" i="1"/>
  <c r="Q58" i="1"/>
  <c r="P58" i="1"/>
  <c r="O58" i="1"/>
  <c r="N58" i="1"/>
  <c r="F58" i="1" s="1"/>
  <c r="M58" i="1"/>
  <c r="G58" i="1" s="1"/>
  <c r="L58" i="1"/>
  <c r="K58" i="1"/>
  <c r="I58" i="1"/>
  <c r="R58" i="1" s="1"/>
  <c r="S57" i="1"/>
  <c r="Q57" i="1"/>
  <c r="P57" i="1"/>
  <c r="O57" i="1"/>
  <c r="N57" i="1"/>
  <c r="F57" i="1" s="1"/>
  <c r="M57" i="1"/>
  <c r="G57" i="1" s="1"/>
  <c r="L57" i="1"/>
  <c r="K57" i="1"/>
  <c r="I57" i="1"/>
  <c r="R57" i="1" s="1"/>
  <c r="S56" i="1"/>
  <c r="Q56" i="1"/>
  <c r="P56" i="1"/>
  <c r="O56" i="1"/>
  <c r="N56" i="1"/>
  <c r="F56" i="1" s="1"/>
  <c r="M56" i="1"/>
  <c r="G56" i="1" s="1"/>
  <c r="L56" i="1"/>
  <c r="K56" i="1"/>
  <c r="I56" i="1"/>
  <c r="R56" i="1" s="1"/>
  <c r="S55" i="1"/>
  <c r="Q55" i="1"/>
  <c r="P55" i="1"/>
  <c r="O55" i="1"/>
  <c r="N55" i="1"/>
  <c r="F55" i="1" s="1"/>
  <c r="M55" i="1"/>
  <c r="G55" i="1" s="1"/>
  <c r="L55" i="1"/>
  <c r="K55" i="1"/>
  <c r="I55" i="1"/>
  <c r="R55" i="1" s="1"/>
  <c r="S54" i="1"/>
  <c r="Q54" i="1"/>
  <c r="P54" i="1"/>
  <c r="O54" i="1"/>
  <c r="N54" i="1"/>
  <c r="F54" i="1" s="1"/>
  <c r="M54" i="1"/>
  <c r="G54" i="1" s="1"/>
  <c r="L54" i="1"/>
  <c r="K54" i="1"/>
  <c r="I54" i="1"/>
  <c r="R54" i="1" s="1"/>
  <c r="S53" i="1"/>
  <c r="Q53" i="1"/>
  <c r="P53" i="1"/>
  <c r="O53" i="1"/>
  <c r="N53" i="1"/>
  <c r="F53" i="1" s="1"/>
  <c r="M53" i="1"/>
  <c r="G53" i="1" s="1"/>
  <c r="L53" i="1"/>
  <c r="K53" i="1"/>
  <c r="I53" i="1"/>
  <c r="R53" i="1" s="1"/>
  <c r="S52" i="1"/>
  <c r="Q52" i="1"/>
  <c r="P52" i="1"/>
  <c r="O52" i="1"/>
  <c r="N52" i="1"/>
  <c r="F52" i="1" s="1"/>
  <c r="M52" i="1"/>
  <c r="G52" i="1" s="1"/>
  <c r="L52" i="1"/>
  <c r="K52" i="1"/>
  <c r="I52" i="1"/>
  <c r="R52" i="1" s="1"/>
  <c r="S51" i="1"/>
  <c r="Q51" i="1"/>
  <c r="P51" i="1"/>
  <c r="O51" i="1"/>
  <c r="N51" i="1"/>
  <c r="F51" i="1" s="1"/>
  <c r="M51" i="1"/>
  <c r="G51" i="1" s="1"/>
  <c r="L51" i="1"/>
  <c r="K51" i="1"/>
  <c r="I51" i="1"/>
  <c r="R51" i="1" s="1"/>
  <c r="S50" i="1"/>
  <c r="Q50" i="1"/>
  <c r="P50" i="1"/>
  <c r="O50" i="1"/>
  <c r="N50" i="1"/>
  <c r="F50" i="1" s="1"/>
  <c r="M50" i="1"/>
  <c r="G50" i="1" s="1"/>
  <c r="L50" i="1"/>
  <c r="K50" i="1"/>
  <c r="I50" i="1"/>
  <c r="R50" i="1" s="1"/>
  <c r="S49" i="1"/>
  <c r="Q49" i="1"/>
  <c r="P49" i="1"/>
  <c r="O49" i="1"/>
  <c r="N49" i="1"/>
  <c r="F49" i="1" s="1"/>
  <c r="M49" i="1"/>
  <c r="G49" i="1" s="1"/>
  <c r="L49" i="1"/>
  <c r="K49" i="1"/>
  <c r="I49" i="1"/>
  <c r="R49" i="1" s="1"/>
  <c r="S48" i="1"/>
  <c r="Q48" i="1"/>
  <c r="P48" i="1"/>
  <c r="O48" i="1"/>
  <c r="N48" i="1"/>
  <c r="F48" i="1" s="1"/>
  <c r="M48" i="1"/>
  <c r="G48" i="1" s="1"/>
  <c r="L48" i="1"/>
  <c r="K48" i="1"/>
  <c r="I48" i="1"/>
  <c r="R48" i="1" s="1"/>
  <c r="S47" i="1"/>
  <c r="Q47" i="1"/>
  <c r="P47" i="1"/>
  <c r="O47" i="1"/>
  <c r="N47" i="1"/>
  <c r="F47" i="1" s="1"/>
  <c r="M47" i="1"/>
  <c r="G47" i="1" s="1"/>
  <c r="L47" i="1"/>
  <c r="K47" i="1"/>
  <c r="I47" i="1"/>
  <c r="R47" i="1" s="1"/>
  <c r="S46" i="1"/>
  <c r="Q46" i="1"/>
  <c r="P46" i="1"/>
  <c r="O46" i="1"/>
  <c r="N46" i="1"/>
  <c r="F46" i="1" s="1"/>
  <c r="M46" i="1"/>
  <c r="G46" i="1" s="1"/>
  <c r="L46" i="1"/>
  <c r="K46" i="1"/>
  <c r="I46" i="1"/>
  <c r="R46" i="1" s="1"/>
  <c r="S45" i="1"/>
  <c r="Q45" i="1"/>
  <c r="P45" i="1"/>
  <c r="O45" i="1"/>
  <c r="N45" i="1"/>
  <c r="F45" i="1" s="1"/>
  <c r="M45" i="1"/>
  <c r="G45" i="1" s="1"/>
  <c r="L45" i="1"/>
  <c r="K45" i="1"/>
  <c r="I45" i="1"/>
  <c r="R45" i="1" s="1"/>
  <c r="S44" i="1"/>
  <c r="R44" i="1"/>
  <c r="Q44" i="1"/>
  <c r="P44" i="1"/>
  <c r="O44" i="1"/>
  <c r="N44" i="1"/>
  <c r="F44" i="1" s="1"/>
  <c r="M44" i="1"/>
  <c r="G44" i="1" s="1"/>
  <c r="L44" i="1"/>
  <c r="K44" i="1"/>
  <c r="I44" i="1"/>
  <c r="S43" i="1"/>
  <c r="Q43" i="1"/>
  <c r="P43" i="1"/>
  <c r="O43" i="1"/>
  <c r="N43" i="1"/>
  <c r="F43" i="1" s="1"/>
  <c r="M43" i="1"/>
  <c r="G43" i="1" s="1"/>
  <c r="L43" i="1"/>
  <c r="K43" i="1"/>
  <c r="I43" i="1"/>
  <c r="R43" i="1" s="1"/>
  <c r="S42" i="1"/>
  <c r="Q42" i="1"/>
  <c r="P42" i="1"/>
  <c r="O42" i="1"/>
  <c r="N42" i="1"/>
  <c r="F42" i="1" s="1"/>
  <c r="M42" i="1"/>
  <c r="G42" i="1" s="1"/>
  <c r="L42" i="1"/>
  <c r="K42" i="1"/>
  <c r="I42" i="1"/>
  <c r="R42" i="1" s="1"/>
  <c r="S41" i="1"/>
  <c r="Q41" i="1"/>
  <c r="P41" i="1"/>
  <c r="O41" i="1"/>
  <c r="N41" i="1"/>
  <c r="F41" i="1" s="1"/>
  <c r="M41" i="1"/>
  <c r="G41" i="1" s="1"/>
  <c r="L41" i="1"/>
  <c r="K41" i="1"/>
  <c r="E41" i="1"/>
  <c r="I41" i="1" s="1"/>
  <c r="R41" i="1" s="1"/>
  <c r="S40" i="1"/>
  <c r="Q40" i="1"/>
  <c r="P40" i="1"/>
  <c r="O40" i="1"/>
  <c r="N40" i="1"/>
  <c r="F40" i="1" s="1"/>
  <c r="M40" i="1"/>
  <c r="G40" i="1" s="1"/>
  <c r="L40" i="1"/>
  <c r="K40" i="1"/>
  <c r="I40" i="1"/>
  <c r="R40" i="1" s="1"/>
  <c r="S39" i="1"/>
  <c r="R39" i="1"/>
  <c r="Q39" i="1"/>
  <c r="P39" i="1"/>
  <c r="O39" i="1"/>
  <c r="N39" i="1"/>
  <c r="F39" i="1" s="1"/>
  <c r="M39" i="1"/>
  <c r="G39" i="1" s="1"/>
  <c r="L39" i="1"/>
  <c r="K39" i="1"/>
  <c r="I39" i="1"/>
  <c r="S38" i="1"/>
  <c r="Q38" i="1"/>
  <c r="P38" i="1"/>
  <c r="O38" i="1"/>
  <c r="N38" i="1"/>
  <c r="F38" i="1" s="1"/>
  <c r="M38" i="1"/>
  <c r="G38" i="1" s="1"/>
  <c r="L38" i="1"/>
  <c r="K38" i="1"/>
  <c r="E38" i="1"/>
  <c r="I38" i="1" s="1"/>
  <c r="R38" i="1" s="1"/>
  <c r="S37" i="1"/>
  <c r="Q37" i="1"/>
  <c r="P37" i="1"/>
  <c r="O37" i="1"/>
  <c r="N37" i="1"/>
  <c r="F37" i="1" s="1"/>
  <c r="M37" i="1"/>
  <c r="G37" i="1" s="1"/>
  <c r="L37" i="1"/>
  <c r="K37" i="1"/>
  <c r="I37" i="1"/>
  <c r="R37" i="1" s="1"/>
  <c r="S36" i="1"/>
  <c r="Q36" i="1"/>
  <c r="P36" i="1"/>
  <c r="O36" i="1"/>
  <c r="N36" i="1"/>
  <c r="F36" i="1" s="1"/>
  <c r="M36" i="1"/>
  <c r="G36" i="1" s="1"/>
  <c r="L36" i="1"/>
  <c r="K36" i="1"/>
  <c r="I36" i="1"/>
  <c r="R36" i="1" s="1"/>
  <c r="S35" i="1"/>
  <c r="Q35" i="1"/>
  <c r="P35" i="1"/>
  <c r="O35" i="1"/>
  <c r="N35" i="1"/>
  <c r="F35" i="1" s="1"/>
  <c r="M35" i="1"/>
  <c r="G35" i="1" s="1"/>
  <c r="L35" i="1"/>
  <c r="K35" i="1"/>
  <c r="I35" i="1"/>
  <c r="R35" i="1" s="1"/>
  <c r="S34" i="1"/>
  <c r="Q34" i="1"/>
  <c r="P34" i="1"/>
  <c r="O34" i="1"/>
  <c r="N34" i="1"/>
  <c r="F34" i="1" s="1"/>
  <c r="M34" i="1"/>
  <c r="G34" i="1" s="1"/>
  <c r="L34" i="1"/>
  <c r="K34" i="1"/>
  <c r="I34" i="1"/>
  <c r="R34" i="1" s="1"/>
  <c r="S33" i="1"/>
  <c r="Q33" i="1"/>
  <c r="P33" i="1"/>
  <c r="O33" i="1"/>
  <c r="N33" i="1"/>
  <c r="F33" i="1" s="1"/>
  <c r="M33" i="1"/>
  <c r="G33" i="1" s="1"/>
  <c r="L33" i="1"/>
  <c r="K33" i="1"/>
  <c r="I33" i="1"/>
  <c r="R33" i="1" s="1"/>
  <c r="S32" i="1"/>
  <c r="Q32" i="1"/>
  <c r="P32" i="1"/>
  <c r="O32" i="1"/>
  <c r="N32" i="1"/>
  <c r="F32" i="1" s="1"/>
  <c r="M32" i="1"/>
  <c r="G32" i="1" s="1"/>
  <c r="L32" i="1"/>
  <c r="K32" i="1"/>
  <c r="I32" i="1"/>
  <c r="R32" i="1" s="1"/>
  <c r="S31" i="1"/>
  <c r="Q31" i="1"/>
  <c r="P31" i="1"/>
  <c r="O31" i="1"/>
  <c r="N31" i="1"/>
  <c r="F31" i="1" s="1"/>
  <c r="M31" i="1"/>
  <c r="G31" i="1" s="1"/>
  <c r="L31" i="1"/>
  <c r="K31" i="1"/>
  <c r="I31" i="1"/>
  <c r="R31" i="1" s="1"/>
  <c r="S30" i="1"/>
  <c r="Q30" i="1"/>
  <c r="P30" i="1"/>
  <c r="O30" i="1"/>
  <c r="N30" i="1"/>
  <c r="F30" i="1" s="1"/>
  <c r="M30" i="1"/>
  <c r="G30" i="1" s="1"/>
  <c r="L30" i="1"/>
  <c r="K30" i="1"/>
  <c r="E30" i="1"/>
  <c r="I30" i="1" s="1"/>
  <c r="R30" i="1" s="1"/>
  <c r="S29" i="1"/>
  <c r="Q29" i="1"/>
  <c r="P29" i="1"/>
  <c r="O29" i="1"/>
  <c r="N29" i="1"/>
  <c r="F29" i="1" s="1"/>
  <c r="M29" i="1"/>
  <c r="G29" i="1" s="1"/>
  <c r="L29" i="1"/>
  <c r="K29" i="1"/>
  <c r="I29" i="1"/>
  <c r="R29" i="1" s="1"/>
  <c r="S28" i="1"/>
  <c r="Q28" i="1"/>
  <c r="P28" i="1"/>
  <c r="O28" i="1"/>
  <c r="N28" i="1"/>
  <c r="F28" i="1" s="1"/>
  <c r="M28" i="1"/>
  <c r="G28" i="1" s="1"/>
  <c r="L28" i="1"/>
  <c r="K28" i="1"/>
  <c r="I28" i="1"/>
  <c r="R28" i="1" s="1"/>
  <c r="S27" i="1"/>
  <c r="Q27" i="1"/>
  <c r="P27" i="1"/>
  <c r="O27" i="1"/>
  <c r="N27" i="1"/>
  <c r="F27" i="1" s="1"/>
  <c r="M27" i="1"/>
  <c r="G27" i="1" s="1"/>
  <c r="L27" i="1"/>
  <c r="K27" i="1"/>
  <c r="I27" i="1"/>
  <c r="R27" i="1" s="1"/>
  <c r="S26" i="1"/>
  <c r="Q26" i="1"/>
  <c r="P26" i="1"/>
  <c r="O26" i="1"/>
  <c r="N26" i="1"/>
  <c r="F26" i="1" s="1"/>
  <c r="M26" i="1"/>
  <c r="G26" i="1" s="1"/>
  <c r="L26" i="1"/>
  <c r="K26" i="1"/>
  <c r="I26" i="1"/>
  <c r="R26" i="1" s="1"/>
  <c r="S25" i="1"/>
  <c r="Q25" i="1"/>
  <c r="P25" i="1"/>
  <c r="O25" i="1"/>
  <c r="N25" i="1"/>
  <c r="F25" i="1" s="1"/>
  <c r="M25" i="1"/>
  <c r="G25" i="1" s="1"/>
  <c r="L25" i="1"/>
  <c r="K25" i="1"/>
  <c r="I25" i="1"/>
  <c r="R25" i="1" s="1"/>
  <c r="S24" i="1"/>
  <c r="Q24" i="1"/>
  <c r="P24" i="1"/>
  <c r="O24" i="1"/>
  <c r="N24" i="1"/>
  <c r="F24" i="1" s="1"/>
  <c r="M24" i="1"/>
  <c r="G24" i="1" s="1"/>
  <c r="L24" i="1"/>
  <c r="K24" i="1"/>
  <c r="E24" i="1"/>
  <c r="I24" i="1" s="1"/>
  <c r="R24" i="1" s="1"/>
  <c r="S23" i="1"/>
  <c r="Q23" i="1"/>
  <c r="P23" i="1"/>
  <c r="O23" i="1"/>
  <c r="N23" i="1"/>
  <c r="F23" i="1" s="1"/>
  <c r="M23" i="1"/>
  <c r="G23" i="1" s="1"/>
  <c r="L23" i="1"/>
  <c r="K23" i="1"/>
  <c r="E23" i="1"/>
  <c r="I23" i="1" s="1"/>
  <c r="R23" i="1" s="1"/>
  <c r="S22" i="1"/>
  <c r="Q22" i="1"/>
  <c r="P22" i="1"/>
  <c r="O22" i="1"/>
  <c r="N22" i="1"/>
  <c r="F22" i="1" s="1"/>
  <c r="M22" i="1"/>
  <c r="G22" i="1" s="1"/>
  <c r="L22" i="1"/>
  <c r="K22" i="1"/>
  <c r="I22" i="1"/>
  <c r="R22" i="1" s="1"/>
  <c r="S21" i="1"/>
  <c r="R21" i="1"/>
  <c r="Q21" i="1"/>
  <c r="P21" i="1"/>
  <c r="O21" i="1"/>
  <c r="N21" i="1"/>
  <c r="F21" i="1" s="1"/>
  <c r="M21" i="1"/>
  <c r="G21" i="1" s="1"/>
  <c r="L21" i="1"/>
  <c r="K21" i="1"/>
  <c r="I21" i="1"/>
  <c r="S20" i="1"/>
  <c r="Q20" i="1"/>
  <c r="P20" i="1"/>
  <c r="O20" i="1"/>
  <c r="N20" i="1"/>
  <c r="F20" i="1" s="1"/>
  <c r="M20" i="1"/>
  <c r="G20" i="1" s="1"/>
  <c r="L20" i="1"/>
  <c r="K20" i="1"/>
  <c r="E20" i="1"/>
  <c r="I20" i="1" s="1"/>
  <c r="R20" i="1" s="1"/>
  <c r="S19" i="1"/>
  <c r="Q19" i="1"/>
  <c r="P19" i="1"/>
  <c r="O19" i="1"/>
  <c r="N19" i="1"/>
  <c r="F19" i="1" s="1"/>
  <c r="M19" i="1"/>
  <c r="G19" i="1" s="1"/>
  <c r="L19" i="1"/>
  <c r="K19" i="1"/>
  <c r="I19" i="1"/>
  <c r="R19" i="1" s="1"/>
  <c r="S18" i="1"/>
  <c r="Q18" i="1"/>
  <c r="P18" i="1"/>
  <c r="O18" i="1"/>
  <c r="N18" i="1"/>
  <c r="F18" i="1" s="1"/>
  <c r="M18" i="1"/>
  <c r="G18" i="1" s="1"/>
  <c r="L18" i="1"/>
  <c r="K18" i="1"/>
  <c r="I18" i="1"/>
  <c r="R18" i="1" s="1"/>
  <c r="S17" i="1"/>
  <c r="Q17" i="1"/>
  <c r="P17" i="1"/>
  <c r="O17" i="1"/>
  <c r="N17" i="1"/>
  <c r="F17" i="1" s="1"/>
  <c r="M17" i="1"/>
  <c r="G17" i="1" s="1"/>
  <c r="L17" i="1"/>
  <c r="K17" i="1"/>
  <c r="E17" i="1"/>
  <c r="I17" i="1" s="1"/>
  <c r="R17" i="1" s="1"/>
  <c r="S16" i="1"/>
  <c r="Q16" i="1"/>
  <c r="P16" i="1"/>
  <c r="O16" i="1"/>
  <c r="N16" i="1"/>
  <c r="F16" i="1" s="1"/>
  <c r="M16" i="1"/>
  <c r="G16" i="1" s="1"/>
  <c r="L16" i="1"/>
  <c r="K16" i="1"/>
  <c r="I16" i="1"/>
  <c r="R16" i="1" s="1"/>
  <c r="S15" i="1"/>
  <c r="Q15" i="1"/>
  <c r="P15" i="1"/>
  <c r="O15" i="1"/>
  <c r="N15" i="1"/>
  <c r="F15" i="1" s="1"/>
  <c r="M15" i="1"/>
  <c r="G15" i="1" s="1"/>
  <c r="L15" i="1"/>
  <c r="K15" i="1"/>
  <c r="I15" i="1"/>
  <c r="R15" i="1" s="1"/>
  <c r="S14" i="1"/>
  <c r="Q14" i="1"/>
  <c r="P14" i="1"/>
  <c r="O14" i="1"/>
  <c r="N14" i="1"/>
  <c r="F14" i="1" s="1"/>
  <c r="M14" i="1"/>
  <c r="G14" i="1" s="1"/>
  <c r="L14" i="1"/>
  <c r="K14" i="1"/>
  <c r="I14" i="1"/>
  <c r="R14" i="1" s="1"/>
  <c r="S13" i="1"/>
  <c r="Q13" i="1"/>
  <c r="P13" i="1"/>
  <c r="O13" i="1"/>
  <c r="N13" i="1"/>
  <c r="F13" i="1" s="1"/>
  <c r="M13" i="1"/>
  <c r="G13" i="1" s="1"/>
  <c r="L13" i="1"/>
  <c r="K13" i="1"/>
  <c r="I13" i="1"/>
  <c r="R13" i="1" s="1"/>
  <c r="S12" i="1"/>
  <c r="Q12" i="1"/>
  <c r="P12" i="1"/>
  <c r="O12" i="1"/>
  <c r="N12" i="1"/>
  <c r="F12" i="1" s="1"/>
  <c r="M12" i="1"/>
  <c r="G12" i="1" s="1"/>
  <c r="L12" i="1"/>
  <c r="K12" i="1"/>
  <c r="I12" i="1"/>
  <c r="R12" i="1" s="1"/>
  <c r="S11" i="1"/>
  <c r="Q11" i="1"/>
  <c r="P11" i="1"/>
  <c r="O11" i="1"/>
  <c r="N11" i="1"/>
  <c r="F11" i="1" s="1"/>
  <c r="M11" i="1"/>
  <c r="G11" i="1" s="1"/>
  <c r="L11" i="1"/>
  <c r="K11" i="1"/>
  <c r="E11" i="1"/>
  <c r="I11" i="1" s="1"/>
  <c r="R11" i="1" s="1"/>
  <c r="S10" i="1"/>
  <c r="Q10" i="1"/>
  <c r="P10" i="1"/>
  <c r="O10" i="1"/>
  <c r="N10" i="1"/>
  <c r="F10" i="1" s="1"/>
  <c r="M10" i="1"/>
  <c r="G10" i="1" s="1"/>
  <c r="L10" i="1"/>
  <c r="K10" i="1"/>
  <c r="I10" i="1"/>
  <c r="R10" i="1" s="1"/>
  <c r="S9" i="1"/>
  <c r="Q9" i="1"/>
  <c r="P9" i="1"/>
  <c r="O9" i="1"/>
  <c r="N9" i="1"/>
  <c r="F9" i="1" s="1"/>
  <c r="M9" i="1"/>
  <c r="G9" i="1" s="1"/>
  <c r="L9" i="1"/>
  <c r="K9" i="1"/>
  <c r="I9" i="1"/>
  <c r="R9" i="1" s="1"/>
  <c r="S8" i="1"/>
  <c r="Q8" i="1"/>
  <c r="P8" i="1"/>
  <c r="O8" i="1"/>
  <c r="N8" i="1"/>
  <c r="F8" i="1" s="1"/>
  <c r="M8" i="1"/>
  <c r="G8" i="1" s="1"/>
  <c r="L8" i="1"/>
  <c r="K8" i="1"/>
  <c r="I8" i="1"/>
  <c r="R8" i="1" s="1"/>
  <c r="S7" i="1"/>
  <c r="Q7" i="1"/>
  <c r="P7" i="1"/>
  <c r="O7" i="1"/>
  <c r="N7" i="1"/>
  <c r="F7" i="1" s="1"/>
  <c r="M7" i="1"/>
  <c r="G7" i="1" s="1"/>
  <c r="L7" i="1"/>
  <c r="K7" i="1"/>
  <c r="I7" i="1"/>
  <c r="R7" i="1" s="1"/>
  <c r="S6" i="1"/>
  <c r="Q6" i="1"/>
  <c r="P6" i="1"/>
  <c r="O6" i="1"/>
  <c r="N6" i="1"/>
  <c r="F6" i="1" s="1"/>
  <c r="M6" i="1"/>
  <c r="G6" i="1" s="1"/>
  <c r="L6" i="1"/>
  <c r="K6" i="1"/>
  <c r="I6" i="1"/>
  <c r="R6" i="1" s="1"/>
  <c r="S5" i="1"/>
  <c r="Q5" i="1"/>
  <c r="P5" i="1"/>
  <c r="O5" i="1"/>
  <c r="N5" i="1"/>
  <c r="F5" i="1" s="1"/>
  <c r="M5" i="1"/>
  <c r="G5" i="1" s="1"/>
  <c r="L5" i="1"/>
  <c r="K5" i="1"/>
  <c r="I5" i="1"/>
  <c r="R5" i="1" s="1"/>
  <c r="S4" i="1"/>
  <c r="Q4" i="1"/>
  <c r="P4" i="1"/>
  <c r="O4" i="1"/>
  <c r="N4" i="1"/>
  <c r="F4" i="1" s="1"/>
  <c r="M4" i="1"/>
  <c r="G4" i="1" s="1"/>
  <c r="L4" i="1"/>
  <c r="K4" i="1"/>
  <c r="E4" i="1"/>
  <c r="I4" i="1" s="1"/>
  <c r="R4" i="1" s="1"/>
  <c r="S3" i="1"/>
  <c r="Q3" i="1"/>
  <c r="P3" i="1"/>
  <c r="O3" i="1"/>
  <c r="N3" i="1"/>
  <c r="F3" i="1" s="1"/>
  <c r="M3" i="1"/>
  <c r="G3" i="1" s="1"/>
  <c r="L3" i="1"/>
  <c r="K3" i="1"/>
  <c r="I3" i="1"/>
  <c r="J3" i="1" s="1"/>
  <c r="P1" i="1"/>
  <c r="O1" i="1"/>
  <c r="N1" i="1"/>
  <c r="M1" i="1"/>
  <c r="L1" i="1"/>
  <c r="K1" i="1"/>
  <c r="R3" i="1" l="1"/>
  <c r="I130" i="1"/>
  <c r="R130" i="1" s="1"/>
  <c r="H175" i="1"/>
  <c r="H89" i="1"/>
  <c r="H123" i="1"/>
  <c r="H159" i="1"/>
  <c r="H113" i="1"/>
  <c r="H107" i="1"/>
  <c r="H141" i="1"/>
  <c r="H135" i="1"/>
  <c r="H129" i="1"/>
  <c r="H157" i="1"/>
  <c r="H80" i="1"/>
  <c r="H154" i="1"/>
  <c r="H14" i="1"/>
  <c r="H146" i="1"/>
  <c r="H151" i="1"/>
  <c r="H160" i="1"/>
  <c r="H34" i="1"/>
  <c r="H109" i="1"/>
  <c r="H5" i="1"/>
  <c r="H163" i="1"/>
  <c r="H31" i="1"/>
  <c r="H39" i="1"/>
  <c r="H96" i="1"/>
  <c r="H88" i="1"/>
  <c r="H138" i="1"/>
  <c r="H122" i="1"/>
  <c r="H48" i="1"/>
  <c r="H28" i="1"/>
  <c r="H162" i="1"/>
  <c r="H47" i="1"/>
  <c r="H63" i="1"/>
  <c r="H55" i="1"/>
  <c r="H105" i="1"/>
  <c r="H41" i="1"/>
  <c r="H52" i="1"/>
  <c r="H92" i="1"/>
  <c r="H117" i="1"/>
  <c r="H118" i="1"/>
  <c r="H137" i="1"/>
  <c r="H16" i="1"/>
  <c r="H43" i="1"/>
  <c r="H51" i="1"/>
  <c r="H97" i="1"/>
  <c r="H112" i="1"/>
  <c r="H134" i="1"/>
  <c r="H110" i="1"/>
  <c r="H131" i="1"/>
  <c r="H144" i="1"/>
  <c r="H32" i="1"/>
  <c r="H77" i="1"/>
  <c r="H78" i="1"/>
  <c r="H85" i="1"/>
  <c r="H86" i="1"/>
  <c r="H170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H106" i="1"/>
  <c r="H93" i="1"/>
  <c r="H152" i="1"/>
  <c r="H20" i="1"/>
  <c r="H173" i="1"/>
  <c r="H130" i="1"/>
  <c r="H87" i="1"/>
  <c r="H90" i="1"/>
  <c r="H119" i="1"/>
  <c r="H155" i="1"/>
  <c r="H158" i="1"/>
  <c r="H161" i="1"/>
  <c r="H4" i="1"/>
  <c r="H8" i="1"/>
  <c r="H26" i="1"/>
  <c r="H81" i="1"/>
  <c r="H84" i="1"/>
  <c r="H116" i="1"/>
  <c r="H127" i="1"/>
  <c r="H164" i="1"/>
  <c r="H49" i="1"/>
  <c r="H58" i="1"/>
  <c r="H61" i="1"/>
  <c r="H37" i="1"/>
  <c r="H40" i="1"/>
  <c r="H46" i="1"/>
  <c r="H139" i="1"/>
  <c r="H142" i="1"/>
  <c r="H145" i="1"/>
  <c r="H3" i="1"/>
  <c r="H18" i="1"/>
  <c r="H19" i="1"/>
  <c r="H22" i="1"/>
  <c r="H66" i="1"/>
  <c r="H69" i="1"/>
  <c r="H95" i="1"/>
  <c r="H98" i="1"/>
  <c r="H121" i="1"/>
  <c r="H148" i="1"/>
  <c r="H24" i="1"/>
  <c r="H165" i="1"/>
  <c r="H9" i="1"/>
  <c r="H10" i="1"/>
  <c r="H13" i="1"/>
  <c r="H25" i="1"/>
  <c r="H57" i="1"/>
  <c r="H125" i="1"/>
  <c r="H126" i="1"/>
  <c r="H166" i="1"/>
  <c r="H169" i="1"/>
  <c r="H74" i="1"/>
  <c r="H172" i="1"/>
  <c r="H33" i="1"/>
  <c r="H42" i="1"/>
  <c r="H53" i="1"/>
  <c r="H54" i="1"/>
  <c r="H71" i="1"/>
  <c r="H103" i="1"/>
  <c r="H132" i="1"/>
  <c r="H36" i="1"/>
  <c r="H38" i="1"/>
  <c r="H45" i="1"/>
  <c r="H65" i="1"/>
  <c r="H143" i="1"/>
  <c r="H147" i="1"/>
  <c r="H149" i="1"/>
  <c r="H150" i="1"/>
  <c r="H153" i="1"/>
  <c r="H6" i="1"/>
  <c r="H68" i="1"/>
  <c r="H82" i="1"/>
  <c r="H94" i="1"/>
  <c r="H156" i="1"/>
  <c r="H15" i="1"/>
  <c r="H62" i="1"/>
  <c r="H50" i="1"/>
  <c r="H73" i="1"/>
  <c r="H79" i="1"/>
  <c r="H111" i="1"/>
  <c r="H114" i="1"/>
  <c r="H171" i="1"/>
  <c r="H174" i="1"/>
  <c r="H23" i="1"/>
  <c r="H35" i="1"/>
  <c r="H44" i="1"/>
  <c r="H70" i="1"/>
  <c r="H101" i="1"/>
  <c r="H102" i="1"/>
  <c r="H140" i="1"/>
  <c r="H7" i="1"/>
  <c r="H83" i="1"/>
  <c r="H124" i="1"/>
  <c r="H115" i="1"/>
  <c r="H21" i="1"/>
  <c r="H120" i="1"/>
  <c r="H12" i="1"/>
  <c r="H27" i="1"/>
  <c r="H91" i="1"/>
  <c r="H128" i="1"/>
  <c r="H168" i="1"/>
  <c r="H60" i="1"/>
  <c r="H56" i="1"/>
  <c r="H59" i="1"/>
  <c r="H100" i="1"/>
  <c r="H29" i="1"/>
  <c r="H64" i="1"/>
  <c r="H67" i="1"/>
  <c r="H99" i="1"/>
  <c r="H11" i="1"/>
  <c r="H167" i="1"/>
  <c r="H176" i="1"/>
  <c r="H76" i="1"/>
  <c r="H108" i="1"/>
  <c r="H133" i="1"/>
  <c r="H136" i="1"/>
  <c r="H72" i="1"/>
  <c r="H75" i="1"/>
  <c r="H104" i="1"/>
  <c r="H17" i="1"/>
  <c r="H30" i="1"/>
</calcChain>
</file>

<file path=xl/sharedStrings.xml><?xml version="1.0" encoding="utf-8"?>
<sst xmlns="http://schemas.openxmlformats.org/spreadsheetml/2006/main" count="377" uniqueCount="101">
  <si>
    <t>Buy</t>
  </si>
  <si>
    <t>Sell</t>
  </si>
  <si>
    <t>TXN DATE</t>
  </si>
  <si>
    <t>EXCHANGE CODE: TICKER</t>
  </si>
  <si>
    <t>TYPE</t>
  </si>
  <si>
    <t>UNITS</t>
  </si>
  <si>
    <t>PRICE</t>
  </si>
  <si>
    <t>Low</t>
  </si>
  <si>
    <t>High</t>
  </si>
  <si>
    <t>Valid?</t>
  </si>
  <si>
    <t>AMOUNT</t>
  </si>
  <si>
    <t>Cash Balance</t>
  </si>
  <si>
    <t>QTY</t>
  </si>
  <si>
    <t>Value</t>
  </si>
  <si>
    <t>Date</t>
  </si>
  <si>
    <t>Transaction Types</t>
  </si>
  <si>
    <t>NSE:DCMSHRIRAM</t>
  </si>
  <si>
    <r>
      <rPr>
        <sz val="12"/>
        <color rgb="FFFBBC04"/>
        <rFont val="Calibri"/>
        <family val="2"/>
      </rPr>
      <t>1. Buy:</t>
    </r>
    <r>
      <rPr>
        <sz val="12"/>
        <color theme="1"/>
        <rFont val="Calibri"/>
        <family val="2"/>
      </rPr>
      <t xml:space="preserve"> </t>
    </r>
    <r>
      <rPr>
        <sz val="12"/>
        <color rgb="FFFFFFFF"/>
        <rFont val="Calibri"/>
        <family val="2"/>
      </rPr>
      <t>When buying a stock – Reduces Cash balance. Increases stock quantity &amp; Value</t>
    </r>
  </si>
  <si>
    <t>NSE:HINDUNILVR</t>
  </si>
  <si>
    <r>
      <rPr>
        <sz val="12"/>
        <color rgb="FFFBBC04"/>
        <rFont val="Calibri"/>
        <family val="2"/>
      </rPr>
      <t>2. Sell:</t>
    </r>
    <r>
      <rPr>
        <sz val="12"/>
        <color rgb="FFFFFFFF"/>
        <rFont val="Calibri"/>
        <family val="2"/>
      </rPr>
      <t xml:space="preserve"> When selling a stock - Increases Cash balance. Decreases stock quantity and Value</t>
    </r>
  </si>
  <si>
    <r>
      <rPr>
        <sz val="12"/>
        <color theme="6"/>
        <rFont val="Calibri"/>
        <family val="2"/>
      </rPr>
      <t>3.Cash Deposit:</t>
    </r>
    <r>
      <rPr>
        <sz val="12"/>
        <color rgb="FFFFFFFF"/>
        <rFont val="Calibri"/>
        <family val="2"/>
      </rPr>
      <t xml:space="preserve"> When adding Cash from external accounts into stock management platform</t>
    </r>
  </si>
  <si>
    <t>NSE:ABBOTINDIA</t>
  </si>
  <si>
    <r>
      <rPr>
        <sz val="12"/>
        <color theme="6"/>
        <rFont val="Calibri"/>
        <family val="2"/>
      </rPr>
      <t>4. Cash Withdrawal:</t>
    </r>
    <r>
      <rPr>
        <sz val="12"/>
        <color rgb="FFFFFFFF"/>
        <rFont val="Calibri"/>
        <family val="2"/>
      </rPr>
      <t xml:space="preserve"> When taking Cash from the Stock Management platform to an external account </t>
    </r>
  </si>
  <si>
    <t>NSE:ATUL</t>
  </si>
  <si>
    <r>
      <rPr>
        <sz val="12"/>
        <color rgb="FFFBBC04"/>
        <rFont val="Calibri"/>
        <family val="2"/>
      </rPr>
      <t>5. Fees:</t>
    </r>
    <r>
      <rPr>
        <sz val="12"/>
        <color rgb="FFFFFFFF"/>
        <rFont val="Calibri"/>
        <family val="2"/>
      </rPr>
      <t xml:space="preserve"> When any fees are applied which reduces money from your Cash balance</t>
    </r>
  </si>
  <si>
    <t>NSE:VSTIND</t>
  </si>
  <si>
    <t>NSE:HONAUT</t>
  </si>
  <si>
    <t>Calculations</t>
  </si>
  <si>
    <t>NSE:PFIZER</t>
  </si>
  <si>
    <r>
      <rPr>
        <sz val="12"/>
        <color theme="1"/>
        <rFont val="Calibri"/>
        <family val="2"/>
      </rPr>
      <t xml:space="preserve">Current Quantity </t>
    </r>
    <r>
      <rPr>
        <sz val="12"/>
        <color rgb="FFFFFFFF"/>
        <rFont val="Calibri"/>
        <family val="2"/>
      </rPr>
      <t>= Quantity Bought – Quantity Sold + Quantity Dividend Reinvestment</t>
    </r>
  </si>
  <si>
    <t>NSE:VAIBHAVGBL</t>
  </si>
  <si>
    <r>
      <rPr>
        <sz val="12"/>
        <color theme="1"/>
        <rFont val="Calibri"/>
        <family val="2"/>
      </rPr>
      <t xml:space="preserve">Current Value </t>
    </r>
    <r>
      <rPr>
        <sz val="12"/>
        <color rgb="FFFFFFFF"/>
        <rFont val="Calibri"/>
        <family val="2"/>
      </rPr>
      <t>= Current Quantity * Last Price of Stock</t>
    </r>
  </si>
  <si>
    <t>NSE:VINATIORGA</t>
  </si>
  <si>
    <r>
      <rPr>
        <sz val="12"/>
        <color theme="1"/>
        <rFont val="Calibri"/>
        <family val="2"/>
      </rPr>
      <t xml:space="preserve">Today’s Gain/Loss </t>
    </r>
    <r>
      <rPr>
        <sz val="12"/>
        <color rgb="FFFFFFFF"/>
        <rFont val="Calibri"/>
        <family val="2"/>
      </rPr>
      <t>= Current Value – (Previous Close * Current Quantity)</t>
    </r>
  </si>
  <si>
    <t>NSE:JKPAPER</t>
  </si>
  <si>
    <r>
      <rPr>
        <sz val="12"/>
        <color rgb="FFFFE599"/>
        <rFont val="Calibri"/>
        <family val="2"/>
      </rPr>
      <t xml:space="preserve">Invested Amount </t>
    </r>
    <r>
      <rPr>
        <sz val="12"/>
        <color rgb="FFFFFFFF"/>
        <rFont val="Calibri"/>
        <family val="2"/>
      </rPr>
      <t>= Total Amount used to buy the stock – Total Amount used to sell the stock</t>
    </r>
  </si>
  <si>
    <t>NSE:AKZOINDIA</t>
  </si>
  <si>
    <r>
      <rPr>
        <sz val="12"/>
        <color rgb="FFFFE599"/>
        <rFont val="Calibri"/>
        <family val="2"/>
      </rPr>
      <t>% Total Gain/Loss</t>
    </r>
    <r>
      <rPr>
        <sz val="12"/>
        <color rgb="FFFFFFFF"/>
        <rFont val="Calibri"/>
        <family val="2"/>
      </rPr>
      <t xml:space="preserve"> = Total Gain/Loss / Invested Amount</t>
    </r>
  </si>
  <si>
    <r>
      <rPr>
        <sz val="12"/>
        <color rgb="FFFFE599"/>
        <rFont val="Calibri"/>
        <family val="2"/>
      </rPr>
      <t xml:space="preserve">Cash Available </t>
    </r>
    <r>
      <rPr>
        <sz val="12"/>
        <color rgb="FFFFFFFF"/>
        <rFont val="Calibri"/>
        <family val="2"/>
      </rPr>
      <t>= Starting Cash Balance - Total Amount used to Buy Stock – Cash Withdrawal – Fees + Total Amount of Selling stock + Cash Deposit + Dividend Payout</t>
    </r>
  </si>
  <si>
    <t>NSE:VGUARD</t>
  </si>
  <si>
    <t>NSE:IPCALAB</t>
  </si>
  <si>
    <t>NSE:AARTIIND</t>
  </si>
  <si>
    <t>NSE:THANGAMAYL</t>
  </si>
  <si>
    <t>NSE:ALKYLAMINE</t>
  </si>
  <si>
    <t>NSE:ALKEM</t>
  </si>
  <si>
    <t>NSE:MPHASIS</t>
  </si>
  <si>
    <t>NSE:ICICIGI</t>
  </si>
  <si>
    <t>NSE:POLYMED</t>
  </si>
  <si>
    <t>NSE:JKCEMENT</t>
  </si>
  <si>
    <t>NSE:LUXIND</t>
  </si>
  <si>
    <t>NSE:RELAXO</t>
  </si>
  <si>
    <t>NSE:SUPREMEIND</t>
  </si>
  <si>
    <t>NSE:KPRMILL</t>
  </si>
  <si>
    <t>NSE:PGHH</t>
  </si>
  <si>
    <t>NSE:BSOFT</t>
  </si>
  <si>
    <t>NSE:SUNTV</t>
  </si>
  <si>
    <t>NSE:KIMS</t>
  </si>
  <si>
    <t>NSE:CCL</t>
  </si>
  <si>
    <t>NSE:HGINFRA</t>
  </si>
  <si>
    <t>NSE:GRSE</t>
  </si>
  <si>
    <t>NSE:MAZDOCK</t>
  </si>
  <si>
    <t>NSE:SCHAEFFLER</t>
  </si>
  <si>
    <t>NSE:SOTL</t>
  </si>
  <si>
    <t>NSE:IRCON</t>
  </si>
  <si>
    <t>NSE:NAVA</t>
  </si>
  <si>
    <t>NSE:BBTC</t>
  </si>
  <si>
    <t>NSE:KDDL</t>
  </si>
  <si>
    <t>NSE:ELGIEQUIP</t>
  </si>
  <si>
    <t>NSE:NH</t>
  </si>
  <si>
    <t>NSE:AETHER</t>
  </si>
  <si>
    <t>NSE:BANKBARODA</t>
  </si>
  <si>
    <t>NSE:BIKAJI</t>
  </si>
  <si>
    <t>NSE:DLF</t>
  </si>
  <si>
    <t>NSE:KANSAINER</t>
  </si>
  <si>
    <t>NSE:MSUMI</t>
  </si>
  <si>
    <t>NSE:WIPRO</t>
  </si>
  <si>
    <t>NSE:MAYURUNIQ</t>
  </si>
  <si>
    <t>NSE:PRAJIND</t>
  </si>
  <si>
    <t>NSE:METROPOLIS</t>
  </si>
  <si>
    <t>NSE:CYIENT</t>
  </si>
  <si>
    <t>NSE:DIXON</t>
  </si>
  <si>
    <t>NSE:YASHO</t>
  </si>
  <si>
    <t>NSE:FEDERALBNK</t>
  </si>
  <si>
    <t>NSE:HEROMOTOCO</t>
  </si>
  <si>
    <t>NSE:YESBANK</t>
  </si>
  <si>
    <t>NSE:CENTURYPLY</t>
  </si>
  <si>
    <t>NSE:BAJEL</t>
  </si>
  <si>
    <t>NSE:HCLTECH</t>
  </si>
  <si>
    <t>NSE:SRF</t>
  </si>
  <si>
    <t>NSE:WABAG</t>
  </si>
  <si>
    <t>NSE:IEX</t>
  </si>
  <si>
    <t>NSE:KSCL</t>
  </si>
  <si>
    <t>NSE:HAVELLS</t>
  </si>
  <si>
    <t>NSE:APOLLOHOSP</t>
  </si>
  <si>
    <t>NSE:ULTRACEMCO</t>
  </si>
  <si>
    <t>NSE:MARUTI</t>
  </si>
  <si>
    <t>NSE:ASHOKLEY</t>
  </si>
  <si>
    <t>NSE:SBIN</t>
  </si>
  <si>
    <t>Cash Deposit</t>
  </si>
  <si>
    <t>NSE:Cash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</si>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</sst>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"/>
    <numFmt numFmtId="165" formatCode="0.0"/>
    <numFmt numFmtId="166" formatCode="d\-mmmm\-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F0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2"/>
      <color rgb="FFFFE599"/>
      <name val="Calibri"/>
      <family val="2"/>
    </font>
    <font>
      <b/>
      <sz val="13"/>
      <color theme="6"/>
      <name val="Calibri"/>
      <family val="2"/>
    </font>
    <font>
      <sz val="10"/>
      <name val="Arial"/>
      <family val="2"/>
    </font>
    <font>
      <sz val="9"/>
      <color rgb="FF000000"/>
      <name val="&quot;Google Sans Mono&quot;"/>
    </font>
    <font>
      <sz val="12"/>
      <color theme="1"/>
      <name val="Calibri"/>
      <family val="2"/>
    </font>
    <font>
      <sz val="12"/>
      <color rgb="FFFBBC04"/>
      <name val="Calibri"/>
      <family val="2"/>
    </font>
    <font>
      <sz val="12"/>
      <color rgb="FFFFFFFF"/>
      <name val="Calibri"/>
      <family val="2"/>
    </font>
    <font>
      <sz val="12"/>
      <color theme="6"/>
      <name val="Calibri"/>
      <family val="2"/>
    </font>
    <font>
      <b/>
      <sz val="13"/>
      <color rgb="FFFBBC04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666666"/>
        <bgColor rgb="FF666666"/>
      </patternFill>
    </fill>
    <fill>
      <patternFill patternType="solid">
        <fgColor rgb="FFF4F6F8"/>
        <bgColor rgb="FFF4F6F8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6" borderId="2" xfId="0" applyFont="1" applyFill="1" applyBorder="1"/>
    <xf numFmtId="164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164" fontId="8" fillId="4" borderId="0" xfId="0" applyNumberFormat="1" applyFont="1" applyFill="1"/>
    <xf numFmtId="0" fontId="1" fillId="0" borderId="0" xfId="0" applyFont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9" fillId="6" borderId="6" xfId="0" applyFont="1" applyFill="1" applyBorder="1"/>
    <xf numFmtId="0" fontId="9" fillId="6" borderId="0" xfId="0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0" fontId="5" fillId="6" borderId="6" xfId="0" applyFont="1" applyFill="1" applyBorder="1"/>
    <xf numFmtId="0" fontId="0" fillId="0" borderId="0" xfId="0"/>
    <xf numFmtId="0" fontId="14" fillId="0" borderId="0" xfId="0" applyFont="1" applyAlignment="1">
      <alignment horizontal="right"/>
    </xf>
    <xf numFmtId="15" fontId="15" fillId="2" borderId="0" xfId="0" applyNumberFormat="1" applyFont="1" applyFill="1" applyAlignment="1">
      <alignment horizontal="right"/>
    </xf>
    <xf numFmtId="15" fontId="1" fillId="0" borderId="5" xfId="0" applyNumberFormat="1" applyFont="1" applyBorder="1" applyAlignment="1">
      <alignment horizontal="right"/>
    </xf>
    <xf numFmtId="15" fontId="15" fillId="3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164" fontId="4" fillId="0" borderId="0" xfId="0" applyNumberFormat="1" applyFont="1"/>
    <xf numFmtId="165" fontId="15" fillId="0" borderId="0" xfId="0" applyNumberFormat="1" applyFont="1" applyAlignment="1">
      <alignment horizontal="right"/>
    </xf>
    <xf numFmtId="0" fontId="15" fillId="7" borderId="7" xfId="0" applyFont="1" applyFill="1" applyBorder="1"/>
    <xf numFmtId="0" fontId="15" fillId="0" borderId="0" xfId="0" applyFont="1"/>
    <xf numFmtId="4" fontId="15" fillId="0" borderId="0" xfId="0" applyNumberFormat="1" applyFont="1" applyAlignment="1">
      <alignment horizontal="right"/>
    </xf>
    <xf numFmtId="3" fontId="1" fillId="0" borderId="0" xfId="0" applyNumberFormat="1" applyFont="1"/>
    <xf numFmtId="166" fontId="16" fillId="0" borderId="0" xfId="0" applyNumberFormat="1" applyFont="1" applyAlignment="1">
      <alignment horizontal="right"/>
    </xf>
    <xf numFmtId="2" fontId="4" fillId="0" borderId="0" xfId="0" applyNumberFormat="1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6" fillId="6" borderId="3" xfId="0" applyFont="1" applyFill="1" applyBorder="1" applyAlignment="1">
      <alignment horizontal="center"/>
    </xf>
    <xf numFmtId="0" fontId="7" fillId="0" borderId="3" xfId="0" applyFont="1" applyBorder="1"/>
    <xf numFmtId="0" fontId="13" fillId="6" borderId="0" xfId="0" applyFont="1" applyFill="1" applyAlignment="1">
      <alignment horizontal="center"/>
    </xf>
    <xf numFmtId="0" fontId="0" fillId="0" borderId="0" xfId="0"/>
    <xf numFmtId="0" fontId="6" fillId="6" borderId="0" xfId="0" applyFont="1" applyFill="1" applyBorder="1" applyAlignment="1">
      <alignment horizontal="center"/>
    </xf>
    <xf numFmtId="0" fontId="7" fillId="0" borderId="0" xfId="0" applyFont="1" applyBorder="1"/>
    <xf numFmtId="15" fontId="1" fillId="8" borderId="3" xfId="0" applyNumberFormat="1" applyFont="1" applyFill="1" applyBorder="1" applyAlignment="1">
      <alignment horizontal="right" wrapText="1"/>
    </xf>
    <xf numFmtId="0" fontId="1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horizontal="right" wrapText="1"/>
    </xf>
    <xf numFmtId="4" fontId="1" fillId="8" borderId="3" xfId="0" applyNumberFormat="1" applyFont="1" applyFill="1" applyBorder="1" applyAlignment="1">
      <alignment horizontal="right" wrapText="1"/>
    </xf>
    <xf numFmtId="0" fontId="15" fillId="8" borderId="3" xfId="0" applyFont="1" applyFill="1" applyBorder="1" applyAlignment="1">
      <alignment wrapText="1"/>
    </xf>
    <xf numFmtId="3" fontId="1" fillId="8" borderId="3" xfId="0" applyNumberFormat="1" applyFont="1" applyFill="1" applyBorder="1" applyAlignment="1">
      <alignment horizontal="right" wrapText="1"/>
    </xf>
    <xf numFmtId="0" fontId="15" fillId="9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15" fontId="1" fillId="0" borderId="8" xfId="0" applyNumberFormat="1" applyFont="1" applyBorder="1" applyAlignment="1">
      <alignment horizontal="right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C547-3FC7-42DC-B630-347053FB7841}">
  <dimension ref="A1:W556"/>
  <sheetViews>
    <sheetView tabSelected="1" workbookViewId="0">
      <selection activeCell="D16" activeCellId="1" sqref="D2 D16"/>
    </sheetView>
  </sheetViews>
  <sheetFormatPr defaultRowHeight="15"/>
  <cols>
    <col min="1" max="1" width="17.5703125" customWidth="1"/>
    <col min="2" max="2" width="33.5703125" customWidth="1"/>
    <col min="3" max="3" width="41.42578125" customWidth="1"/>
    <col min="4" max="4" width="41.7109375" customWidth="1"/>
    <col min="5" max="5" width="33.85546875" customWidth="1"/>
    <col min="6" max="6" width="22.7109375" customWidth="1"/>
    <col min="7" max="7" width="24.140625" customWidth="1"/>
    <col min="8" max="8" width="23.140625" customWidth="1"/>
    <col min="9" max="9" width="26" customWidth="1"/>
    <col min="10" max="10" width="29.42578125" customWidth="1"/>
    <col min="11" max="11" width="16.85546875" customWidth="1"/>
    <col min="12" max="12" width="14.140625" customWidth="1"/>
    <col min="13" max="13" width="14.28515625" customWidth="1"/>
    <col min="14" max="14" width="15" customWidth="1"/>
    <col min="15" max="15" width="22.85546875" customWidth="1"/>
    <col min="16" max="16" width="19.42578125" customWidth="1"/>
    <col min="17" max="17" width="22.85546875" customWidth="1"/>
    <col min="19" max="19" width="21.42578125" customWidth="1"/>
  </cols>
  <sheetData>
    <row r="1" spans="1:23" ht="18" thickBo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5" t="s">
        <v>11</v>
      </c>
      <c r="K1" s="6" t="str">
        <f ca="1">IFERROR(__xludf.DUMMYFUNCTION("index(GOOGLEFINANCE(B4,""all"",A4-1),1,)"),"Date")</f>
        <v>Date</v>
      </c>
      <c r="L1" s="1" t="str">
        <f ca="1">IFERROR(__xludf.DUMMYFUNCTION("""COMPUTED_VALUE"""),"Open")</f>
        <v>Open</v>
      </c>
      <c r="M1" s="1" t="str">
        <f ca="1">IFERROR(__xludf.DUMMYFUNCTION("""COMPUTED_VALUE"""),"High")</f>
        <v>High</v>
      </c>
      <c r="N1" s="1" t="str">
        <f ca="1">IFERROR(__xludf.DUMMYFUNCTION("""COMPUTED_VALUE"""),"Low")</f>
        <v>Low</v>
      </c>
      <c r="O1" s="1" t="str">
        <f ca="1">IFERROR(__xludf.DUMMYFUNCTION("""COMPUTED_VALUE"""),"Close")</f>
        <v>Close</v>
      </c>
      <c r="P1" s="7" t="str">
        <f ca="1">IFERROR(__xludf.DUMMYFUNCTION("""COMPUTED_VALUE"""),"Volume")</f>
        <v>Volume</v>
      </c>
      <c r="Q1" s="7" t="s">
        <v>12</v>
      </c>
      <c r="R1" s="7" t="s">
        <v>13</v>
      </c>
      <c r="S1" s="7" t="s">
        <v>14</v>
      </c>
      <c r="T1" s="8"/>
      <c r="U1" s="49" t="s">
        <v>15</v>
      </c>
      <c r="V1" s="50"/>
      <c r="W1" s="50"/>
    </row>
    <row r="2" spans="1:23" s="30" customFormat="1" ht="17.25">
      <c r="A2" s="55">
        <v>43586</v>
      </c>
      <c r="B2" s="56" t="s">
        <v>99</v>
      </c>
      <c r="C2" s="56" t="s">
        <v>98</v>
      </c>
      <c r="D2" s="57">
        <v>1</v>
      </c>
      <c r="E2" s="58">
        <v>100000</v>
      </c>
      <c r="F2" s="59"/>
      <c r="G2" s="59"/>
      <c r="H2" s="56" t="s">
        <v>100</v>
      </c>
      <c r="I2" s="58">
        <v>100000</v>
      </c>
      <c r="J2" s="60">
        <v>100000</v>
      </c>
      <c r="K2" s="61"/>
      <c r="L2" s="62"/>
      <c r="M2" s="62"/>
      <c r="N2" s="62"/>
      <c r="O2" s="62"/>
      <c r="P2" s="62"/>
      <c r="Q2" s="63">
        <v>1</v>
      </c>
      <c r="R2" s="64">
        <v>100000</v>
      </c>
      <c r="S2" s="65">
        <v>43586</v>
      </c>
      <c r="T2" s="29"/>
      <c r="U2" s="53"/>
      <c r="V2" s="54"/>
      <c r="W2" s="54"/>
    </row>
    <row r="3" spans="1:23" ht="15.75">
      <c r="A3" s="9">
        <v>43588</v>
      </c>
      <c r="B3" s="10" t="s">
        <v>16</v>
      </c>
      <c r="C3" s="10" t="s">
        <v>0</v>
      </c>
      <c r="D3" s="11">
        <v>10.7</v>
      </c>
      <c r="E3" s="12">
        <v>464</v>
      </c>
      <c r="F3" s="12">
        <f t="shared" ref="F3:F257" ca="1" si="0">IF(OR(C3 ="Buy",C3 ="Sell" ),N3*0.9995,"")</f>
        <v>457.77100000000002</v>
      </c>
      <c r="G3" s="12">
        <f t="shared" ref="G3:G257" ca="1" si="1">IF(OR(C3 ="Buy",C3 ="Sell" ),M3*1.005,"")</f>
        <v>471.7469999999999</v>
      </c>
      <c r="H3" s="10" t="str">
        <f t="shared" ref="H3:H176" ca="1" si="2">IFERROR(
IF(OR(C3="Cash Deposit",C3="Cash Withdrawal",C3="Fees",C3="Dividend Payout"),IF(E3="","Invalid","Valid"),
IF(B3="","",IF(AND(E3&gt;=F3,E3&lt;=G3),"Valid","Invalid"))),"Not Available")</f>
        <v>Valid</v>
      </c>
      <c r="I3" s="11">
        <f t="shared" ref="I3:I176" si="3">IF(A3="","",IF(OR(C3="Cash Deposit",C3="Cash Withdrawal",C3="Fees",C3="Dividend Payout"),E3,E3*D3))</f>
        <v>4964.7999999999993</v>
      </c>
      <c r="J3" s="13">
        <f t="shared" ref="J3:J34" ca="1" si="4">IF(A3="","",ROUND(
IF(ROW(A3)-ROW($A$1)=1,I_ST_CASH,OFFSET(J3,-1,0))
+(IF(C3="Buy",-1,IF(C3="Sell",1,0))*I3)
+(IF(C3="Cash Deposit",1,IF(C3="Cash Withdrawal",-1,0))*I3)
+(IF(C3="Cash Dividend",1,IF(C3="Fees",-1,0))*I3),2))</f>
        <v>95035.199999999997</v>
      </c>
      <c r="K3" s="14">
        <f ca="1">IFERROR(__xludf.DUMMYFUNCTION("iferror(index(GOOGLEFINANCE(B4,""all"",A4-10,A4+3),MATCH(A4+0.6458333333,index(GOOGLEFINANCE(B4,""all"",A4-10,A4+3),,1)),),"""")"),43588.6458333333)</f>
        <v>43588.645833333299</v>
      </c>
      <c r="L3" s="15">
        <f ca="1">IFERROR(__xludf.DUMMYFUNCTION("""COMPUTED_VALUE"""),464)</f>
        <v>464</v>
      </c>
      <c r="M3" s="15">
        <f ca="1">IFERROR(__xludf.DUMMYFUNCTION("""COMPUTED_VALUE"""),469.4)</f>
        <v>469.4</v>
      </c>
      <c r="N3" s="15">
        <f ca="1">IFERROR(__xludf.DUMMYFUNCTION("""COMPUTED_VALUE"""),458)</f>
        <v>458</v>
      </c>
      <c r="O3" s="15">
        <f ca="1">IFERROR(__xludf.DUMMYFUNCTION("""COMPUTED_VALUE"""),465.7)</f>
        <v>465.7</v>
      </c>
      <c r="P3" s="15">
        <f ca="1">IFERROR(__xludf.DUMMYFUNCTION("""COMPUTED_VALUE"""),184076)</f>
        <v>184076</v>
      </c>
      <c r="Q3" s="15">
        <f t="shared" ref="Q3:Q176" si="5">IF(C3="Sell",-D3,D3)</f>
        <v>10.7</v>
      </c>
      <c r="R3" s="15">
        <f t="shared" ref="R3:R176" si="6">IF(C3="Cash Dividend",E3, IF(C3="Buy",-I3,I3))</f>
        <v>-4964.7999999999993</v>
      </c>
      <c r="S3" s="16">
        <f t="shared" ref="S3:S176" si="7">A3</f>
        <v>43588</v>
      </c>
      <c r="T3" s="17" t="s">
        <v>17</v>
      </c>
      <c r="U3" s="18"/>
      <c r="V3" s="18"/>
      <c r="W3" s="18"/>
    </row>
    <row r="4" spans="1:23" ht="15.75">
      <c r="A4" s="19">
        <v>43598</v>
      </c>
      <c r="B4" s="20" t="s">
        <v>18</v>
      </c>
      <c r="C4" s="20" t="s">
        <v>0</v>
      </c>
      <c r="D4" s="21">
        <v>8</v>
      </c>
      <c r="E4" s="22">
        <f ca="1">IFERROR(__xludf.DUMMYFUNCTION("index(GOOGLEFINANCE(B5,""open"",A5-1),2,2)"),1692)</f>
        <v>1692</v>
      </c>
      <c r="F4" s="22">
        <f t="shared" ca="1" si="0"/>
        <v>1687.8556500000002</v>
      </c>
      <c r="G4" s="22">
        <f t="shared" ca="1" si="1"/>
        <v>1725.5849999999998</v>
      </c>
      <c r="H4" s="20" t="str">
        <f t="shared" ca="1" si="2"/>
        <v>Valid</v>
      </c>
      <c r="I4" s="21">
        <f t="shared" ca="1" si="3"/>
        <v>13536</v>
      </c>
      <c r="J4" s="23">
        <f t="shared" ca="1" si="4"/>
        <v>81499.199999999997</v>
      </c>
      <c r="K4" s="14">
        <f ca="1">IFERROR(__xludf.DUMMYFUNCTION("iferror(index(GOOGLEFINANCE(B5,""all"",A5-10,A5+3),MATCH(A5+0.6458333333,index(GOOGLEFINANCE(B5,""all"",A5-10,A5+3),,1)),),"""")"),43598.6458333333)</f>
        <v>43598.645833333299</v>
      </c>
      <c r="L4" s="15">
        <f ca="1">IFERROR(__xludf.DUMMYFUNCTION("""COMPUTED_VALUE"""),1692)</f>
        <v>1692</v>
      </c>
      <c r="M4" s="15">
        <f ca="1">IFERROR(__xludf.DUMMYFUNCTION("""COMPUTED_VALUE"""),1717)</f>
        <v>1717</v>
      </c>
      <c r="N4" s="15">
        <f ca="1">IFERROR(__xludf.DUMMYFUNCTION("""COMPUTED_VALUE"""),1688.7)</f>
        <v>1688.7</v>
      </c>
      <c r="O4" s="15">
        <f ca="1">IFERROR(__xludf.DUMMYFUNCTION("""COMPUTED_VALUE"""),1702)</f>
        <v>1702</v>
      </c>
      <c r="P4" s="15">
        <f ca="1">IFERROR(__xludf.DUMMYFUNCTION("""COMPUTED_VALUE"""),1160287)</f>
        <v>1160287</v>
      </c>
      <c r="Q4" s="15">
        <f t="shared" si="5"/>
        <v>8</v>
      </c>
      <c r="R4" s="15">
        <f t="shared" ca="1" si="6"/>
        <v>-13536</v>
      </c>
      <c r="S4" s="16">
        <f t="shared" si="7"/>
        <v>43598</v>
      </c>
      <c r="T4" s="17" t="s">
        <v>19</v>
      </c>
      <c r="U4" s="18"/>
      <c r="V4" s="18"/>
      <c r="W4" s="18"/>
    </row>
    <row r="5" spans="1:23" ht="15.75">
      <c r="A5" s="24">
        <v>43605</v>
      </c>
      <c r="B5" s="25" t="s">
        <v>16</v>
      </c>
      <c r="C5" s="25" t="s">
        <v>1</v>
      </c>
      <c r="D5" s="26">
        <v>10.7</v>
      </c>
      <c r="E5" s="27">
        <v>595</v>
      </c>
      <c r="F5" s="27">
        <f t="shared" ca="1" si="0"/>
        <v>565.16727500000013</v>
      </c>
      <c r="G5" s="27">
        <f t="shared" ca="1" si="1"/>
        <v>599.9849999999999</v>
      </c>
      <c r="H5" s="25" t="str">
        <f t="shared" ca="1" si="2"/>
        <v>Valid</v>
      </c>
      <c r="I5" s="26">
        <f t="shared" si="3"/>
        <v>6366.5</v>
      </c>
      <c r="J5" s="28">
        <f t="shared" ca="1" si="4"/>
        <v>87865.7</v>
      </c>
      <c r="K5" s="14">
        <f ca="1">IFERROR(__xludf.DUMMYFUNCTION("iferror(index(GOOGLEFINANCE(B6,""all"",A6-10,A6+3),MATCH(A6+0.6458333333,index(GOOGLEFINANCE(B6,""all"",A6-10,A6+3),,1)),),"""")"),43605.6458333333)</f>
        <v>43605.645833333299</v>
      </c>
      <c r="L5" s="15">
        <f ca="1">IFERROR(__xludf.DUMMYFUNCTION("""COMPUTED_VALUE"""),580)</f>
        <v>580</v>
      </c>
      <c r="M5" s="15">
        <f ca="1">IFERROR(__xludf.DUMMYFUNCTION("""COMPUTED_VALUE"""),597)</f>
        <v>597</v>
      </c>
      <c r="N5" s="15">
        <f ca="1">IFERROR(__xludf.DUMMYFUNCTION("""COMPUTED_VALUE"""),565.45)</f>
        <v>565.45000000000005</v>
      </c>
      <c r="O5" s="15">
        <f ca="1">IFERROR(__xludf.DUMMYFUNCTION("""COMPUTED_VALUE"""),589.25)</f>
        <v>589.25</v>
      </c>
      <c r="P5" s="15">
        <f ca="1">IFERROR(__xludf.DUMMYFUNCTION("""COMPUTED_VALUE"""),564778)</f>
        <v>564778</v>
      </c>
      <c r="Q5" s="15">
        <f t="shared" si="5"/>
        <v>-10.7</v>
      </c>
      <c r="R5" s="15">
        <f t="shared" si="6"/>
        <v>6366.5</v>
      </c>
      <c r="S5" s="16">
        <f t="shared" si="7"/>
        <v>43605</v>
      </c>
      <c r="T5" s="17" t="s">
        <v>20</v>
      </c>
      <c r="U5" s="18"/>
      <c r="V5" s="18"/>
      <c r="W5" s="18"/>
    </row>
    <row r="6" spans="1:23" ht="15.75">
      <c r="A6" s="19">
        <v>43613</v>
      </c>
      <c r="B6" s="20" t="s">
        <v>21</v>
      </c>
      <c r="C6" s="20" t="s">
        <v>0</v>
      </c>
      <c r="D6" s="21">
        <v>1.2</v>
      </c>
      <c r="E6" s="22">
        <v>8050</v>
      </c>
      <c r="F6" s="22">
        <f t="shared" ca="1" si="0"/>
        <v>7651.1725000000006</v>
      </c>
      <c r="G6" s="22">
        <f t="shared" ca="1" si="1"/>
        <v>8105.3249999999989</v>
      </c>
      <c r="H6" s="20" t="str">
        <f t="shared" ca="1" si="2"/>
        <v>Valid</v>
      </c>
      <c r="I6" s="21">
        <f t="shared" si="3"/>
        <v>9660</v>
      </c>
      <c r="J6" s="23">
        <f t="shared" ca="1" si="4"/>
        <v>78205.7</v>
      </c>
      <c r="K6" s="14">
        <f ca="1">IFERROR(__xludf.DUMMYFUNCTION("iferror(index(GOOGLEFINANCE(B7,""all"",A7-10,A7+3),MATCH(A7+0.6458333333,index(GOOGLEFINANCE(B7,""all"",A7-10,A7+3),,1)),),"""")"),43613.6458333333)</f>
        <v>43613.645833333299</v>
      </c>
      <c r="L6" s="15">
        <f ca="1">IFERROR(__xludf.DUMMYFUNCTION("""COMPUTED_VALUE"""),8050)</f>
        <v>8050</v>
      </c>
      <c r="M6" s="15">
        <f ca="1">IFERROR(__xludf.DUMMYFUNCTION("""COMPUTED_VALUE"""),8065)</f>
        <v>8065</v>
      </c>
      <c r="N6" s="15">
        <f ca="1">IFERROR(__xludf.DUMMYFUNCTION("""COMPUTED_VALUE"""),7655)</f>
        <v>7655</v>
      </c>
      <c r="O6" s="15">
        <f ca="1">IFERROR(__xludf.DUMMYFUNCTION("""COMPUTED_VALUE"""),7696.6)</f>
        <v>7696.6</v>
      </c>
      <c r="P6" s="15">
        <f ca="1">IFERROR(__xludf.DUMMYFUNCTION("""COMPUTED_VALUE"""),16428)</f>
        <v>16428</v>
      </c>
      <c r="Q6" s="15">
        <f t="shared" si="5"/>
        <v>1.2</v>
      </c>
      <c r="R6" s="15">
        <f t="shared" si="6"/>
        <v>-9660</v>
      </c>
      <c r="S6" s="16">
        <f t="shared" si="7"/>
        <v>43613</v>
      </c>
      <c r="T6" s="17" t="s">
        <v>22</v>
      </c>
      <c r="U6" s="18"/>
      <c r="V6" s="18"/>
      <c r="W6" s="18"/>
    </row>
    <row r="7" spans="1:23" ht="15.75">
      <c r="A7" s="19">
        <v>43644</v>
      </c>
      <c r="B7" s="20" t="s">
        <v>23</v>
      </c>
      <c r="C7" s="20" t="s">
        <v>0</v>
      </c>
      <c r="D7" s="21">
        <v>2</v>
      </c>
      <c r="E7" s="22">
        <v>3979.6</v>
      </c>
      <c r="F7" s="22">
        <f t="shared" ca="1" si="0"/>
        <v>3943.0774750000005</v>
      </c>
      <c r="G7" s="22">
        <f t="shared" ca="1" si="1"/>
        <v>4004.9249999999997</v>
      </c>
      <c r="H7" s="20" t="str">
        <f t="shared" ca="1" si="2"/>
        <v>Valid</v>
      </c>
      <c r="I7" s="21">
        <f t="shared" si="3"/>
        <v>7959.2</v>
      </c>
      <c r="J7" s="23">
        <f t="shared" ca="1" si="4"/>
        <v>70246.5</v>
      </c>
      <c r="K7" s="14">
        <f ca="1">IFERROR(__xludf.DUMMYFUNCTION("iferror(index(GOOGLEFINANCE(B8,""all"",A8-10,A8+3),MATCH(A8+0.6458333333,index(GOOGLEFINANCE(B8,""all"",A8-10,A8+3),,1)),),"""")"),43644.6458333333)</f>
        <v>43644.645833333299</v>
      </c>
      <c r="L7" s="15">
        <f ca="1">IFERROR(__xludf.DUMMYFUNCTION("""COMPUTED_VALUE"""),3965.6)</f>
        <v>3965.6</v>
      </c>
      <c r="M7" s="15">
        <f ca="1">IFERROR(__xludf.DUMMYFUNCTION("""COMPUTED_VALUE"""),3985)</f>
        <v>3985</v>
      </c>
      <c r="N7" s="15">
        <f ca="1">IFERROR(__xludf.DUMMYFUNCTION("""COMPUTED_VALUE"""),3945.05)</f>
        <v>3945.05</v>
      </c>
      <c r="O7" s="15">
        <f ca="1">IFERROR(__xludf.DUMMYFUNCTION("""COMPUTED_VALUE"""),3980.5)</f>
        <v>3980.5</v>
      </c>
      <c r="P7" s="15">
        <f ca="1">IFERROR(__xludf.DUMMYFUNCTION("""COMPUTED_VALUE"""),5718)</f>
        <v>5718</v>
      </c>
      <c r="Q7" s="15">
        <f t="shared" si="5"/>
        <v>2</v>
      </c>
      <c r="R7" s="15">
        <f t="shared" si="6"/>
        <v>-7959.2</v>
      </c>
      <c r="S7" s="16">
        <f t="shared" si="7"/>
        <v>43644</v>
      </c>
      <c r="T7" s="17" t="s">
        <v>24</v>
      </c>
      <c r="U7" s="18"/>
      <c r="V7" s="18"/>
      <c r="W7" s="18"/>
    </row>
    <row r="8" spans="1:23" ht="15.75">
      <c r="A8" s="19">
        <v>43675</v>
      </c>
      <c r="B8" s="20" t="s">
        <v>25</v>
      </c>
      <c r="C8" s="20" t="s">
        <v>0</v>
      </c>
      <c r="D8" s="21">
        <v>2.8</v>
      </c>
      <c r="E8" s="22">
        <v>3365</v>
      </c>
      <c r="F8" s="22">
        <f t="shared" ca="1" si="0"/>
        <v>3323.1875749999999</v>
      </c>
      <c r="G8" s="22">
        <f t="shared" ca="1" si="1"/>
        <v>3889.3499999999995</v>
      </c>
      <c r="H8" s="20" t="str">
        <f t="shared" ca="1" si="2"/>
        <v>Valid</v>
      </c>
      <c r="I8" s="21">
        <f t="shared" si="3"/>
        <v>9422</v>
      </c>
      <c r="J8" s="23">
        <f t="shared" ca="1" si="4"/>
        <v>60824.5</v>
      </c>
      <c r="K8" s="14">
        <f ca="1">IFERROR(__xludf.DUMMYFUNCTION("iferror(index(GOOGLEFINANCE(B9,""all"",A9-10,A9+3),MATCH(A9+0.6458333333,index(GOOGLEFINANCE(B9,""all"",A9-10,A9+3),,1)),),"""")"),43675.6458333333)</f>
        <v>43675.645833333299</v>
      </c>
      <c r="L8" s="15">
        <f ca="1">IFERROR(__xludf.DUMMYFUNCTION("""COMPUTED_VALUE"""),3325)</f>
        <v>3325</v>
      </c>
      <c r="M8" s="15">
        <f ca="1">IFERROR(__xludf.DUMMYFUNCTION("""COMPUTED_VALUE"""),3870)</f>
        <v>3870</v>
      </c>
      <c r="N8" s="15">
        <f ca="1">IFERROR(__xludf.DUMMYFUNCTION("""COMPUTED_VALUE"""),3324.85)</f>
        <v>3324.85</v>
      </c>
      <c r="O8" s="15">
        <f ca="1">IFERROR(__xludf.DUMMYFUNCTION("""COMPUTED_VALUE"""),3369.8)</f>
        <v>3369.8</v>
      </c>
      <c r="P8" s="15">
        <f ca="1">IFERROR(__xludf.DUMMYFUNCTION("""COMPUTED_VALUE"""),66038)</f>
        <v>66038</v>
      </c>
      <c r="Q8" s="15">
        <f t="shared" si="5"/>
        <v>2.8</v>
      </c>
      <c r="R8" s="15">
        <f t="shared" si="6"/>
        <v>-9422</v>
      </c>
      <c r="S8" s="16">
        <f t="shared" si="7"/>
        <v>43675</v>
      </c>
      <c r="T8" s="17"/>
      <c r="U8" s="18"/>
      <c r="V8" s="18"/>
      <c r="W8" s="18"/>
    </row>
    <row r="9" spans="1:23" ht="17.25">
      <c r="A9" s="19">
        <v>43690</v>
      </c>
      <c r="B9" s="20" t="s">
        <v>26</v>
      </c>
      <c r="C9" s="20" t="s">
        <v>0</v>
      </c>
      <c r="D9" s="21">
        <v>0.4</v>
      </c>
      <c r="E9" s="22">
        <v>23715</v>
      </c>
      <c r="F9" s="22">
        <f t="shared" ca="1" si="0"/>
        <v>23089.999225</v>
      </c>
      <c r="G9" s="22">
        <f t="shared" ca="1" si="1"/>
        <v>24118.994999999999</v>
      </c>
      <c r="H9" s="20" t="str">
        <f t="shared" ca="1" si="2"/>
        <v>Valid</v>
      </c>
      <c r="I9" s="21">
        <f t="shared" si="3"/>
        <v>9486</v>
      </c>
      <c r="J9" s="23">
        <f t="shared" ca="1" si="4"/>
        <v>51338.5</v>
      </c>
      <c r="K9" s="14">
        <f ca="1">IFERROR(__xludf.DUMMYFUNCTION("iferror(index(GOOGLEFINANCE(B10,""all"",A10-10,A10+3),MATCH(A10+0.6458333333,index(GOOGLEFINANCE(B10,""all"",A10-10,A10+3),,1)),),"""")"),43690.6458333333)</f>
        <v>43690.645833333299</v>
      </c>
      <c r="L9" s="15">
        <f ca="1">IFERROR(__xludf.DUMMYFUNCTION("""COMPUTED_VALUE"""),23799.95)</f>
        <v>23799.95</v>
      </c>
      <c r="M9" s="15">
        <f ca="1">IFERROR(__xludf.DUMMYFUNCTION("""COMPUTED_VALUE"""),23999)</f>
        <v>23999</v>
      </c>
      <c r="N9" s="15">
        <f ca="1">IFERROR(__xludf.DUMMYFUNCTION("""COMPUTED_VALUE"""),23101.55)</f>
        <v>23101.55</v>
      </c>
      <c r="O9" s="15">
        <f ca="1">IFERROR(__xludf.DUMMYFUNCTION("""COMPUTED_VALUE"""),23213.3)</f>
        <v>23213.3</v>
      </c>
      <c r="P9" s="15">
        <f ca="1">IFERROR(__xludf.DUMMYFUNCTION("""COMPUTED_VALUE"""),14880)</f>
        <v>14880</v>
      </c>
      <c r="Q9" s="15">
        <f t="shared" si="5"/>
        <v>0.4</v>
      </c>
      <c r="R9" s="15">
        <f t="shared" si="6"/>
        <v>-9486</v>
      </c>
      <c r="S9" s="16">
        <f t="shared" si="7"/>
        <v>43690</v>
      </c>
      <c r="T9" s="29"/>
      <c r="U9" s="51" t="s">
        <v>27</v>
      </c>
      <c r="V9" s="52"/>
      <c r="W9" s="52"/>
    </row>
    <row r="10" spans="1:23" ht="15.75">
      <c r="A10" s="19">
        <v>43690</v>
      </c>
      <c r="B10" s="20" t="s">
        <v>28</v>
      </c>
      <c r="C10" s="20" t="s">
        <v>0</v>
      </c>
      <c r="D10" s="21">
        <v>3.2</v>
      </c>
      <c r="E10" s="22">
        <v>3043.6</v>
      </c>
      <c r="F10" s="22">
        <f t="shared" ca="1" si="0"/>
        <v>2944.5769750000004</v>
      </c>
      <c r="G10" s="22">
        <f t="shared" ca="1" si="1"/>
        <v>3111.1282499999998</v>
      </c>
      <c r="H10" s="20" t="str">
        <f t="shared" ca="1" si="2"/>
        <v>Valid</v>
      </c>
      <c r="I10" s="21">
        <f t="shared" si="3"/>
        <v>9739.52</v>
      </c>
      <c r="J10" s="23">
        <f t="shared" ca="1" si="4"/>
        <v>41598.980000000003</v>
      </c>
      <c r="K10" s="14">
        <f ca="1">IFERROR(__xludf.DUMMYFUNCTION("iferror(index(GOOGLEFINANCE(B11,""all"",A11-10,A11+3),MATCH(A11+0.6458333333,index(GOOGLEFINANCE(B11,""all"",A11-10,A11+3),,1)),),"""")"),43690.6458333333)</f>
        <v>43690.645833333299</v>
      </c>
      <c r="L10" s="15">
        <f ca="1">IFERROR(__xludf.DUMMYFUNCTION("""COMPUTED_VALUE"""),3025)</f>
        <v>3025</v>
      </c>
      <c r="M10" s="15">
        <f ca="1">IFERROR(__xludf.DUMMYFUNCTION("""COMPUTED_VALUE"""),3095.65)</f>
        <v>3095.65</v>
      </c>
      <c r="N10" s="15">
        <f ca="1">IFERROR(__xludf.DUMMYFUNCTION("""COMPUTED_VALUE"""),2946.05)</f>
        <v>2946.05</v>
      </c>
      <c r="O10" s="15">
        <f ca="1">IFERROR(__xludf.DUMMYFUNCTION("""COMPUTED_VALUE"""),3064.4)</f>
        <v>3064.4</v>
      </c>
      <c r="P10" s="15">
        <f ca="1">IFERROR(__xludf.DUMMYFUNCTION("""COMPUTED_VALUE"""),30309)</f>
        <v>30309</v>
      </c>
      <c r="Q10" s="15">
        <f t="shared" si="5"/>
        <v>3.2</v>
      </c>
      <c r="R10" s="15">
        <f t="shared" si="6"/>
        <v>-9739.52</v>
      </c>
      <c r="S10" s="16">
        <f t="shared" si="7"/>
        <v>43690</v>
      </c>
      <c r="T10" s="17" t="s">
        <v>29</v>
      </c>
      <c r="U10" s="18"/>
      <c r="V10" s="18"/>
      <c r="W10" s="18"/>
    </row>
    <row r="11" spans="1:23" ht="15.75">
      <c r="A11" s="19">
        <v>43690</v>
      </c>
      <c r="B11" s="20" t="s">
        <v>30</v>
      </c>
      <c r="C11" s="20" t="s">
        <v>0</v>
      </c>
      <c r="D11" s="21">
        <v>36.5</v>
      </c>
      <c r="E11" s="22">
        <f>845/5</f>
        <v>169</v>
      </c>
      <c r="F11" s="22">
        <f t="shared" ca="1" si="0"/>
        <v>164.51769999999999</v>
      </c>
      <c r="G11" s="22">
        <f t="shared" ca="1" si="1"/>
        <v>170.24699999999999</v>
      </c>
      <c r="H11" s="20" t="str">
        <f t="shared" ca="1" si="2"/>
        <v>Valid</v>
      </c>
      <c r="I11" s="21">
        <f t="shared" si="3"/>
        <v>6168.5</v>
      </c>
      <c r="J11" s="23">
        <f t="shared" ca="1" si="4"/>
        <v>35430.480000000003</v>
      </c>
      <c r="K11" s="14">
        <f ca="1">IFERROR(__xludf.DUMMYFUNCTION("iferror(index(GOOGLEFINANCE(B12,""all"",A12-10,A12+3),MATCH(A12+0.6458333333,index(GOOGLEFINANCE(B12,""all"",A12-10,A12+3),,1)),),"""")"),43690.6458333333)</f>
        <v>43690.645833333299</v>
      </c>
      <c r="L11" s="15">
        <f ca="1">IFERROR(__xludf.DUMMYFUNCTION("""COMPUTED_VALUE"""),167.78)</f>
        <v>167.78</v>
      </c>
      <c r="M11" s="15">
        <f ca="1">IFERROR(__xludf.DUMMYFUNCTION("""COMPUTED_VALUE"""),169.4)</f>
        <v>169.4</v>
      </c>
      <c r="N11" s="15">
        <f ca="1">IFERROR(__xludf.DUMMYFUNCTION("""COMPUTED_VALUE"""),164.6)</f>
        <v>164.6</v>
      </c>
      <c r="O11" s="15">
        <f ca="1">IFERROR(__xludf.DUMMYFUNCTION("""COMPUTED_VALUE"""),165.54)</f>
        <v>165.54</v>
      </c>
      <c r="P11" s="15">
        <f ca="1">IFERROR(__xludf.DUMMYFUNCTION("""COMPUTED_VALUE"""),22713)</f>
        <v>22713</v>
      </c>
      <c r="Q11" s="15">
        <f t="shared" si="5"/>
        <v>36.5</v>
      </c>
      <c r="R11" s="15">
        <f t="shared" si="6"/>
        <v>-6168.5</v>
      </c>
      <c r="S11" s="16">
        <f t="shared" si="7"/>
        <v>43690</v>
      </c>
      <c r="T11" s="17" t="s">
        <v>31</v>
      </c>
      <c r="U11" s="18"/>
      <c r="V11" s="18"/>
      <c r="W11" s="18"/>
    </row>
    <row r="12" spans="1:23" ht="15.75">
      <c r="A12" s="19">
        <v>43690</v>
      </c>
      <c r="B12" s="20" t="s">
        <v>32</v>
      </c>
      <c r="C12" s="20" t="s">
        <v>0</v>
      </c>
      <c r="D12" s="21">
        <v>7</v>
      </c>
      <c r="E12" s="22">
        <v>1032</v>
      </c>
      <c r="F12" s="22">
        <f t="shared" ca="1" si="0"/>
        <v>1023.5179850000001</v>
      </c>
      <c r="G12" s="22">
        <f t="shared" ca="1" si="1"/>
        <v>1074.8474999999999</v>
      </c>
      <c r="H12" s="20" t="str">
        <f t="shared" ca="1" si="2"/>
        <v>Valid</v>
      </c>
      <c r="I12" s="21">
        <f t="shared" si="3"/>
        <v>7224</v>
      </c>
      <c r="J12" s="23">
        <f t="shared" ca="1" si="4"/>
        <v>28206.48</v>
      </c>
      <c r="K12" s="14">
        <f ca="1">IFERROR(__xludf.DUMMYFUNCTION("iferror(index(GOOGLEFINANCE(B13,""all"",A13-10,A13+3),MATCH(A13+0.6458333333,index(GOOGLEFINANCE(B13,""all"",A13-10,A13+3),,1)),),"""")"),43690.6458333333)</f>
        <v>43690.645833333299</v>
      </c>
      <c r="L12" s="15">
        <f ca="1">IFERROR(__xludf.DUMMYFUNCTION("""COMPUTED_VALUE"""),1034.47)</f>
        <v>1034.47</v>
      </c>
      <c r="M12" s="15">
        <f ca="1">IFERROR(__xludf.DUMMYFUNCTION("""COMPUTED_VALUE"""),1069.5)</f>
        <v>1069.5</v>
      </c>
      <c r="N12" s="15">
        <f ca="1">IFERROR(__xludf.DUMMYFUNCTION("""COMPUTED_VALUE"""),1024.03)</f>
        <v>1024.03</v>
      </c>
      <c r="O12" s="15">
        <f ca="1">IFERROR(__xludf.DUMMYFUNCTION("""COMPUTED_VALUE"""),1042.83)</f>
        <v>1042.83</v>
      </c>
      <c r="P12" s="15">
        <f ca="1">IFERROR(__xludf.DUMMYFUNCTION("""COMPUTED_VALUE"""),47957)</f>
        <v>47957</v>
      </c>
      <c r="Q12" s="15">
        <f t="shared" si="5"/>
        <v>7</v>
      </c>
      <c r="R12" s="15">
        <f t="shared" si="6"/>
        <v>-7224</v>
      </c>
      <c r="S12" s="16">
        <f t="shared" si="7"/>
        <v>43690</v>
      </c>
      <c r="T12" s="17" t="s">
        <v>33</v>
      </c>
      <c r="U12" s="18"/>
      <c r="V12" s="18"/>
      <c r="W12" s="18"/>
    </row>
    <row r="13" spans="1:23" ht="15.75">
      <c r="A13" s="24">
        <v>43731</v>
      </c>
      <c r="B13" s="25" t="s">
        <v>21</v>
      </c>
      <c r="C13" s="25" t="s">
        <v>1</v>
      </c>
      <c r="D13" s="26">
        <v>1.2</v>
      </c>
      <c r="E13" s="27">
        <v>10620</v>
      </c>
      <c r="F13" s="27">
        <f t="shared" ca="1" si="0"/>
        <v>10394.800000000001</v>
      </c>
      <c r="G13" s="27">
        <f t="shared" ca="1" si="1"/>
        <v>11004.749999999998</v>
      </c>
      <c r="H13" s="25" t="str">
        <f t="shared" ca="1" si="2"/>
        <v>Valid</v>
      </c>
      <c r="I13" s="26">
        <f t="shared" si="3"/>
        <v>12744</v>
      </c>
      <c r="J13" s="28">
        <f t="shared" ca="1" si="4"/>
        <v>40950.480000000003</v>
      </c>
      <c r="K13" s="14">
        <f ca="1">IFERROR(__xludf.DUMMYFUNCTION("iferror(index(GOOGLEFINANCE(B14,""all"",A14-10,A14+3),MATCH(A14+0.6458333333,index(GOOGLEFINANCE(B14,""all"",A14-10,A14+3),,1)),),"""")"),43731.6458333333)</f>
        <v>43731.645833333299</v>
      </c>
      <c r="L13" s="15">
        <f ca="1">IFERROR(__xludf.DUMMYFUNCTION("""COMPUTED_VALUE"""),10400)</f>
        <v>10400</v>
      </c>
      <c r="M13" s="15">
        <f ca="1">IFERROR(__xludf.DUMMYFUNCTION("""COMPUTED_VALUE"""),10950)</f>
        <v>10950</v>
      </c>
      <c r="N13" s="15">
        <f ca="1">IFERROR(__xludf.DUMMYFUNCTION("""COMPUTED_VALUE"""),10400)</f>
        <v>10400</v>
      </c>
      <c r="O13" s="15">
        <f ca="1">IFERROR(__xludf.DUMMYFUNCTION("""COMPUTED_VALUE"""),10716.3)</f>
        <v>10716.3</v>
      </c>
      <c r="P13" s="15">
        <f ca="1">IFERROR(__xludf.DUMMYFUNCTION("""COMPUTED_VALUE"""),28089)</f>
        <v>28089</v>
      </c>
      <c r="Q13" s="15">
        <f t="shared" si="5"/>
        <v>-1.2</v>
      </c>
      <c r="R13" s="15">
        <f t="shared" si="6"/>
        <v>12744</v>
      </c>
      <c r="S13" s="16">
        <f t="shared" si="7"/>
        <v>43731</v>
      </c>
      <c r="T13" s="17"/>
      <c r="U13" s="18"/>
      <c r="V13" s="18"/>
      <c r="W13" s="18"/>
    </row>
    <row r="14" spans="1:23" ht="15.75">
      <c r="A14" s="24">
        <v>43731</v>
      </c>
      <c r="B14" s="25" t="s">
        <v>26</v>
      </c>
      <c r="C14" s="25" t="s">
        <v>1</v>
      </c>
      <c r="D14" s="26">
        <v>0.4</v>
      </c>
      <c r="E14" s="27">
        <v>28700</v>
      </c>
      <c r="F14" s="27">
        <f t="shared" ca="1" si="0"/>
        <v>27134.525949999999</v>
      </c>
      <c r="G14" s="27">
        <f t="shared" ca="1" si="1"/>
        <v>29642.474999999999</v>
      </c>
      <c r="H14" s="25" t="str">
        <f t="shared" ca="1" si="2"/>
        <v>Valid</v>
      </c>
      <c r="I14" s="26">
        <f t="shared" si="3"/>
        <v>11480</v>
      </c>
      <c r="J14" s="28">
        <f t="shared" ca="1" si="4"/>
        <v>52430.48</v>
      </c>
      <c r="K14" s="14">
        <f ca="1">IFERROR(__xludf.DUMMYFUNCTION("iferror(index(GOOGLEFINANCE(B15,""all"",A15-10,A15+3),MATCH(A15+0.6458333333,index(GOOGLEFINANCE(B15,""all"",A15-10,A15+3),,1)),),"""")"),43731.6458333333)</f>
        <v>43731.645833333299</v>
      </c>
      <c r="L14" s="15">
        <f ca="1">IFERROR(__xludf.DUMMYFUNCTION("""COMPUTED_VALUE"""),27148.1)</f>
        <v>27148.1</v>
      </c>
      <c r="M14" s="15">
        <f ca="1">IFERROR(__xludf.DUMMYFUNCTION("""COMPUTED_VALUE"""),29495)</f>
        <v>29495</v>
      </c>
      <c r="N14" s="15">
        <f ca="1">IFERROR(__xludf.DUMMYFUNCTION("""COMPUTED_VALUE"""),27148.1)</f>
        <v>27148.1</v>
      </c>
      <c r="O14" s="15">
        <f ca="1">IFERROR(__xludf.DUMMYFUNCTION("""COMPUTED_VALUE"""),28999.2)</f>
        <v>28999.200000000001</v>
      </c>
      <c r="P14" s="15">
        <f ca="1">IFERROR(__xludf.DUMMYFUNCTION("""COMPUTED_VALUE"""),8999)</f>
        <v>8999</v>
      </c>
      <c r="Q14" s="15">
        <f t="shared" si="5"/>
        <v>-0.4</v>
      </c>
      <c r="R14" s="15">
        <f t="shared" si="6"/>
        <v>11480</v>
      </c>
      <c r="S14" s="16">
        <f t="shared" si="7"/>
        <v>43731</v>
      </c>
      <c r="T14" s="17"/>
      <c r="U14" s="18"/>
      <c r="V14" s="18"/>
      <c r="W14" s="18"/>
    </row>
    <row r="15" spans="1:23" ht="15.75">
      <c r="A15" s="19">
        <v>43762</v>
      </c>
      <c r="B15" s="20" t="s">
        <v>34</v>
      </c>
      <c r="C15" s="20" t="s">
        <v>0</v>
      </c>
      <c r="D15" s="21">
        <v>45</v>
      </c>
      <c r="E15" s="22">
        <v>127.5</v>
      </c>
      <c r="F15" s="22">
        <f t="shared" ca="1" si="0"/>
        <v>124.43775000000001</v>
      </c>
      <c r="G15" s="22">
        <f t="shared" ca="1" si="1"/>
        <v>128.18774999999999</v>
      </c>
      <c r="H15" s="20" t="str">
        <f t="shared" ca="1" si="2"/>
        <v>Valid</v>
      </c>
      <c r="I15" s="21">
        <f t="shared" si="3"/>
        <v>5737.5</v>
      </c>
      <c r="J15" s="23">
        <f t="shared" ca="1" si="4"/>
        <v>46692.98</v>
      </c>
      <c r="K15" s="14">
        <f ca="1">IFERROR(__xludf.DUMMYFUNCTION("iferror(index(GOOGLEFINANCE(B16,""all"",A16-10,A16+3),MATCH(A16+0.6458333333,index(GOOGLEFINANCE(B16,""all"",A16-10,A16+3),,1)),),"""")"),43762.6458333333)</f>
        <v>43762.645833333299</v>
      </c>
      <c r="L15" s="15">
        <f ca="1">IFERROR(__xludf.DUMMYFUNCTION("""COMPUTED_VALUE"""),127)</f>
        <v>127</v>
      </c>
      <c r="M15" s="15">
        <f ca="1">IFERROR(__xludf.DUMMYFUNCTION("""COMPUTED_VALUE"""),127.55)</f>
        <v>127.55</v>
      </c>
      <c r="N15" s="15">
        <f ca="1">IFERROR(__xludf.DUMMYFUNCTION("""COMPUTED_VALUE"""),124.5)</f>
        <v>124.5</v>
      </c>
      <c r="O15" s="15">
        <f ca="1">IFERROR(__xludf.DUMMYFUNCTION("""COMPUTED_VALUE"""),125.15)</f>
        <v>125.15</v>
      </c>
      <c r="P15" s="15">
        <f ca="1">IFERROR(__xludf.DUMMYFUNCTION("""COMPUTED_VALUE"""),1200129)</f>
        <v>1200129</v>
      </c>
      <c r="Q15" s="15">
        <f t="shared" si="5"/>
        <v>45</v>
      </c>
      <c r="R15" s="15">
        <f t="shared" si="6"/>
        <v>-5737.5</v>
      </c>
      <c r="S15" s="16">
        <f t="shared" si="7"/>
        <v>43762</v>
      </c>
      <c r="T15" s="29" t="s">
        <v>35</v>
      </c>
      <c r="U15" s="18"/>
      <c r="V15" s="18"/>
      <c r="W15" s="18"/>
    </row>
    <row r="16" spans="1:23" ht="15.75">
      <c r="A16" s="19">
        <v>43769</v>
      </c>
      <c r="B16" s="20" t="s">
        <v>36</v>
      </c>
      <c r="C16" s="20" t="s">
        <v>0</v>
      </c>
      <c r="D16" s="21">
        <v>3.6</v>
      </c>
      <c r="E16" s="22">
        <v>2150</v>
      </c>
      <c r="F16" s="22">
        <f t="shared" ca="1" si="0"/>
        <v>2089.1549</v>
      </c>
      <c r="G16" s="22">
        <f t="shared" ca="1" si="1"/>
        <v>2162.6092499999995</v>
      </c>
      <c r="H16" s="20" t="str">
        <f t="shared" ca="1" si="2"/>
        <v>Valid</v>
      </c>
      <c r="I16" s="21">
        <f t="shared" si="3"/>
        <v>7740</v>
      </c>
      <c r="J16" s="23">
        <f t="shared" ca="1" si="4"/>
        <v>38952.980000000003</v>
      </c>
      <c r="K16" s="14">
        <f ca="1">IFERROR(__xludf.DUMMYFUNCTION("iferror(index(GOOGLEFINANCE(B17,""all"",A17-10,A17+3),MATCH(A17+0.6458333333,index(GOOGLEFINANCE(B17,""all"",A17-10,A17+3),,1)),),"""")"),43769.6458333333)</f>
        <v>43769.645833333299</v>
      </c>
      <c r="L16" s="15">
        <f ca="1">IFERROR(__xludf.DUMMYFUNCTION("""COMPUTED_VALUE"""),2139)</f>
        <v>2139</v>
      </c>
      <c r="M16" s="15">
        <f ca="1">IFERROR(__xludf.DUMMYFUNCTION("""COMPUTED_VALUE"""),2151.85)</f>
        <v>2151.85</v>
      </c>
      <c r="N16" s="15">
        <f ca="1">IFERROR(__xludf.DUMMYFUNCTION("""COMPUTED_VALUE"""),2090.2)</f>
        <v>2090.1999999999998</v>
      </c>
      <c r="O16" s="15">
        <f ca="1">IFERROR(__xludf.DUMMYFUNCTION("""COMPUTED_VALUE"""),2118.05)</f>
        <v>2118.0500000000002</v>
      </c>
      <c r="P16" s="15">
        <f ca="1">IFERROR(__xludf.DUMMYFUNCTION("""COMPUTED_VALUE"""),32862)</f>
        <v>32862</v>
      </c>
      <c r="Q16" s="15">
        <f t="shared" si="5"/>
        <v>3.6</v>
      </c>
      <c r="R16" s="15">
        <f t="shared" si="6"/>
        <v>-7740</v>
      </c>
      <c r="S16" s="16">
        <f t="shared" si="7"/>
        <v>43769</v>
      </c>
      <c r="T16" s="29" t="s">
        <v>37</v>
      </c>
      <c r="U16" s="18"/>
      <c r="V16" s="18"/>
      <c r="W16" s="18"/>
    </row>
    <row r="17" spans="1:23" ht="15.75">
      <c r="A17" s="24">
        <v>43769</v>
      </c>
      <c r="B17" s="25" t="s">
        <v>18</v>
      </c>
      <c r="C17" s="25" t="s">
        <v>1</v>
      </c>
      <c r="D17" s="26">
        <v>8</v>
      </c>
      <c r="E17" s="27">
        <f ca="1">IFERROR(__xludf.DUMMYFUNCTION("index(GOOGLEFINANCE(B18,""open"",A18-1),2,2)"),2180)</f>
        <v>2180</v>
      </c>
      <c r="F17" s="27">
        <f t="shared" ca="1" si="0"/>
        <v>2158.2203500000005</v>
      </c>
      <c r="G17" s="27">
        <f t="shared" ca="1" si="1"/>
        <v>2198.1862499999997</v>
      </c>
      <c r="H17" s="25" t="str">
        <f t="shared" ca="1" si="2"/>
        <v>Valid</v>
      </c>
      <c r="I17" s="26">
        <f t="shared" ca="1" si="3"/>
        <v>17440</v>
      </c>
      <c r="J17" s="28">
        <f t="shared" ca="1" si="4"/>
        <v>56392.98</v>
      </c>
      <c r="K17" s="14">
        <f ca="1">IFERROR(__xludf.DUMMYFUNCTION("iferror(index(GOOGLEFINANCE(B18,""all"",A18-10,A18+3),MATCH(A18+0.6458333333,index(GOOGLEFINANCE(B18,""all"",A18-10,A18+3),,1)),),"""")"),43769.6458333333)</f>
        <v>43769.645833333299</v>
      </c>
      <c r="L17" s="15">
        <f ca="1">IFERROR(__xludf.DUMMYFUNCTION("""COMPUTED_VALUE"""),2165)</f>
        <v>2165</v>
      </c>
      <c r="M17" s="15">
        <f ca="1">IFERROR(__xludf.DUMMYFUNCTION("""COMPUTED_VALUE"""),2187.25)</f>
        <v>2187.25</v>
      </c>
      <c r="N17" s="15">
        <f ca="1">IFERROR(__xludf.DUMMYFUNCTION("""COMPUTED_VALUE"""),2159.3)</f>
        <v>2159.3000000000002</v>
      </c>
      <c r="O17" s="15">
        <f ca="1">IFERROR(__xludf.DUMMYFUNCTION("""COMPUTED_VALUE"""),2175.35)</f>
        <v>2175.35</v>
      </c>
      <c r="P17" s="15">
        <f ca="1">IFERROR(__xludf.DUMMYFUNCTION("""COMPUTED_VALUE"""),1752830)</f>
        <v>1752830</v>
      </c>
      <c r="Q17" s="15">
        <f t="shared" si="5"/>
        <v>-8</v>
      </c>
      <c r="R17" s="15">
        <f t="shared" ca="1" si="6"/>
        <v>17440</v>
      </c>
      <c r="S17" s="16">
        <f t="shared" si="7"/>
        <v>43769</v>
      </c>
      <c r="T17" s="29" t="s">
        <v>38</v>
      </c>
      <c r="U17" s="18"/>
      <c r="V17" s="18"/>
      <c r="W17" s="18"/>
    </row>
    <row r="18" spans="1:23" ht="15.75">
      <c r="A18" s="24">
        <v>43769</v>
      </c>
      <c r="B18" s="25" t="s">
        <v>28</v>
      </c>
      <c r="C18" s="25" t="s">
        <v>1</v>
      </c>
      <c r="D18" s="26">
        <v>3.2</v>
      </c>
      <c r="E18" s="27">
        <v>4110</v>
      </c>
      <c r="F18" s="27">
        <f t="shared" ca="1" si="0"/>
        <v>3853.0725000000002</v>
      </c>
      <c r="G18" s="27">
        <f t="shared" ca="1" si="1"/>
        <v>4158.5894999999991</v>
      </c>
      <c r="H18" s="25" t="str">
        <f t="shared" ca="1" si="2"/>
        <v>Valid</v>
      </c>
      <c r="I18" s="26">
        <f t="shared" si="3"/>
        <v>13152</v>
      </c>
      <c r="J18" s="28">
        <f t="shared" ca="1" si="4"/>
        <v>69544.98</v>
      </c>
      <c r="K18" s="14">
        <f ca="1">IFERROR(__xludf.DUMMYFUNCTION("iferror(index(GOOGLEFINANCE(B19,""all"",A19-10,A19+3),MATCH(A19+0.6458333333,index(GOOGLEFINANCE(B19,""all"",A19-10,A19+3),,1)),),"""")"),43769.6458333333)</f>
        <v>43769.645833333299</v>
      </c>
      <c r="L18" s="15">
        <f ca="1">IFERROR(__xludf.DUMMYFUNCTION("""COMPUTED_VALUE"""),3898)</f>
        <v>3898</v>
      </c>
      <c r="M18" s="15">
        <f ca="1">IFERROR(__xludf.DUMMYFUNCTION("""COMPUTED_VALUE"""),4137.9)</f>
        <v>4137.8999999999996</v>
      </c>
      <c r="N18" s="15">
        <f ca="1">IFERROR(__xludf.DUMMYFUNCTION("""COMPUTED_VALUE"""),3855)</f>
        <v>3855</v>
      </c>
      <c r="O18" s="15">
        <f ca="1">IFERROR(__xludf.DUMMYFUNCTION("""COMPUTED_VALUE"""),4057.85)</f>
        <v>4057.85</v>
      </c>
      <c r="P18" s="15">
        <f ca="1">IFERROR(__xludf.DUMMYFUNCTION("""COMPUTED_VALUE"""),115400)</f>
        <v>115400</v>
      </c>
      <c r="Q18" s="15">
        <f t="shared" si="5"/>
        <v>-3.2</v>
      </c>
      <c r="R18" s="15">
        <f t="shared" si="6"/>
        <v>13152</v>
      </c>
      <c r="S18" s="16">
        <f t="shared" si="7"/>
        <v>43769</v>
      </c>
      <c r="T18" s="29"/>
      <c r="U18" s="18"/>
      <c r="V18" s="18"/>
      <c r="W18" s="18"/>
    </row>
    <row r="19" spans="1:23" ht="15.75">
      <c r="A19" s="19">
        <v>43777</v>
      </c>
      <c r="B19" s="20" t="s">
        <v>39</v>
      </c>
      <c r="C19" s="20" t="s">
        <v>0</v>
      </c>
      <c r="D19" s="21">
        <v>27</v>
      </c>
      <c r="E19" s="22">
        <v>243.5</v>
      </c>
      <c r="F19" s="22">
        <f t="shared" ca="1" si="0"/>
        <v>234.18285000000003</v>
      </c>
      <c r="G19" s="22">
        <f t="shared" ca="1" si="1"/>
        <v>247.12949999999998</v>
      </c>
      <c r="H19" s="20" t="str">
        <f t="shared" ca="1" si="2"/>
        <v>Valid</v>
      </c>
      <c r="I19" s="21">
        <f t="shared" si="3"/>
        <v>6574.5</v>
      </c>
      <c r="J19" s="23">
        <f t="shared" ca="1" si="4"/>
        <v>62970.48</v>
      </c>
      <c r="K19" s="14">
        <f ca="1">IFERROR(__xludf.DUMMYFUNCTION("iferror(index(GOOGLEFINANCE(B20,""all"",A20-10,A20+3),MATCH(A20+0.6458333333,index(GOOGLEFINANCE(B20,""all"",A20-10,A20+3),,1)),),"""")"),43777.6458333333)</f>
        <v>43777.645833333299</v>
      </c>
      <c r="L19" s="15">
        <f ca="1">IFERROR(__xludf.DUMMYFUNCTION("""COMPUTED_VALUE"""),242.25)</f>
        <v>242.25</v>
      </c>
      <c r="M19" s="15">
        <f ca="1">IFERROR(__xludf.DUMMYFUNCTION("""COMPUTED_VALUE"""),245.9)</f>
        <v>245.9</v>
      </c>
      <c r="N19" s="15">
        <f ca="1">IFERROR(__xludf.DUMMYFUNCTION("""COMPUTED_VALUE"""),234.3)</f>
        <v>234.3</v>
      </c>
      <c r="O19" s="15">
        <f ca="1">IFERROR(__xludf.DUMMYFUNCTION("""COMPUTED_VALUE"""),235.2)</f>
        <v>235.2</v>
      </c>
      <c r="P19" s="15">
        <f ca="1">IFERROR(__xludf.DUMMYFUNCTION("""COMPUTED_VALUE"""),510726)</f>
        <v>510726</v>
      </c>
      <c r="Q19" s="15">
        <f t="shared" si="5"/>
        <v>27</v>
      </c>
      <c r="R19" s="15">
        <f t="shared" si="6"/>
        <v>-6574.5</v>
      </c>
      <c r="S19" s="16">
        <f t="shared" si="7"/>
        <v>43777</v>
      </c>
      <c r="T19" s="29"/>
      <c r="U19" s="18"/>
      <c r="V19" s="18"/>
      <c r="W19" s="18"/>
    </row>
    <row r="20" spans="1:23" ht="15.75">
      <c r="A20" s="19">
        <v>43780</v>
      </c>
      <c r="B20" s="20" t="s">
        <v>40</v>
      </c>
      <c r="C20" s="20" t="s">
        <v>0</v>
      </c>
      <c r="D20" s="21">
        <v>12</v>
      </c>
      <c r="E20" s="22">
        <f>1066/2</f>
        <v>533</v>
      </c>
      <c r="F20" s="22">
        <f t="shared" ca="1" si="0"/>
        <v>527.23625000000004</v>
      </c>
      <c r="G20" s="22">
        <f t="shared" ca="1" si="1"/>
        <v>562.2974999999999</v>
      </c>
      <c r="H20" s="20" t="str">
        <f t="shared" ca="1" si="2"/>
        <v>Valid</v>
      </c>
      <c r="I20" s="21">
        <f t="shared" si="3"/>
        <v>6396</v>
      </c>
      <c r="J20" s="23">
        <f t="shared" ca="1" si="4"/>
        <v>56574.48</v>
      </c>
      <c r="K20" s="14">
        <f ca="1">IFERROR(__xludf.DUMMYFUNCTION("iferror(index(GOOGLEFINANCE(B21,""all"",A21-10,A21+3),MATCH(A21+0.6458333333,index(GOOGLEFINANCE(B21,""all"",A21-10,A21+3),,1)),),"""")"),43780.6458333333)</f>
        <v>43780.645833333299</v>
      </c>
      <c r="L20" s="15">
        <f ca="1">IFERROR(__xludf.DUMMYFUNCTION("""COMPUTED_VALUE"""),532.5)</f>
        <v>532.5</v>
      </c>
      <c r="M20" s="15">
        <f ca="1">IFERROR(__xludf.DUMMYFUNCTION("""COMPUTED_VALUE"""),559.5)</f>
        <v>559.5</v>
      </c>
      <c r="N20" s="15">
        <f ca="1">IFERROR(__xludf.DUMMYFUNCTION("""COMPUTED_VALUE"""),527.5)</f>
        <v>527.5</v>
      </c>
      <c r="O20" s="15">
        <f ca="1">IFERROR(__xludf.DUMMYFUNCTION("""COMPUTED_VALUE"""),547.8)</f>
        <v>547.79999999999995</v>
      </c>
      <c r="P20" s="15">
        <f ca="1">IFERROR(__xludf.DUMMYFUNCTION("""COMPUTED_VALUE"""),381381)</f>
        <v>381381</v>
      </c>
      <c r="Q20" s="15">
        <f t="shared" si="5"/>
        <v>12</v>
      </c>
      <c r="R20" s="15">
        <f t="shared" si="6"/>
        <v>-6396</v>
      </c>
      <c r="S20" s="16">
        <f t="shared" si="7"/>
        <v>43780</v>
      </c>
      <c r="T20" s="29"/>
      <c r="U20" s="18"/>
      <c r="V20" s="18"/>
      <c r="W20" s="18"/>
    </row>
    <row r="21" spans="1:23" ht="15.75">
      <c r="A21" s="19">
        <v>43789</v>
      </c>
      <c r="B21" s="20" t="s">
        <v>41</v>
      </c>
      <c r="C21" s="20" t="s">
        <v>0</v>
      </c>
      <c r="D21" s="21">
        <v>22</v>
      </c>
      <c r="E21" s="22">
        <v>428</v>
      </c>
      <c r="F21" s="22">
        <f t="shared" ca="1" si="0"/>
        <v>416.34172500000005</v>
      </c>
      <c r="G21" s="22">
        <f t="shared" ca="1" si="1"/>
        <v>430.89374999999995</v>
      </c>
      <c r="H21" s="20" t="str">
        <f t="shared" ca="1" si="2"/>
        <v>Valid</v>
      </c>
      <c r="I21" s="21">
        <f t="shared" si="3"/>
        <v>9416</v>
      </c>
      <c r="J21" s="23">
        <f t="shared" ca="1" si="4"/>
        <v>47158.48</v>
      </c>
      <c r="K21" s="14">
        <f ca="1">IFERROR(__xludf.DUMMYFUNCTION("iferror(index(GOOGLEFINANCE(B22,""all"",A22-10,A22+3),MATCH(A22+0.6458333333,index(GOOGLEFINANCE(B22,""all"",A22-10,A22+3),,1)),),"""")"),43789.6458333333)</f>
        <v>43789.645833333299</v>
      </c>
      <c r="L21" s="15">
        <f ca="1">IFERROR(__xludf.DUMMYFUNCTION("""COMPUTED_VALUE"""),424.45)</f>
        <v>424.45</v>
      </c>
      <c r="M21" s="15">
        <f ca="1">IFERROR(__xludf.DUMMYFUNCTION("""COMPUTED_VALUE"""),428.75)</f>
        <v>428.75</v>
      </c>
      <c r="N21" s="15">
        <f ca="1">IFERROR(__xludf.DUMMYFUNCTION("""COMPUTED_VALUE"""),416.55)</f>
        <v>416.55</v>
      </c>
      <c r="O21" s="15">
        <f ca="1">IFERROR(__xludf.DUMMYFUNCTION("""COMPUTED_VALUE"""),423.88)</f>
        <v>423.88</v>
      </c>
      <c r="P21" s="15">
        <f ca="1">IFERROR(__xludf.DUMMYFUNCTION("""COMPUTED_VALUE"""),94048)</f>
        <v>94048</v>
      </c>
      <c r="Q21" s="15">
        <f t="shared" si="5"/>
        <v>22</v>
      </c>
      <c r="R21" s="15">
        <f t="shared" si="6"/>
        <v>-9416</v>
      </c>
      <c r="S21" s="16">
        <f t="shared" si="7"/>
        <v>43789</v>
      </c>
      <c r="T21" s="29"/>
      <c r="U21" s="18"/>
      <c r="V21" s="18"/>
      <c r="W21" s="18"/>
    </row>
    <row r="22" spans="1:23" ht="15.75">
      <c r="A22" s="19">
        <v>43867</v>
      </c>
      <c r="B22" s="20" t="s">
        <v>42</v>
      </c>
      <c r="C22" s="20" t="s">
        <v>0</v>
      </c>
      <c r="D22" s="21">
        <v>16</v>
      </c>
      <c r="E22" s="22">
        <v>210</v>
      </c>
      <c r="F22" s="22">
        <f t="shared" ca="1" si="0"/>
        <v>197.65112500000001</v>
      </c>
      <c r="G22" s="22">
        <f t="shared" ca="1" si="1"/>
        <v>229.64249999999998</v>
      </c>
      <c r="H22" s="20" t="str">
        <f t="shared" ca="1" si="2"/>
        <v>Valid</v>
      </c>
      <c r="I22" s="21">
        <f t="shared" si="3"/>
        <v>3360</v>
      </c>
      <c r="J22" s="23">
        <f t="shared" ca="1" si="4"/>
        <v>43798.48</v>
      </c>
      <c r="K22" s="14">
        <f ca="1">IFERROR(__xludf.DUMMYFUNCTION("iferror(index(GOOGLEFINANCE(B23,""all"",A23-10,A23+3),MATCH(A23+0.6458333333,index(GOOGLEFINANCE(B23,""all"",A23-10,A23+3),,1)),),"""")"),43867.6458333333)</f>
        <v>43867.645833333299</v>
      </c>
      <c r="L22" s="15">
        <f ca="1">IFERROR(__xludf.DUMMYFUNCTION("""COMPUTED_VALUE"""),197.75)</f>
        <v>197.75</v>
      </c>
      <c r="M22" s="15">
        <f ca="1">IFERROR(__xludf.DUMMYFUNCTION("""COMPUTED_VALUE"""),228.5)</f>
        <v>228.5</v>
      </c>
      <c r="N22" s="15">
        <f ca="1">IFERROR(__xludf.DUMMYFUNCTION("""COMPUTED_VALUE"""),197.75)</f>
        <v>197.75</v>
      </c>
      <c r="O22" s="15">
        <f ca="1">IFERROR(__xludf.DUMMYFUNCTION("""COMPUTED_VALUE"""),211.23)</f>
        <v>211.23</v>
      </c>
      <c r="P22" s="15">
        <f ca="1">IFERROR(__xludf.DUMMYFUNCTION("""COMPUTED_VALUE"""),287196)</f>
        <v>287196</v>
      </c>
      <c r="Q22" s="15">
        <f t="shared" si="5"/>
        <v>16</v>
      </c>
      <c r="R22" s="15">
        <f t="shared" si="6"/>
        <v>-3360</v>
      </c>
      <c r="S22" s="16">
        <f t="shared" si="7"/>
        <v>43867</v>
      </c>
      <c r="T22" s="29"/>
      <c r="U22" s="18"/>
      <c r="V22" s="18"/>
      <c r="W22" s="18"/>
    </row>
    <row r="23" spans="1:23" ht="15.75">
      <c r="A23" s="19">
        <v>43868</v>
      </c>
      <c r="B23" s="20" t="s">
        <v>43</v>
      </c>
      <c r="C23" s="20" t="s">
        <v>0</v>
      </c>
      <c r="D23" s="21">
        <v>10.5</v>
      </c>
      <c r="E23" s="22">
        <f>1477/5*2</f>
        <v>590.79999999999995</v>
      </c>
      <c r="F23" s="22">
        <f t="shared" ca="1" si="0"/>
        <v>575.73199</v>
      </c>
      <c r="G23" s="22">
        <f t="shared" ca="1" si="1"/>
        <v>598.95989999999995</v>
      </c>
      <c r="H23" s="20" t="str">
        <f t="shared" ca="1" si="2"/>
        <v>Valid</v>
      </c>
      <c r="I23" s="21">
        <f t="shared" si="3"/>
        <v>6203.4</v>
      </c>
      <c r="J23" s="23">
        <f t="shared" ca="1" si="4"/>
        <v>37595.08</v>
      </c>
      <c r="K23" s="14">
        <f ca="1">IFERROR(__xludf.DUMMYFUNCTION("iferror(index(GOOGLEFINANCE(B24,""all"",A24-10,A24+3),MATCH(A24+0.6458333333,index(GOOGLEFINANCE(B24,""all"",A24-10,A24+3),,1)),),"""")"),43868.6458333333)</f>
        <v>43868.645833333299</v>
      </c>
      <c r="L23" s="15">
        <f ca="1">IFERROR(__xludf.DUMMYFUNCTION("""COMPUTED_VALUE"""),591.2)</f>
        <v>591.20000000000005</v>
      </c>
      <c r="M23" s="15">
        <f ca="1">IFERROR(__xludf.DUMMYFUNCTION("""COMPUTED_VALUE"""),595.98)</f>
        <v>595.98</v>
      </c>
      <c r="N23" s="15">
        <f ca="1">IFERROR(__xludf.DUMMYFUNCTION("""COMPUTED_VALUE"""),576.02)</f>
        <v>576.02</v>
      </c>
      <c r="O23" s="15">
        <f ca="1">IFERROR(__xludf.DUMMYFUNCTION("""COMPUTED_VALUE"""),582.28)</f>
        <v>582.28</v>
      </c>
      <c r="P23" s="15">
        <f ca="1">IFERROR(__xludf.DUMMYFUNCTION("""COMPUTED_VALUE"""),39179)</f>
        <v>39179</v>
      </c>
      <c r="Q23" s="15">
        <f t="shared" si="5"/>
        <v>10.5</v>
      </c>
      <c r="R23" s="15">
        <f t="shared" si="6"/>
        <v>-6203.4</v>
      </c>
      <c r="S23" s="16">
        <f t="shared" si="7"/>
        <v>43868</v>
      </c>
      <c r="T23" s="29"/>
      <c r="U23" s="18"/>
      <c r="V23" s="18"/>
      <c r="W23" s="18"/>
    </row>
    <row r="24" spans="1:23" ht="15.75">
      <c r="A24" s="24">
        <v>43902</v>
      </c>
      <c r="B24" s="25" t="s">
        <v>40</v>
      </c>
      <c r="C24" s="25" t="s">
        <v>1</v>
      </c>
      <c r="D24" s="26">
        <v>12</v>
      </c>
      <c r="E24" s="27">
        <f>1370/2</f>
        <v>685</v>
      </c>
      <c r="F24" s="27">
        <f t="shared" ca="1" si="0"/>
        <v>629.13527500000009</v>
      </c>
      <c r="G24" s="27">
        <f t="shared" ca="1" si="1"/>
        <v>693.44999999999993</v>
      </c>
      <c r="H24" s="25" t="str">
        <f t="shared" ca="1" si="2"/>
        <v>Valid</v>
      </c>
      <c r="I24" s="26">
        <f t="shared" si="3"/>
        <v>8220</v>
      </c>
      <c r="J24" s="28">
        <f t="shared" ca="1" si="4"/>
        <v>45815.08</v>
      </c>
      <c r="K24" s="14">
        <f ca="1">IFERROR(__xludf.DUMMYFUNCTION("iferror(index(GOOGLEFINANCE(B25,""all"",A25-10,A25+3),MATCH(A25+0.6458333333,index(GOOGLEFINANCE(B25,""all"",A25-10,A25+3),,1)),),"""")"),43902.6458333333)</f>
        <v>43902.645833333299</v>
      </c>
      <c r="L24" s="15">
        <f ca="1">IFERROR(__xludf.DUMMYFUNCTION("""COMPUTED_VALUE"""),677)</f>
        <v>677</v>
      </c>
      <c r="M24" s="15">
        <f ca="1">IFERROR(__xludf.DUMMYFUNCTION("""COMPUTED_VALUE"""),690)</f>
        <v>690</v>
      </c>
      <c r="N24" s="15">
        <f ca="1">IFERROR(__xludf.DUMMYFUNCTION("""COMPUTED_VALUE"""),629.45)</f>
        <v>629.45000000000005</v>
      </c>
      <c r="O24" s="15">
        <f ca="1">IFERROR(__xludf.DUMMYFUNCTION("""COMPUTED_VALUE"""),654.4)</f>
        <v>654.4</v>
      </c>
      <c r="P24" s="15">
        <f ca="1">IFERROR(__xludf.DUMMYFUNCTION("""COMPUTED_VALUE"""),447067)</f>
        <v>447067</v>
      </c>
      <c r="Q24" s="15">
        <f t="shared" si="5"/>
        <v>-12</v>
      </c>
      <c r="R24" s="15">
        <f t="shared" si="6"/>
        <v>8220</v>
      </c>
      <c r="S24" s="16">
        <f t="shared" si="7"/>
        <v>43902</v>
      </c>
      <c r="T24" s="29"/>
      <c r="U24" s="18"/>
      <c r="V24" s="18"/>
      <c r="W24" s="18"/>
    </row>
    <row r="25" spans="1:23" ht="15.75">
      <c r="A25" s="24">
        <v>43902</v>
      </c>
      <c r="B25" s="25" t="s">
        <v>34</v>
      </c>
      <c r="C25" s="25" t="s">
        <v>1</v>
      </c>
      <c r="D25" s="26">
        <v>45</v>
      </c>
      <c r="E25" s="27">
        <v>87.5</v>
      </c>
      <c r="F25" s="27">
        <f t="shared" ca="1" si="0"/>
        <v>83.058449999999993</v>
      </c>
      <c r="G25" s="27">
        <f t="shared" ca="1" si="1"/>
        <v>92.46</v>
      </c>
      <c r="H25" s="25" t="str">
        <f t="shared" ca="1" si="2"/>
        <v>Valid</v>
      </c>
      <c r="I25" s="26">
        <f t="shared" si="3"/>
        <v>3937.5</v>
      </c>
      <c r="J25" s="28">
        <f t="shared" ca="1" si="4"/>
        <v>49752.58</v>
      </c>
      <c r="K25" s="14">
        <f ca="1">IFERROR(__xludf.DUMMYFUNCTION("iferror(index(GOOGLEFINANCE(B26,""all"",A26-10,A26+3),MATCH(A26+0.6458333333,index(GOOGLEFINANCE(B26,""all"",A26-10,A26+3),,1)),),"""")"),43902.6458333333)</f>
        <v>43902.645833333299</v>
      </c>
      <c r="L25" s="15">
        <f ca="1">IFERROR(__xludf.DUMMYFUNCTION("""COMPUTED_VALUE"""),92)</f>
        <v>92</v>
      </c>
      <c r="M25" s="15">
        <f ca="1">IFERROR(__xludf.DUMMYFUNCTION("""COMPUTED_VALUE"""),92)</f>
        <v>92</v>
      </c>
      <c r="N25" s="15">
        <f ca="1">IFERROR(__xludf.DUMMYFUNCTION("""COMPUTED_VALUE"""),83.1)</f>
        <v>83.1</v>
      </c>
      <c r="O25" s="15">
        <f ca="1">IFERROR(__xludf.DUMMYFUNCTION("""COMPUTED_VALUE"""),85)</f>
        <v>85</v>
      </c>
      <c r="P25" s="15">
        <f ca="1">IFERROR(__xludf.DUMMYFUNCTION("""COMPUTED_VALUE"""),1348225)</f>
        <v>1348225</v>
      </c>
      <c r="Q25" s="15">
        <f t="shared" si="5"/>
        <v>-45</v>
      </c>
      <c r="R25" s="15">
        <f t="shared" si="6"/>
        <v>3937.5</v>
      </c>
      <c r="S25" s="16">
        <f t="shared" si="7"/>
        <v>43902</v>
      </c>
      <c r="T25" s="29"/>
      <c r="U25" s="18"/>
      <c r="V25" s="18"/>
      <c r="W25" s="18"/>
    </row>
    <row r="26" spans="1:23" ht="15.75">
      <c r="A26" s="24">
        <v>43902</v>
      </c>
      <c r="B26" s="25" t="s">
        <v>39</v>
      </c>
      <c r="C26" s="25" t="s">
        <v>1</v>
      </c>
      <c r="D26" s="26">
        <v>27</v>
      </c>
      <c r="E26" s="27">
        <v>183.5</v>
      </c>
      <c r="F26" s="27">
        <f t="shared" ca="1" si="0"/>
        <v>179.91</v>
      </c>
      <c r="G26" s="27">
        <f t="shared" ca="1" si="1"/>
        <v>188.88974999999996</v>
      </c>
      <c r="H26" s="25" t="str">
        <f t="shared" ca="1" si="2"/>
        <v>Valid</v>
      </c>
      <c r="I26" s="26">
        <f t="shared" si="3"/>
        <v>4954.5</v>
      </c>
      <c r="J26" s="28">
        <f t="shared" ca="1" si="4"/>
        <v>54707.08</v>
      </c>
      <c r="K26" s="14">
        <f ca="1">IFERROR(__xludf.DUMMYFUNCTION("iferror(index(GOOGLEFINANCE(B27,""all"",A27-10,A27+3),MATCH(A27+0.6458333333,index(GOOGLEFINANCE(B27,""all"",A27-10,A27+3),,1)),),"""")"),43902.6458333333)</f>
        <v>43902.645833333299</v>
      </c>
      <c r="L26" s="15">
        <f ca="1">IFERROR(__xludf.DUMMYFUNCTION("""COMPUTED_VALUE"""),180.35)</f>
        <v>180.35</v>
      </c>
      <c r="M26" s="15">
        <f ca="1">IFERROR(__xludf.DUMMYFUNCTION("""COMPUTED_VALUE"""),187.95)</f>
        <v>187.95</v>
      </c>
      <c r="N26" s="15">
        <f ca="1">IFERROR(__xludf.DUMMYFUNCTION("""COMPUTED_VALUE"""),180)</f>
        <v>180</v>
      </c>
      <c r="O26" s="15">
        <f ca="1">IFERROR(__xludf.DUMMYFUNCTION("""COMPUTED_VALUE"""),180.4)</f>
        <v>180.4</v>
      </c>
      <c r="P26" s="15">
        <f ca="1">IFERROR(__xludf.DUMMYFUNCTION("""COMPUTED_VALUE"""),549139)</f>
        <v>549139</v>
      </c>
      <c r="Q26" s="15">
        <f t="shared" si="5"/>
        <v>-27</v>
      </c>
      <c r="R26" s="15">
        <f t="shared" si="6"/>
        <v>4954.5</v>
      </c>
      <c r="S26" s="16">
        <f t="shared" si="7"/>
        <v>43902</v>
      </c>
      <c r="T26" s="29"/>
      <c r="U26" s="18"/>
      <c r="V26" s="18"/>
      <c r="W26" s="18"/>
    </row>
    <row r="27" spans="1:23" ht="15.75">
      <c r="A27" s="24">
        <v>43902</v>
      </c>
      <c r="B27" s="25" t="s">
        <v>32</v>
      </c>
      <c r="C27" s="25" t="s">
        <v>1</v>
      </c>
      <c r="D27" s="26">
        <v>7</v>
      </c>
      <c r="E27" s="27">
        <v>825</v>
      </c>
      <c r="F27" s="27">
        <f t="shared" ca="1" si="0"/>
        <v>749.625</v>
      </c>
      <c r="G27" s="27">
        <f t="shared" ca="1" si="1"/>
        <v>839.17499999999995</v>
      </c>
      <c r="H27" s="25" t="str">
        <f t="shared" ca="1" si="2"/>
        <v>Valid</v>
      </c>
      <c r="I27" s="26">
        <f t="shared" si="3"/>
        <v>5775</v>
      </c>
      <c r="J27" s="28">
        <f t="shared" ca="1" si="4"/>
        <v>60482.080000000002</v>
      </c>
      <c r="K27" s="14">
        <f ca="1">IFERROR(__xludf.DUMMYFUNCTION("iferror(index(GOOGLEFINANCE(B28,""all"",A28-10,A28+3),MATCH(A28+0.6458333333,index(GOOGLEFINANCE(B28,""all"",A28-10,A28+3),,1)),),"""")"),43902.6458333333)</f>
        <v>43902.645833333299</v>
      </c>
      <c r="L27" s="15">
        <f ca="1">IFERROR(__xludf.DUMMYFUNCTION("""COMPUTED_VALUE"""),825)</f>
        <v>825</v>
      </c>
      <c r="M27" s="15">
        <f ca="1">IFERROR(__xludf.DUMMYFUNCTION("""COMPUTED_VALUE"""),835)</f>
        <v>835</v>
      </c>
      <c r="N27" s="15">
        <f ca="1">IFERROR(__xludf.DUMMYFUNCTION("""COMPUTED_VALUE"""),750)</f>
        <v>750</v>
      </c>
      <c r="O27" s="15">
        <f ca="1">IFERROR(__xludf.DUMMYFUNCTION("""COMPUTED_VALUE"""),819.75)</f>
        <v>819.75</v>
      </c>
      <c r="P27" s="15">
        <f ca="1">IFERROR(__xludf.DUMMYFUNCTION("""COMPUTED_VALUE"""),171576)</f>
        <v>171576</v>
      </c>
      <c r="Q27" s="15">
        <f t="shared" si="5"/>
        <v>-7</v>
      </c>
      <c r="R27" s="15">
        <f t="shared" si="6"/>
        <v>5775</v>
      </c>
      <c r="S27" s="16">
        <f t="shared" si="7"/>
        <v>43902</v>
      </c>
      <c r="T27" s="29"/>
      <c r="U27" s="18"/>
      <c r="V27" s="18"/>
      <c r="W27" s="18"/>
    </row>
    <row r="28" spans="1:23" ht="15.75">
      <c r="A28" s="24">
        <v>43977</v>
      </c>
      <c r="B28" s="25" t="s">
        <v>42</v>
      </c>
      <c r="C28" s="25" t="s">
        <v>1</v>
      </c>
      <c r="D28" s="26">
        <v>16</v>
      </c>
      <c r="E28" s="27">
        <v>120</v>
      </c>
      <c r="F28" s="27">
        <f t="shared" ca="1" si="0"/>
        <v>117.59117500000001</v>
      </c>
      <c r="G28" s="27">
        <f t="shared" ca="1" si="1"/>
        <v>122.60999999999999</v>
      </c>
      <c r="H28" s="25" t="str">
        <f t="shared" ca="1" si="2"/>
        <v>Valid</v>
      </c>
      <c r="I28" s="26">
        <f t="shared" si="3"/>
        <v>1920</v>
      </c>
      <c r="J28" s="28">
        <f t="shared" ca="1" si="4"/>
        <v>62402.080000000002</v>
      </c>
      <c r="K28" s="14">
        <f ca="1">IFERROR(__xludf.DUMMYFUNCTION("iferror(index(GOOGLEFINANCE(B29,""all"",A29-10,A29+3),MATCH(A29+0.6458333333,index(GOOGLEFINANCE(B29,""all"",A29-10,A29+3),,1)),),"""")"),43977.6458333333)</f>
        <v>43977.645833333299</v>
      </c>
      <c r="L28" s="15">
        <f ca="1">IFERROR(__xludf.DUMMYFUNCTION("""COMPUTED_VALUE"""),120.73)</f>
        <v>120.73</v>
      </c>
      <c r="M28" s="15">
        <f ca="1">IFERROR(__xludf.DUMMYFUNCTION("""COMPUTED_VALUE"""),122)</f>
        <v>122</v>
      </c>
      <c r="N28" s="15">
        <f ca="1">IFERROR(__xludf.DUMMYFUNCTION("""COMPUTED_VALUE"""),117.65)</f>
        <v>117.65</v>
      </c>
      <c r="O28" s="15">
        <f ca="1">IFERROR(__xludf.DUMMYFUNCTION("""COMPUTED_VALUE"""),119.18)</f>
        <v>119.18</v>
      </c>
      <c r="P28" s="15">
        <f ca="1">IFERROR(__xludf.DUMMYFUNCTION("""COMPUTED_VALUE"""),2670)</f>
        <v>2670</v>
      </c>
      <c r="Q28" s="15">
        <f t="shared" si="5"/>
        <v>-16</v>
      </c>
      <c r="R28" s="15">
        <f t="shared" si="6"/>
        <v>1920</v>
      </c>
      <c r="S28" s="16">
        <f t="shared" si="7"/>
        <v>43977</v>
      </c>
      <c r="T28" s="29"/>
      <c r="U28" s="18"/>
      <c r="V28" s="18"/>
      <c r="W28" s="18"/>
    </row>
    <row r="29" spans="1:23" ht="15.75">
      <c r="A29" s="19">
        <v>43987</v>
      </c>
      <c r="B29" s="20" t="s">
        <v>44</v>
      </c>
      <c r="C29" s="20" t="s">
        <v>0</v>
      </c>
      <c r="D29" s="21">
        <v>5</v>
      </c>
      <c r="E29" s="22">
        <v>2395</v>
      </c>
      <c r="F29" s="22">
        <f t="shared" ca="1" si="0"/>
        <v>2373.8125</v>
      </c>
      <c r="G29" s="22">
        <f t="shared" ca="1" si="1"/>
        <v>2522.70075</v>
      </c>
      <c r="H29" s="20" t="str">
        <f t="shared" ca="1" si="2"/>
        <v>Valid</v>
      </c>
      <c r="I29" s="21">
        <f t="shared" si="3"/>
        <v>11975</v>
      </c>
      <c r="J29" s="23">
        <f t="shared" ca="1" si="4"/>
        <v>50427.08</v>
      </c>
      <c r="K29" s="14">
        <f ca="1">IFERROR(__xludf.DUMMYFUNCTION("iferror(index(GOOGLEFINANCE(B30,""all"",A30-10,A30+3),MATCH(A30+0.6458333333,index(GOOGLEFINANCE(B30,""all"",A30-10,A30+3),,1)),),"""")"),43987.6458333333)</f>
        <v>43987.645833333299</v>
      </c>
      <c r="L29" s="15">
        <f ca="1">IFERROR(__xludf.DUMMYFUNCTION("""COMPUTED_VALUE"""),2459.9)</f>
        <v>2459.9</v>
      </c>
      <c r="M29" s="15">
        <f ca="1">IFERROR(__xludf.DUMMYFUNCTION("""COMPUTED_VALUE"""),2510.15)</f>
        <v>2510.15</v>
      </c>
      <c r="N29" s="15">
        <f ca="1">IFERROR(__xludf.DUMMYFUNCTION("""COMPUTED_VALUE"""),2375)</f>
        <v>2375</v>
      </c>
      <c r="O29" s="15">
        <f ca="1">IFERROR(__xludf.DUMMYFUNCTION("""COMPUTED_VALUE"""),2394.55)</f>
        <v>2394.5500000000002</v>
      </c>
      <c r="P29" s="15">
        <f ca="1">IFERROR(__xludf.DUMMYFUNCTION("""COMPUTED_VALUE"""),209490)</f>
        <v>209490</v>
      </c>
      <c r="Q29" s="15">
        <f t="shared" si="5"/>
        <v>5</v>
      </c>
      <c r="R29" s="15">
        <f t="shared" si="6"/>
        <v>-11975</v>
      </c>
      <c r="S29" s="16">
        <f t="shared" si="7"/>
        <v>43987</v>
      </c>
      <c r="T29" s="29"/>
      <c r="U29" s="18"/>
      <c r="V29" s="18"/>
      <c r="W29" s="18"/>
    </row>
    <row r="30" spans="1:23" ht="15.75">
      <c r="A30" s="24">
        <v>43990</v>
      </c>
      <c r="B30" s="25" t="s">
        <v>43</v>
      </c>
      <c r="C30" s="25" t="s">
        <v>1</v>
      </c>
      <c r="D30" s="26">
        <v>10.5</v>
      </c>
      <c r="E30" s="27">
        <f>2067/5*2</f>
        <v>826.8</v>
      </c>
      <c r="F30" s="27">
        <f t="shared" ca="1" si="0"/>
        <v>821.98879999999997</v>
      </c>
      <c r="G30" s="27">
        <f t="shared" ca="1" si="1"/>
        <v>870.63149999999985</v>
      </c>
      <c r="H30" s="25" t="str">
        <f t="shared" ca="1" si="2"/>
        <v>Valid</v>
      </c>
      <c r="I30" s="26">
        <f t="shared" si="3"/>
        <v>8681.4</v>
      </c>
      <c r="J30" s="28">
        <f t="shared" ca="1" si="4"/>
        <v>59108.480000000003</v>
      </c>
      <c r="K30" s="14">
        <f ca="1">IFERROR(__xludf.DUMMYFUNCTION("iferror(index(GOOGLEFINANCE(B31,""all"",A31-10,A31+3),MATCH(A31+0.6458333333,index(GOOGLEFINANCE(B31,""all"",A31-10,A31+3),,1)),),"""")"),43990.6458333333)</f>
        <v>43990.645833333299</v>
      </c>
      <c r="L30" s="15">
        <f ca="1">IFERROR(__xludf.DUMMYFUNCTION("""COMPUTED_VALUE"""),859.6)</f>
        <v>859.6</v>
      </c>
      <c r="M30" s="15">
        <f ca="1">IFERROR(__xludf.DUMMYFUNCTION("""COMPUTED_VALUE"""),866.3)</f>
        <v>866.3</v>
      </c>
      <c r="N30" s="15">
        <f ca="1">IFERROR(__xludf.DUMMYFUNCTION("""COMPUTED_VALUE"""),822.4)</f>
        <v>822.4</v>
      </c>
      <c r="O30" s="15">
        <f ca="1">IFERROR(__xludf.DUMMYFUNCTION("""COMPUTED_VALUE"""),845.34)</f>
        <v>845.34</v>
      </c>
      <c r="P30" s="15">
        <f ca="1">IFERROR(__xludf.DUMMYFUNCTION("""COMPUTED_VALUE"""),60851)</f>
        <v>60851</v>
      </c>
      <c r="Q30" s="15">
        <f t="shared" si="5"/>
        <v>-10.5</v>
      </c>
      <c r="R30" s="15">
        <f t="shared" si="6"/>
        <v>8681.4</v>
      </c>
      <c r="S30" s="16">
        <f t="shared" si="7"/>
        <v>43990</v>
      </c>
      <c r="T30" s="29"/>
      <c r="U30" s="18"/>
      <c r="V30" s="18"/>
      <c r="W30" s="18"/>
    </row>
    <row r="31" spans="1:23" ht="15.75">
      <c r="A31" s="19">
        <v>44011</v>
      </c>
      <c r="B31" s="20" t="s">
        <v>45</v>
      </c>
      <c r="C31" s="20" t="s">
        <v>0</v>
      </c>
      <c r="D31" s="21">
        <v>8</v>
      </c>
      <c r="E31" s="22">
        <v>894</v>
      </c>
      <c r="F31" s="22">
        <f t="shared" ca="1" si="0"/>
        <v>887.00627500000007</v>
      </c>
      <c r="G31" s="22">
        <f t="shared" ca="1" si="1"/>
        <v>924.59999999999991</v>
      </c>
      <c r="H31" s="20" t="str">
        <f t="shared" ca="1" si="2"/>
        <v>Valid</v>
      </c>
      <c r="I31" s="21">
        <f t="shared" si="3"/>
        <v>7152</v>
      </c>
      <c r="J31" s="23">
        <f t="shared" ca="1" si="4"/>
        <v>51956.480000000003</v>
      </c>
      <c r="K31" s="14">
        <f ca="1">IFERROR(__xludf.DUMMYFUNCTION("iferror(index(GOOGLEFINANCE(B32,""all"",A32-10,A32+3),MATCH(A32+0.6458333333,index(GOOGLEFINANCE(B32,""all"",A32-10,A32+3),,1)),),"""")"),44011.6458333333)</f>
        <v>44011.645833333299</v>
      </c>
      <c r="L31" s="15">
        <f ca="1">IFERROR(__xludf.DUMMYFUNCTION("""COMPUTED_VALUE"""),902)</f>
        <v>902</v>
      </c>
      <c r="M31" s="15">
        <f ca="1">IFERROR(__xludf.DUMMYFUNCTION("""COMPUTED_VALUE"""),920)</f>
        <v>920</v>
      </c>
      <c r="N31" s="15">
        <f ca="1">IFERROR(__xludf.DUMMYFUNCTION("""COMPUTED_VALUE"""),887.45)</f>
        <v>887.45</v>
      </c>
      <c r="O31" s="15">
        <f ca="1">IFERROR(__xludf.DUMMYFUNCTION("""COMPUTED_VALUE"""),906.45)</f>
        <v>906.45</v>
      </c>
      <c r="P31" s="15">
        <f ca="1">IFERROR(__xludf.DUMMYFUNCTION("""COMPUTED_VALUE"""),193703)</f>
        <v>193703</v>
      </c>
      <c r="Q31" s="15">
        <f t="shared" si="5"/>
        <v>8</v>
      </c>
      <c r="R31" s="15">
        <f t="shared" si="6"/>
        <v>-7152</v>
      </c>
      <c r="S31" s="16">
        <f t="shared" si="7"/>
        <v>44011</v>
      </c>
      <c r="T31" s="29"/>
      <c r="U31" s="18"/>
      <c r="V31" s="18"/>
      <c r="W31" s="18"/>
    </row>
    <row r="32" spans="1:23" ht="15.75">
      <c r="A32" s="19">
        <v>44032</v>
      </c>
      <c r="B32" s="20" t="s">
        <v>46</v>
      </c>
      <c r="C32" s="20" t="s">
        <v>0</v>
      </c>
      <c r="D32" s="21">
        <v>7</v>
      </c>
      <c r="E32" s="22">
        <v>1300</v>
      </c>
      <c r="F32" s="22">
        <f t="shared" ca="1" si="0"/>
        <v>1292.3535000000002</v>
      </c>
      <c r="G32" s="22">
        <f t="shared" ca="1" si="1"/>
        <v>1334.6399999999999</v>
      </c>
      <c r="H32" s="20" t="str">
        <f t="shared" ca="1" si="2"/>
        <v>Valid</v>
      </c>
      <c r="I32" s="21">
        <f t="shared" si="3"/>
        <v>9100</v>
      </c>
      <c r="J32" s="23">
        <f t="shared" ca="1" si="4"/>
        <v>42856.480000000003</v>
      </c>
      <c r="K32" s="14">
        <f ca="1">IFERROR(__xludf.DUMMYFUNCTION("iferror(index(GOOGLEFINANCE(B33,""all"",A33-10,A33+3),MATCH(A33+0.6458333333,index(GOOGLEFINANCE(B33,""all"",A33-10,A33+3),,1)),),"""")"),44032.6458333333)</f>
        <v>44032.645833333299</v>
      </c>
      <c r="L32" s="15">
        <f ca="1">IFERROR(__xludf.DUMMYFUNCTION("""COMPUTED_VALUE"""),1305)</f>
        <v>1305</v>
      </c>
      <c r="M32" s="15">
        <f ca="1">IFERROR(__xludf.DUMMYFUNCTION("""COMPUTED_VALUE"""),1328)</f>
        <v>1328</v>
      </c>
      <c r="N32" s="15">
        <f ca="1">IFERROR(__xludf.DUMMYFUNCTION("""COMPUTED_VALUE"""),1293)</f>
        <v>1293</v>
      </c>
      <c r="O32" s="15">
        <f ca="1">IFERROR(__xludf.DUMMYFUNCTION("""COMPUTED_VALUE"""),1321.4)</f>
        <v>1321.4</v>
      </c>
      <c r="P32" s="15">
        <f ca="1">IFERROR(__xludf.DUMMYFUNCTION("""COMPUTED_VALUE"""),688425)</f>
        <v>688425</v>
      </c>
      <c r="Q32" s="15">
        <f t="shared" si="5"/>
        <v>7</v>
      </c>
      <c r="R32" s="15">
        <f t="shared" si="6"/>
        <v>-9100</v>
      </c>
      <c r="S32" s="16">
        <f t="shared" si="7"/>
        <v>44032</v>
      </c>
      <c r="T32" s="29"/>
      <c r="U32" s="18"/>
      <c r="V32" s="18"/>
      <c r="W32" s="18"/>
    </row>
    <row r="33" spans="1:23" ht="15.75">
      <c r="A33" s="19">
        <v>44053</v>
      </c>
      <c r="B33" s="20" t="s">
        <v>21</v>
      </c>
      <c r="C33" s="20" t="s">
        <v>0</v>
      </c>
      <c r="D33" s="21">
        <v>0.8</v>
      </c>
      <c r="E33" s="22">
        <v>17200</v>
      </c>
      <c r="F33" s="22">
        <f t="shared" ca="1" si="0"/>
        <v>16891.55</v>
      </c>
      <c r="G33" s="22">
        <f t="shared" ca="1" si="1"/>
        <v>17436.749999999996</v>
      </c>
      <c r="H33" s="20" t="str">
        <f t="shared" ca="1" si="2"/>
        <v>Valid</v>
      </c>
      <c r="I33" s="21">
        <f t="shared" si="3"/>
        <v>13760</v>
      </c>
      <c r="J33" s="23">
        <f t="shared" ca="1" si="4"/>
        <v>29096.48</v>
      </c>
      <c r="K33" s="14">
        <f ca="1">IFERROR(__xludf.DUMMYFUNCTION("iferror(index(GOOGLEFINANCE(B34,""all"",A34-10,A34+3),MATCH(A34+0.6458333333,index(GOOGLEFINANCE(B34,""all"",A34-10,A34+3),,1)),),"""")"),44053.6458333333)</f>
        <v>44053.645833333299</v>
      </c>
      <c r="L33" s="15">
        <f ca="1">IFERROR(__xludf.DUMMYFUNCTION("""COMPUTED_VALUE"""),17198)</f>
        <v>17198</v>
      </c>
      <c r="M33" s="15">
        <f ca="1">IFERROR(__xludf.DUMMYFUNCTION("""COMPUTED_VALUE"""),17350)</f>
        <v>17350</v>
      </c>
      <c r="N33" s="15">
        <f ca="1">IFERROR(__xludf.DUMMYFUNCTION("""COMPUTED_VALUE"""),16900)</f>
        <v>16900</v>
      </c>
      <c r="O33" s="15">
        <f ca="1">IFERROR(__xludf.DUMMYFUNCTION("""COMPUTED_VALUE"""),16973.3)</f>
        <v>16973.3</v>
      </c>
      <c r="P33" s="15">
        <f ca="1">IFERROR(__xludf.DUMMYFUNCTION("""COMPUTED_VALUE"""),52762)</f>
        <v>52762</v>
      </c>
      <c r="Q33" s="15">
        <f t="shared" si="5"/>
        <v>0.8</v>
      </c>
      <c r="R33" s="15">
        <f t="shared" si="6"/>
        <v>-13760</v>
      </c>
      <c r="S33" s="16">
        <f t="shared" si="7"/>
        <v>44053</v>
      </c>
      <c r="T33" s="29"/>
      <c r="U33" s="18"/>
      <c r="V33" s="18"/>
      <c r="W33" s="18"/>
    </row>
    <row r="34" spans="1:23" ht="15.75">
      <c r="A34" s="19">
        <v>44067</v>
      </c>
      <c r="B34" s="20" t="s">
        <v>47</v>
      </c>
      <c r="C34" s="20" t="s">
        <v>0</v>
      </c>
      <c r="D34" s="21">
        <v>7</v>
      </c>
      <c r="E34" s="22">
        <v>437</v>
      </c>
      <c r="F34" s="22">
        <f t="shared" ca="1" si="0"/>
        <v>420.98939999999999</v>
      </c>
      <c r="G34" s="22">
        <f t="shared" ca="1" si="1"/>
        <v>442.19999999999993</v>
      </c>
      <c r="H34" s="20" t="str">
        <f t="shared" ca="1" si="2"/>
        <v>Valid</v>
      </c>
      <c r="I34" s="21">
        <f t="shared" si="3"/>
        <v>3059</v>
      </c>
      <c r="J34" s="23">
        <f t="shared" ca="1" si="4"/>
        <v>26037.48</v>
      </c>
      <c r="K34" s="14">
        <f ca="1">IFERROR(__xludf.DUMMYFUNCTION("iferror(index(GOOGLEFINANCE(B35,""all"",A35-10,A35+3),MATCH(A35+0.6458333333,index(GOOGLEFINANCE(B35,""all"",A35-10,A35+3),,1)),),"""")"),44067.6458333333)</f>
        <v>44067.645833333299</v>
      </c>
      <c r="L34" s="15">
        <f ca="1">IFERROR(__xludf.DUMMYFUNCTION("""COMPUTED_VALUE"""),433.85)</f>
        <v>433.85</v>
      </c>
      <c r="M34" s="15">
        <f ca="1">IFERROR(__xludf.DUMMYFUNCTION("""COMPUTED_VALUE"""),440)</f>
        <v>440</v>
      </c>
      <c r="N34" s="15">
        <f ca="1">IFERROR(__xludf.DUMMYFUNCTION("""COMPUTED_VALUE"""),421.2)</f>
        <v>421.2</v>
      </c>
      <c r="O34" s="15">
        <f ca="1">IFERROR(__xludf.DUMMYFUNCTION("""COMPUTED_VALUE"""),425.9)</f>
        <v>425.9</v>
      </c>
      <c r="P34" s="15">
        <f ca="1">IFERROR(__xludf.DUMMYFUNCTION("""COMPUTED_VALUE"""),150264)</f>
        <v>150264</v>
      </c>
      <c r="Q34" s="15">
        <f t="shared" si="5"/>
        <v>7</v>
      </c>
      <c r="R34" s="15">
        <f t="shared" si="6"/>
        <v>-3059</v>
      </c>
      <c r="S34" s="16">
        <f t="shared" si="7"/>
        <v>44067</v>
      </c>
      <c r="T34" s="29"/>
      <c r="U34" s="18"/>
      <c r="V34" s="18"/>
      <c r="W34" s="18"/>
    </row>
    <row r="35" spans="1:23" ht="15.75">
      <c r="A35" s="19">
        <v>44147</v>
      </c>
      <c r="B35" s="20" t="s">
        <v>48</v>
      </c>
      <c r="C35" s="20" t="s">
        <v>0</v>
      </c>
      <c r="D35" s="21">
        <v>4.5999999999999996</v>
      </c>
      <c r="E35" s="22">
        <v>1860</v>
      </c>
      <c r="F35" s="22">
        <f t="shared" ca="1" si="0"/>
        <v>1834.0825000000002</v>
      </c>
      <c r="G35" s="22">
        <f t="shared" ca="1" si="1"/>
        <v>1877.7922499999997</v>
      </c>
      <c r="H35" s="20" t="str">
        <f t="shared" ca="1" si="2"/>
        <v>Valid</v>
      </c>
      <c r="I35" s="21">
        <f t="shared" si="3"/>
        <v>8556</v>
      </c>
      <c r="J35" s="23">
        <f t="shared" ref="J35:J66" ca="1" si="8">IF(A35="","",ROUND(
IF(ROW(A35)-ROW($A$1)=1,I_ST_CASH,OFFSET(J35,-1,0))
+(IF(C35="Buy",-1,IF(C35="Sell",1,0))*I35)
+(IF(C35="Cash Deposit",1,IF(C35="Cash Withdrawal",-1,0))*I35)
+(IF(C35="Cash Dividend",1,IF(C35="Fees",-1,0))*I35),2))</f>
        <v>17481.48</v>
      </c>
      <c r="K35" s="14">
        <f ca="1">IFERROR(__xludf.DUMMYFUNCTION("iferror(index(GOOGLEFINANCE(B36,""all"",A36-10,A36+3),MATCH(A36+0.6458333333,index(GOOGLEFINANCE(B36,""all"",A36-10,A36+3),,1)),),"""")"),44147.6458333333)</f>
        <v>44147.645833333299</v>
      </c>
      <c r="L35" s="15">
        <f ca="1">IFERROR(__xludf.DUMMYFUNCTION("""COMPUTED_VALUE"""),1856.05)</f>
        <v>1856.05</v>
      </c>
      <c r="M35" s="15">
        <f ca="1">IFERROR(__xludf.DUMMYFUNCTION("""COMPUTED_VALUE"""),1868.45)</f>
        <v>1868.45</v>
      </c>
      <c r="N35" s="15">
        <f ca="1">IFERROR(__xludf.DUMMYFUNCTION("""COMPUTED_VALUE"""),1835)</f>
        <v>1835</v>
      </c>
      <c r="O35" s="15">
        <f ca="1">IFERROR(__xludf.DUMMYFUNCTION("""COMPUTED_VALUE"""),1850.95)</f>
        <v>1850.95</v>
      </c>
      <c r="P35" s="15">
        <f ca="1">IFERROR(__xludf.DUMMYFUNCTION("""COMPUTED_VALUE"""),117084)</f>
        <v>117084</v>
      </c>
      <c r="Q35" s="15">
        <f t="shared" si="5"/>
        <v>4.5999999999999996</v>
      </c>
      <c r="R35" s="15">
        <f t="shared" si="6"/>
        <v>-8556</v>
      </c>
      <c r="S35" s="16">
        <f t="shared" si="7"/>
        <v>44147</v>
      </c>
      <c r="T35" s="29"/>
      <c r="U35" s="18"/>
      <c r="V35" s="18"/>
      <c r="W35" s="18"/>
    </row>
    <row r="36" spans="1:23" ht="15.75">
      <c r="A36" s="19">
        <v>44183</v>
      </c>
      <c r="B36" s="20" t="s">
        <v>49</v>
      </c>
      <c r="C36" s="20" t="s">
        <v>0</v>
      </c>
      <c r="D36" s="21">
        <v>3.8</v>
      </c>
      <c r="E36" s="22">
        <v>1600</v>
      </c>
      <c r="F36" s="22">
        <f t="shared" ca="1" si="0"/>
        <v>1589.2050000000002</v>
      </c>
      <c r="G36" s="22">
        <f t="shared" ca="1" si="1"/>
        <v>1643.1749999999997</v>
      </c>
      <c r="H36" s="20" t="str">
        <f t="shared" ca="1" si="2"/>
        <v>Valid</v>
      </c>
      <c r="I36" s="21">
        <f t="shared" si="3"/>
        <v>6080</v>
      </c>
      <c r="J36" s="23">
        <f t="shared" ca="1" si="8"/>
        <v>11401.48</v>
      </c>
      <c r="K36" s="14">
        <f ca="1">IFERROR(__xludf.DUMMYFUNCTION("iferror(index(GOOGLEFINANCE(B37,""all"",A37-10,A37+3),MATCH(A37+0.6458333333,index(GOOGLEFINANCE(B37,""all"",A37-10,A37+3),,1)),),"""")"),44183.6458333333)</f>
        <v>44183.645833333299</v>
      </c>
      <c r="L36" s="15">
        <f ca="1">IFERROR(__xludf.DUMMYFUNCTION("""COMPUTED_VALUE"""),1600)</f>
        <v>1600</v>
      </c>
      <c r="M36" s="15">
        <f ca="1">IFERROR(__xludf.DUMMYFUNCTION("""COMPUTED_VALUE"""),1635)</f>
        <v>1635</v>
      </c>
      <c r="N36" s="15">
        <f ca="1">IFERROR(__xludf.DUMMYFUNCTION("""COMPUTED_VALUE"""),1590)</f>
        <v>1590</v>
      </c>
      <c r="O36" s="15">
        <f ca="1">IFERROR(__xludf.DUMMYFUNCTION("""COMPUTED_VALUE"""),1621.35)</f>
        <v>1621.35</v>
      </c>
      <c r="P36" s="15">
        <f ca="1">IFERROR(__xludf.DUMMYFUNCTION("""COMPUTED_VALUE"""),44092)</f>
        <v>44092</v>
      </c>
      <c r="Q36" s="15">
        <f t="shared" si="5"/>
        <v>3.8</v>
      </c>
      <c r="R36" s="15">
        <f t="shared" si="6"/>
        <v>-6080</v>
      </c>
      <c r="S36" s="16">
        <f t="shared" si="7"/>
        <v>44183</v>
      </c>
      <c r="T36" s="29"/>
      <c r="U36" s="18"/>
      <c r="V36" s="18"/>
      <c r="W36" s="18"/>
    </row>
    <row r="37" spans="1:23" ht="15.75">
      <c r="A37" s="24">
        <v>44187</v>
      </c>
      <c r="B37" s="25" t="s">
        <v>23</v>
      </c>
      <c r="C37" s="25" t="s">
        <v>1</v>
      </c>
      <c r="D37" s="26">
        <v>2</v>
      </c>
      <c r="E37" s="27">
        <v>6100</v>
      </c>
      <c r="F37" s="27">
        <f t="shared" ca="1" si="0"/>
        <v>6040.3283250000004</v>
      </c>
      <c r="G37" s="27">
        <f t="shared" ca="1" si="1"/>
        <v>6265.0694999999987</v>
      </c>
      <c r="H37" s="25" t="str">
        <f t="shared" ca="1" si="2"/>
        <v>Valid</v>
      </c>
      <c r="I37" s="26">
        <f t="shared" si="3"/>
        <v>12200</v>
      </c>
      <c r="J37" s="28">
        <f t="shared" ca="1" si="8"/>
        <v>23601.48</v>
      </c>
      <c r="K37" s="14">
        <f ca="1">IFERROR(__xludf.DUMMYFUNCTION("iferror(index(GOOGLEFINANCE(B38,""all"",A38-10,A38+3),MATCH(A38+0.6458333333,index(GOOGLEFINANCE(B38,""all"",A38-10,A38+3),,1)),),"""")"),44187.6458333333)</f>
        <v>44187.645833333299</v>
      </c>
      <c r="L37" s="15">
        <f ca="1">IFERROR(__xludf.DUMMYFUNCTION("""COMPUTED_VALUE"""),6050)</f>
        <v>6050</v>
      </c>
      <c r="M37" s="15">
        <f ca="1">IFERROR(__xludf.DUMMYFUNCTION("""COMPUTED_VALUE"""),6233.9)</f>
        <v>6233.9</v>
      </c>
      <c r="N37" s="15">
        <f ca="1">IFERROR(__xludf.DUMMYFUNCTION("""COMPUTED_VALUE"""),6043.35)</f>
        <v>6043.35</v>
      </c>
      <c r="O37" s="15">
        <f ca="1">IFERROR(__xludf.DUMMYFUNCTION("""COMPUTED_VALUE"""),6191.3)</f>
        <v>6191.3</v>
      </c>
      <c r="P37" s="15">
        <f ca="1">IFERROR(__xludf.DUMMYFUNCTION("""COMPUTED_VALUE"""),34392)</f>
        <v>34392</v>
      </c>
      <c r="Q37" s="15">
        <f t="shared" si="5"/>
        <v>-2</v>
      </c>
      <c r="R37" s="15">
        <f t="shared" si="6"/>
        <v>12200</v>
      </c>
      <c r="S37" s="16">
        <f t="shared" si="7"/>
        <v>44187</v>
      </c>
      <c r="T37" s="29"/>
      <c r="U37" s="18"/>
      <c r="V37" s="18"/>
      <c r="W37" s="18"/>
    </row>
    <row r="38" spans="1:23" ht="15.75">
      <c r="A38" s="24">
        <v>44187</v>
      </c>
      <c r="B38" s="25" t="s">
        <v>30</v>
      </c>
      <c r="C38" s="25" t="s">
        <v>1</v>
      </c>
      <c r="D38" s="26">
        <v>36.5</v>
      </c>
      <c r="E38" s="27">
        <f>2115/5</f>
        <v>423</v>
      </c>
      <c r="F38" s="27">
        <f t="shared" ca="1" si="0"/>
        <v>404.26776500000005</v>
      </c>
      <c r="G38" s="27">
        <f t="shared" ca="1" si="1"/>
        <v>429.13499999999993</v>
      </c>
      <c r="H38" s="25" t="str">
        <f t="shared" ca="1" si="2"/>
        <v>Valid</v>
      </c>
      <c r="I38" s="26">
        <f t="shared" si="3"/>
        <v>15439.5</v>
      </c>
      <c r="J38" s="28">
        <f t="shared" ca="1" si="8"/>
        <v>39040.980000000003</v>
      </c>
      <c r="K38" s="14">
        <f ca="1">IFERROR(__xludf.DUMMYFUNCTION("iferror(index(GOOGLEFINANCE(B39,""all"",A39-10,A39+3),MATCH(A39+0.6458333333,index(GOOGLEFINANCE(B39,""all"",A39-10,A39+3),,1)),),"""")"),44187.6458333333)</f>
        <v>44187.645833333299</v>
      </c>
      <c r="L38" s="15">
        <f ca="1">IFERROR(__xludf.DUMMYFUNCTION("""COMPUTED_VALUE"""),420.84)</f>
        <v>420.84</v>
      </c>
      <c r="M38" s="15">
        <f ca="1">IFERROR(__xludf.DUMMYFUNCTION("""COMPUTED_VALUE"""),427)</f>
        <v>427</v>
      </c>
      <c r="N38" s="15">
        <f ca="1">IFERROR(__xludf.DUMMYFUNCTION("""COMPUTED_VALUE"""),404.47)</f>
        <v>404.47</v>
      </c>
      <c r="O38" s="15">
        <f ca="1">IFERROR(__xludf.DUMMYFUNCTION("""COMPUTED_VALUE"""),421.5)</f>
        <v>421.5</v>
      </c>
      <c r="P38" s="15">
        <f ca="1">IFERROR(__xludf.DUMMYFUNCTION("""COMPUTED_VALUE"""),56937)</f>
        <v>56937</v>
      </c>
      <c r="Q38" s="15">
        <f t="shared" si="5"/>
        <v>-36.5</v>
      </c>
      <c r="R38" s="15">
        <f t="shared" si="6"/>
        <v>15439.5</v>
      </c>
      <c r="S38" s="16">
        <f t="shared" si="7"/>
        <v>44187</v>
      </c>
      <c r="T38" s="29"/>
      <c r="U38" s="18"/>
      <c r="V38" s="18"/>
      <c r="W38" s="18"/>
    </row>
    <row r="39" spans="1:23" ht="15.75">
      <c r="A39" s="19">
        <v>44229</v>
      </c>
      <c r="B39" s="20" t="s">
        <v>50</v>
      </c>
      <c r="C39" s="20" t="s">
        <v>0</v>
      </c>
      <c r="D39" s="21">
        <v>8.5</v>
      </c>
      <c r="E39" s="22">
        <v>844</v>
      </c>
      <c r="F39" s="22">
        <f t="shared" ca="1" si="0"/>
        <v>831.33412500000009</v>
      </c>
      <c r="G39" s="22">
        <f t="shared" ca="1" si="1"/>
        <v>856.25999999999988</v>
      </c>
      <c r="H39" s="20" t="str">
        <f t="shared" ca="1" si="2"/>
        <v>Valid</v>
      </c>
      <c r="I39" s="21">
        <f t="shared" si="3"/>
        <v>7174</v>
      </c>
      <c r="J39" s="23">
        <f t="shared" ca="1" si="8"/>
        <v>31866.98</v>
      </c>
      <c r="K39" s="14">
        <f ca="1">IFERROR(__xludf.DUMMYFUNCTION("iferror(index(GOOGLEFINANCE(B40,""all"",A40-10,A40+3),MATCH(A40+0.6458333333,index(GOOGLEFINANCE(B40,""all"",A40-10,A40+3),,1)),),"""")"),44229.6458333333)</f>
        <v>44229.645833333299</v>
      </c>
      <c r="L39" s="15">
        <f ca="1">IFERROR(__xludf.DUMMYFUNCTION("""COMPUTED_VALUE"""),840)</f>
        <v>840</v>
      </c>
      <c r="M39" s="15">
        <f ca="1">IFERROR(__xludf.DUMMYFUNCTION("""COMPUTED_VALUE"""),852)</f>
        <v>852</v>
      </c>
      <c r="N39" s="15">
        <f ca="1">IFERROR(__xludf.DUMMYFUNCTION("""COMPUTED_VALUE"""),831.75)</f>
        <v>831.75</v>
      </c>
      <c r="O39" s="15">
        <f ca="1">IFERROR(__xludf.DUMMYFUNCTION("""COMPUTED_VALUE"""),835.9)</f>
        <v>835.9</v>
      </c>
      <c r="P39" s="15">
        <f ca="1">IFERROR(__xludf.DUMMYFUNCTION("""COMPUTED_VALUE"""),183616)</f>
        <v>183616</v>
      </c>
      <c r="Q39" s="15">
        <f t="shared" si="5"/>
        <v>8.5</v>
      </c>
      <c r="R39" s="15">
        <f t="shared" si="6"/>
        <v>-7174</v>
      </c>
      <c r="S39" s="16">
        <f t="shared" si="7"/>
        <v>44229</v>
      </c>
      <c r="T39" s="29"/>
      <c r="U39" s="18"/>
      <c r="V39" s="18"/>
      <c r="W39" s="18"/>
    </row>
    <row r="40" spans="1:23" ht="15.75">
      <c r="A40" s="19">
        <v>44229</v>
      </c>
      <c r="B40" s="20" t="s">
        <v>51</v>
      </c>
      <c r="C40" s="20" t="s">
        <v>0</v>
      </c>
      <c r="D40" s="21">
        <v>6</v>
      </c>
      <c r="E40" s="22">
        <v>1845</v>
      </c>
      <c r="F40" s="22">
        <f t="shared" ca="1" si="0"/>
        <v>1799.149975</v>
      </c>
      <c r="G40" s="22">
        <f t="shared" ca="1" si="1"/>
        <v>1926.5849999999998</v>
      </c>
      <c r="H40" s="20" t="str">
        <f t="shared" ca="1" si="2"/>
        <v>Valid</v>
      </c>
      <c r="I40" s="21">
        <f t="shared" si="3"/>
        <v>11070</v>
      </c>
      <c r="J40" s="23">
        <f t="shared" ca="1" si="8"/>
        <v>20796.98</v>
      </c>
      <c r="K40" s="14">
        <f ca="1">IFERROR(__xludf.DUMMYFUNCTION("iferror(index(GOOGLEFINANCE(B41,""all"",A41-10,A41+3),MATCH(A41+0.6458333333,index(GOOGLEFINANCE(B41,""all"",A41-10,A41+3),,1)),),"""")"),44229.6458333333)</f>
        <v>44229.645833333299</v>
      </c>
      <c r="L40" s="15">
        <f ca="1">IFERROR(__xludf.DUMMYFUNCTION("""COMPUTED_VALUE"""),1820)</f>
        <v>1820</v>
      </c>
      <c r="M40" s="15">
        <f ca="1">IFERROR(__xludf.DUMMYFUNCTION("""COMPUTED_VALUE"""),1917)</f>
        <v>1917</v>
      </c>
      <c r="N40" s="15">
        <f ca="1">IFERROR(__xludf.DUMMYFUNCTION("""COMPUTED_VALUE"""),1800.05)</f>
        <v>1800.05</v>
      </c>
      <c r="O40" s="15">
        <f ca="1">IFERROR(__xludf.DUMMYFUNCTION("""COMPUTED_VALUE"""),1909.35)</f>
        <v>1909.35</v>
      </c>
      <c r="P40" s="15">
        <f ca="1">IFERROR(__xludf.DUMMYFUNCTION("""COMPUTED_VALUE"""),234478)</f>
        <v>234478</v>
      </c>
      <c r="Q40" s="15">
        <f t="shared" si="5"/>
        <v>6</v>
      </c>
      <c r="R40" s="15">
        <f t="shared" si="6"/>
        <v>-11070</v>
      </c>
      <c r="S40" s="16">
        <f t="shared" si="7"/>
        <v>44229</v>
      </c>
      <c r="T40" s="29"/>
      <c r="U40" s="18"/>
      <c r="V40" s="18"/>
      <c r="W40" s="18"/>
    </row>
    <row r="41" spans="1:23" ht="15.75">
      <c r="A41" s="19">
        <v>44235</v>
      </c>
      <c r="B41" s="20" t="s">
        <v>52</v>
      </c>
      <c r="C41" s="20" t="s">
        <v>0</v>
      </c>
      <c r="D41" s="21">
        <v>35</v>
      </c>
      <c r="E41" s="22">
        <f>934/5</f>
        <v>186.8</v>
      </c>
      <c r="F41" s="22">
        <f t="shared" ca="1" si="0"/>
        <v>185.91699500000001</v>
      </c>
      <c r="G41" s="22">
        <f t="shared" ca="1" si="1"/>
        <v>189.52289999999999</v>
      </c>
      <c r="H41" s="20" t="str">
        <f t="shared" ca="1" si="2"/>
        <v>Valid</v>
      </c>
      <c r="I41" s="21">
        <f t="shared" si="3"/>
        <v>6538</v>
      </c>
      <c r="J41" s="23">
        <f t="shared" ca="1" si="8"/>
        <v>14258.98</v>
      </c>
      <c r="K41" s="14">
        <f ca="1">IFERROR(__xludf.DUMMYFUNCTION("iferror(index(GOOGLEFINANCE(B42,""all"",A42-10,A42+3),MATCH(A42+0.6458333333,index(GOOGLEFINANCE(B42,""all"",A42-10,A42+3),,1)),),"""")"),44235.6458333333)</f>
        <v>44235.645833333299</v>
      </c>
      <c r="L41" s="15">
        <f ca="1">IFERROR(__xludf.DUMMYFUNCTION("""COMPUTED_VALUE"""),186.19)</f>
        <v>186.19</v>
      </c>
      <c r="M41" s="15">
        <f ca="1">IFERROR(__xludf.DUMMYFUNCTION("""COMPUTED_VALUE"""),188.58)</f>
        <v>188.58</v>
      </c>
      <c r="N41" s="15">
        <f ca="1">IFERROR(__xludf.DUMMYFUNCTION("""COMPUTED_VALUE"""),186.01)</f>
        <v>186.01</v>
      </c>
      <c r="O41" s="15">
        <f ca="1">IFERROR(__xludf.DUMMYFUNCTION("""COMPUTED_VALUE"""),186.44)</f>
        <v>186.44</v>
      </c>
      <c r="P41" s="15">
        <f ca="1">IFERROR(__xludf.DUMMYFUNCTION("""COMPUTED_VALUE"""),37165)</f>
        <v>37165</v>
      </c>
      <c r="Q41" s="15">
        <f t="shared" si="5"/>
        <v>35</v>
      </c>
      <c r="R41" s="15">
        <f t="shared" si="6"/>
        <v>-6538</v>
      </c>
      <c r="S41" s="16">
        <f t="shared" si="7"/>
        <v>44235</v>
      </c>
      <c r="T41" s="29"/>
      <c r="U41" s="18"/>
      <c r="V41" s="18"/>
      <c r="W41" s="18"/>
    </row>
    <row r="42" spans="1:23" ht="15.75">
      <c r="A42" s="19">
        <v>44235</v>
      </c>
      <c r="B42" s="20" t="s">
        <v>53</v>
      </c>
      <c r="C42" s="20" t="s">
        <v>0</v>
      </c>
      <c r="D42" s="21">
        <v>1.06</v>
      </c>
      <c r="E42" s="22">
        <v>12410</v>
      </c>
      <c r="F42" s="22">
        <f t="shared" ca="1" si="0"/>
        <v>12349.472175000001</v>
      </c>
      <c r="G42" s="22">
        <f t="shared" ca="1" si="1"/>
        <v>12862.994999999999</v>
      </c>
      <c r="H42" s="20" t="str">
        <f t="shared" ca="1" si="2"/>
        <v>Valid</v>
      </c>
      <c r="I42" s="21">
        <f t="shared" si="3"/>
        <v>13154.6</v>
      </c>
      <c r="J42" s="23">
        <f t="shared" ca="1" si="8"/>
        <v>1104.3800000000001</v>
      </c>
      <c r="K42" s="14">
        <f ca="1">IFERROR(__xludf.DUMMYFUNCTION("iferror(index(GOOGLEFINANCE(B43,""all"",A43-10,A43+3),MATCH(A43+0.6458333333,index(GOOGLEFINANCE(B43,""all"",A43-10,A43+3),,1)),),"""")"),44235.6458333333)</f>
        <v>44235.645833333299</v>
      </c>
      <c r="L42" s="15">
        <f ca="1">IFERROR(__xludf.DUMMYFUNCTION("""COMPUTED_VALUE"""),12356.65)</f>
        <v>12356.65</v>
      </c>
      <c r="M42" s="15">
        <f ca="1">IFERROR(__xludf.DUMMYFUNCTION("""COMPUTED_VALUE"""),12799)</f>
        <v>12799</v>
      </c>
      <c r="N42" s="15">
        <f ca="1">IFERROR(__xludf.DUMMYFUNCTION("""COMPUTED_VALUE"""),12355.65)</f>
        <v>12355.65</v>
      </c>
      <c r="O42" s="15">
        <f ca="1">IFERROR(__xludf.DUMMYFUNCTION("""COMPUTED_VALUE"""),12708.8)</f>
        <v>12708.8</v>
      </c>
      <c r="P42" s="15">
        <f ca="1">IFERROR(__xludf.DUMMYFUNCTION("""COMPUTED_VALUE"""),15820)</f>
        <v>15820</v>
      </c>
      <c r="Q42" s="15">
        <f t="shared" si="5"/>
        <v>1.06</v>
      </c>
      <c r="R42" s="15">
        <f t="shared" si="6"/>
        <v>-13154.6</v>
      </c>
      <c r="S42" s="16">
        <f t="shared" si="7"/>
        <v>44235</v>
      </c>
      <c r="T42" s="29"/>
      <c r="U42" s="18"/>
      <c r="V42" s="18"/>
      <c r="W42" s="18"/>
    </row>
    <row r="43" spans="1:23" ht="15.75">
      <c r="A43" s="24">
        <v>44405</v>
      </c>
      <c r="B43" s="25" t="s">
        <v>25</v>
      </c>
      <c r="C43" s="25" t="s">
        <v>1</v>
      </c>
      <c r="D43" s="26">
        <v>2.8</v>
      </c>
      <c r="E43" s="27">
        <v>3430</v>
      </c>
      <c r="F43" s="27">
        <f t="shared" ca="1" si="0"/>
        <v>3413.2925</v>
      </c>
      <c r="G43" s="27">
        <f t="shared" ca="1" si="1"/>
        <v>3597.8999999999996</v>
      </c>
      <c r="H43" s="25" t="str">
        <f t="shared" ca="1" si="2"/>
        <v>Valid</v>
      </c>
      <c r="I43" s="26">
        <f t="shared" si="3"/>
        <v>9604</v>
      </c>
      <c r="J43" s="28">
        <f t="shared" ca="1" si="8"/>
        <v>10708.38</v>
      </c>
      <c r="K43" s="14">
        <f ca="1">IFERROR(__xludf.DUMMYFUNCTION("iferror(index(GOOGLEFINANCE(B44,""all"",A44-10,A44+3),MATCH(A44+0.6458333333,index(GOOGLEFINANCE(B44,""all"",A44-10,A44+3),,1)),),"""")"),44405.6458333333)</f>
        <v>44405.645833333299</v>
      </c>
      <c r="L43" s="15">
        <f ca="1">IFERROR(__xludf.DUMMYFUNCTION("""COMPUTED_VALUE"""),3460.05)</f>
        <v>3460.05</v>
      </c>
      <c r="M43" s="15">
        <f ca="1">IFERROR(__xludf.DUMMYFUNCTION("""COMPUTED_VALUE"""),3580)</f>
        <v>3580</v>
      </c>
      <c r="N43" s="15">
        <f ca="1">IFERROR(__xludf.DUMMYFUNCTION("""COMPUTED_VALUE"""),3415)</f>
        <v>3415</v>
      </c>
      <c r="O43" s="15">
        <f ca="1">IFERROR(__xludf.DUMMYFUNCTION("""COMPUTED_VALUE"""),3517.75)</f>
        <v>3517.75</v>
      </c>
      <c r="P43" s="15">
        <f ca="1">IFERROR(__xludf.DUMMYFUNCTION("""COMPUTED_VALUE"""),20971)</f>
        <v>20971</v>
      </c>
      <c r="Q43" s="15">
        <f t="shared" si="5"/>
        <v>-2.8</v>
      </c>
      <c r="R43" s="15">
        <f t="shared" si="6"/>
        <v>9604</v>
      </c>
      <c r="S43" s="16">
        <f t="shared" si="7"/>
        <v>44405</v>
      </c>
      <c r="T43" s="29"/>
      <c r="U43" s="18"/>
      <c r="V43" s="18"/>
      <c r="W43" s="18"/>
    </row>
    <row r="44" spans="1:23" ht="15.75">
      <c r="A44" s="19">
        <v>44406</v>
      </c>
      <c r="B44" s="20" t="s">
        <v>54</v>
      </c>
      <c r="C44" s="20" t="s">
        <v>0</v>
      </c>
      <c r="D44" s="21">
        <v>22.5</v>
      </c>
      <c r="E44" s="22">
        <v>405.5</v>
      </c>
      <c r="F44" s="22">
        <f t="shared" ca="1" si="0"/>
        <v>397.2013</v>
      </c>
      <c r="G44" s="22">
        <f t="shared" ca="1" si="1"/>
        <v>414.56249999999994</v>
      </c>
      <c r="H44" s="20" t="str">
        <f t="shared" ca="1" si="2"/>
        <v>Valid</v>
      </c>
      <c r="I44" s="21">
        <f t="shared" si="3"/>
        <v>9123.75</v>
      </c>
      <c r="J44" s="23">
        <f t="shared" ca="1" si="8"/>
        <v>1584.63</v>
      </c>
      <c r="K44" s="14">
        <f ca="1">IFERROR(__xludf.DUMMYFUNCTION("iferror(index(GOOGLEFINANCE(B45,""all"",A45-10,A45+3),MATCH(A45+0.6458333333,index(GOOGLEFINANCE(B45,""all"",A45-10,A45+3),,1)),),"""")"),44406.6458333333)</f>
        <v>44406.645833333299</v>
      </c>
      <c r="L44" s="15">
        <f ca="1">IFERROR(__xludf.DUMMYFUNCTION("""COMPUTED_VALUE"""),400)</f>
        <v>400</v>
      </c>
      <c r="M44" s="15">
        <f ca="1">IFERROR(__xludf.DUMMYFUNCTION("""COMPUTED_VALUE"""),412.5)</f>
        <v>412.5</v>
      </c>
      <c r="N44" s="15">
        <f ca="1">IFERROR(__xludf.DUMMYFUNCTION("""COMPUTED_VALUE"""),397.4)</f>
        <v>397.4</v>
      </c>
      <c r="O44" s="15">
        <f ca="1">IFERROR(__xludf.DUMMYFUNCTION("""COMPUTED_VALUE"""),405.25)</f>
        <v>405.25</v>
      </c>
      <c r="P44" s="15">
        <f ca="1">IFERROR(__xludf.DUMMYFUNCTION("""COMPUTED_VALUE"""),4076345)</f>
        <v>4076345</v>
      </c>
      <c r="Q44" s="15">
        <f t="shared" si="5"/>
        <v>22.5</v>
      </c>
      <c r="R44" s="15">
        <f t="shared" si="6"/>
        <v>-9123.75</v>
      </c>
      <c r="S44" s="16">
        <f t="shared" si="7"/>
        <v>44406</v>
      </c>
      <c r="T44" s="29"/>
      <c r="U44" s="18"/>
      <c r="V44" s="18"/>
      <c r="W44" s="18"/>
    </row>
    <row r="45" spans="1:23" ht="15.75">
      <c r="A45" s="24">
        <v>44454</v>
      </c>
      <c r="B45" s="25" t="s">
        <v>44</v>
      </c>
      <c r="C45" s="25" t="s">
        <v>1</v>
      </c>
      <c r="D45" s="26">
        <v>5</v>
      </c>
      <c r="E45" s="27">
        <v>3812</v>
      </c>
      <c r="F45" s="27">
        <f t="shared" ca="1" si="0"/>
        <v>3794.2519250000005</v>
      </c>
      <c r="G45" s="27">
        <f t="shared" ca="1" si="1"/>
        <v>3879.2999999999997</v>
      </c>
      <c r="H45" s="25" t="str">
        <f t="shared" ca="1" si="2"/>
        <v>Valid</v>
      </c>
      <c r="I45" s="26">
        <f t="shared" si="3"/>
        <v>19060</v>
      </c>
      <c r="J45" s="28">
        <f t="shared" ca="1" si="8"/>
        <v>20644.63</v>
      </c>
      <c r="K45" s="14">
        <f ca="1">IFERROR(__xludf.DUMMYFUNCTION("iferror(index(GOOGLEFINANCE(B46,""all"",A46-10,A46+3),MATCH(A46+0.6458333333,index(GOOGLEFINANCE(B46,""all"",A46-10,A46+3),,1)),),"""")"),44454.6458333333)</f>
        <v>44454.645833333299</v>
      </c>
      <c r="L45" s="15">
        <f ca="1">IFERROR(__xludf.DUMMYFUNCTION("""COMPUTED_VALUE"""),3809.7)</f>
        <v>3809.7</v>
      </c>
      <c r="M45" s="15">
        <f ca="1">IFERROR(__xludf.DUMMYFUNCTION("""COMPUTED_VALUE"""),3860)</f>
        <v>3860</v>
      </c>
      <c r="N45" s="15">
        <f ca="1">IFERROR(__xludf.DUMMYFUNCTION("""COMPUTED_VALUE"""),3796.15)</f>
        <v>3796.15</v>
      </c>
      <c r="O45" s="15">
        <f ca="1">IFERROR(__xludf.DUMMYFUNCTION("""COMPUTED_VALUE"""),3852.15)</f>
        <v>3852.15</v>
      </c>
      <c r="P45" s="15">
        <f ca="1">IFERROR(__xludf.DUMMYFUNCTION("""COMPUTED_VALUE"""),117864)</f>
        <v>117864</v>
      </c>
      <c r="Q45" s="15">
        <f t="shared" si="5"/>
        <v>-5</v>
      </c>
      <c r="R45" s="15">
        <f t="shared" si="6"/>
        <v>19060</v>
      </c>
      <c r="S45" s="16">
        <f t="shared" si="7"/>
        <v>44454</v>
      </c>
      <c r="T45" s="29"/>
      <c r="U45" s="18"/>
      <c r="V45" s="18"/>
      <c r="W45" s="18"/>
    </row>
    <row r="46" spans="1:23" ht="15.75">
      <c r="A46" s="24">
        <v>44498</v>
      </c>
      <c r="B46" s="25" t="s">
        <v>46</v>
      </c>
      <c r="C46" s="25" t="s">
        <v>1</v>
      </c>
      <c r="D46" s="26">
        <v>7</v>
      </c>
      <c r="E46" s="27">
        <v>1452</v>
      </c>
      <c r="F46" s="27">
        <f t="shared" ca="1" si="0"/>
        <v>1434.4324250000002</v>
      </c>
      <c r="G46" s="27">
        <f t="shared" ca="1" si="1"/>
        <v>1504.4347499999999</v>
      </c>
      <c r="H46" s="25" t="str">
        <f t="shared" ca="1" si="2"/>
        <v>Valid</v>
      </c>
      <c r="I46" s="26">
        <f t="shared" si="3"/>
        <v>10164</v>
      </c>
      <c r="J46" s="28">
        <f t="shared" ca="1" si="8"/>
        <v>30808.63</v>
      </c>
      <c r="K46" s="14">
        <f ca="1">IFERROR(__xludf.DUMMYFUNCTION("iferror(index(GOOGLEFINANCE(B47,""all"",A47-10,A47+3),MATCH(A47+0.6458333333,index(GOOGLEFINANCE(B47,""all"",A47-10,A47+3),,1)),),"""")"),44498.6458333333)</f>
        <v>44498.645833333299</v>
      </c>
      <c r="L46" s="15">
        <f ca="1">IFERROR(__xludf.DUMMYFUNCTION("""COMPUTED_VALUE"""),1472)</f>
        <v>1472</v>
      </c>
      <c r="M46" s="15">
        <f ca="1">IFERROR(__xludf.DUMMYFUNCTION("""COMPUTED_VALUE"""),1496.95)</f>
        <v>1496.95</v>
      </c>
      <c r="N46" s="15">
        <f ca="1">IFERROR(__xludf.DUMMYFUNCTION("""COMPUTED_VALUE"""),1435.15)</f>
        <v>1435.15</v>
      </c>
      <c r="O46" s="15">
        <f ca="1">IFERROR(__xludf.DUMMYFUNCTION("""COMPUTED_VALUE"""),1481.55)</f>
        <v>1481.55</v>
      </c>
      <c r="P46" s="15">
        <f ca="1">IFERROR(__xludf.DUMMYFUNCTION("""COMPUTED_VALUE"""),358571)</f>
        <v>358571</v>
      </c>
      <c r="Q46" s="15">
        <f t="shared" si="5"/>
        <v>-7</v>
      </c>
      <c r="R46" s="15">
        <f t="shared" si="6"/>
        <v>10164</v>
      </c>
      <c r="S46" s="16">
        <f t="shared" si="7"/>
        <v>44498</v>
      </c>
      <c r="T46" s="29"/>
      <c r="U46" s="18"/>
      <c r="V46" s="18"/>
      <c r="W46" s="18"/>
    </row>
    <row r="47" spans="1:23" ht="15.75">
      <c r="A47" s="24">
        <v>44498</v>
      </c>
      <c r="B47" s="25" t="s">
        <v>21</v>
      </c>
      <c r="C47" s="25" t="s">
        <v>1</v>
      </c>
      <c r="D47" s="26">
        <v>0.8</v>
      </c>
      <c r="E47" s="27">
        <v>20148</v>
      </c>
      <c r="F47" s="27">
        <f t="shared" ca="1" si="0"/>
        <v>19715.237450000001</v>
      </c>
      <c r="G47" s="27">
        <f t="shared" ca="1" si="1"/>
        <v>20372.606249999997</v>
      </c>
      <c r="H47" s="25" t="str">
        <f t="shared" ca="1" si="2"/>
        <v>Valid</v>
      </c>
      <c r="I47" s="26">
        <f t="shared" si="3"/>
        <v>16118.400000000001</v>
      </c>
      <c r="J47" s="28">
        <f t="shared" ca="1" si="8"/>
        <v>46927.03</v>
      </c>
      <c r="K47" s="14">
        <f ca="1">IFERROR(__xludf.DUMMYFUNCTION("iferror(index(GOOGLEFINANCE(B48,""all"",A48-10,A48+3),MATCH(A48+0.6458333333,index(GOOGLEFINANCE(B48,""all"",A48-10,A48+3),,1)),),"""")"),44498.6458333333)</f>
        <v>44498.645833333299</v>
      </c>
      <c r="L47" s="15">
        <f ca="1">IFERROR(__xludf.DUMMYFUNCTION("""COMPUTED_VALUE"""),20084.95)</f>
        <v>20084.95</v>
      </c>
      <c r="M47" s="15">
        <f ca="1">IFERROR(__xludf.DUMMYFUNCTION("""COMPUTED_VALUE"""),20271.25)</f>
        <v>20271.25</v>
      </c>
      <c r="N47" s="15">
        <f ca="1">IFERROR(__xludf.DUMMYFUNCTION("""COMPUTED_VALUE"""),19725.1)</f>
        <v>19725.099999999999</v>
      </c>
      <c r="O47" s="15">
        <f ca="1">IFERROR(__xludf.DUMMYFUNCTION("""COMPUTED_VALUE"""),20049.4)</f>
        <v>20049.400000000001</v>
      </c>
      <c r="P47" s="15">
        <f ca="1">IFERROR(__xludf.DUMMYFUNCTION("""COMPUTED_VALUE"""),11312)</f>
        <v>11312</v>
      </c>
      <c r="Q47" s="15">
        <f t="shared" si="5"/>
        <v>-0.8</v>
      </c>
      <c r="R47" s="15">
        <f t="shared" si="6"/>
        <v>16118.400000000001</v>
      </c>
      <c r="S47" s="16">
        <f t="shared" si="7"/>
        <v>44498</v>
      </c>
      <c r="T47" s="29"/>
      <c r="U47" s="18"/>
      <c r="V47" s="18"/>
      <c r="W47" s="18"/>
    </row>
    <row r="48" spans="1:23" ht="15.75">
      <c r="A48" s="19">
        <v>44510</v>
      </c>
      <c r="B48" s="20" t="s">
        <v>55</v>
      </c>
      <c r="C48" s="20" t="s">
        <v>0</v>
      </c>
      <c r="D48" s="21">
        <v>13.5</v>
      </c>
      <c r="E48" s="22">
        <v>580</v>
      </c>
      <c r="F48" s="22">
        <f t="shared" ca="1" si="0"/>
        <v>568.81545000000006</v>
      </c>
      <c r="G48" s="22">
        <f t="shared" ca="1" si="1"/>
        <v>584.91</v>
      </c>
      <c r="H48" s="20" t="str">
        <f t="shared" ca="1" si="2"/>
        <v>Valid</v>
      </c>
      <c r="I48" s="21">
        <f t="shared" si="3"/>
        <v>7830</v>
      </c>
      <c r="J48" s="23">
        <f t="shared" ca="1" si="8"/>
        <v>39097.03</v>
      </c>
      <c r="K48" s="14">
        <f ca="1">IFERROR(__xludf.DUMMYFUNCTION("iferror(index(GOOGLEFINANCE(B49,""all"",A49-10,A49+3),MATCH(A49+0.6458333333,index(GOOGLEFINANCE(B49,""all"",A49-10,A49+3),,1)),),"""")"),44510.6458333333)</f>
        <v>44510.645833333299</v>
      </c>
      <c r="L48" s="15">
        <f ca="1">IFERROR(__xludf.DUMMYFUNCTION("""COMPUTED_VALUE"""),582)</f>
        <v>582</v>
      </c>
      <c r="M48" s="15">
        <f ca="1">IFERROR(__xludf.DUMMYFUNCTION("""COMPUTED_VALUE"""),582)</f>
        <v>582</v>
      </c>
      <c r="N48" s="15">
        <f ca="1">IFERROR(__xludf.DUMMYFUNCTION("""COMPUTED_VALUE"""),569.1)</f>
        <v>569.1</v>
      </c>
      <c r="O48" s="15">
        <f ca="1">IFERROR(__xludf.DUMMYFUNCTION("""COMPUTED_VALUE"""),572.6)</f>
        <v>572.6</v>
      </c>
      <c r="P48" s="15">
        <f ca="1">IFERROR(__xludf.DUMMYFUNCTION("""COMPUTED_VALUE"""),1051460)</f>
        <v>1051460</v>
      </c>
      <c r="Q48" s="15">
        <f t="shared" si="5"/>
        <v>13.5</v>
      </c>
      <c r="R48" s="15">
        <f t="shared" si="6"/>
        <v>-7830</v>
      </c>
      <c r="S48" s="16">
        <f t="shared" si="7"/>
        <v>44510</v>
      </c>
      <c r="T48" s="29"/>
      <c r="U48" s="18"/>
      <c r="V48" s="18"/>
      <c r="W48" s="18"/>
    </row>
    <row r="49" spans="1:23" ht="15.75">
      <c r="A49" s="24">
        <v>44551</v>
      </c>
      <c r="B49" s="25" t="s">
        <v>36</v>
      </c>
      <c r="C49" s="25" t="s">
        <v>1</v>
      </c>
      <c r="D49" s="26">
        <v>3.6</v>
      </c>
      <c r="E49" s="27">
        <v>1967</v>
      </c>
      <c r="F49" s="27">
        <f t="shared" ca="1" si="0"/>
        <v>1962.0185000000001</v>
      </c>
      <c r="G49" s="27">
        <f t="shared" ca="1" si="1"/>
        <v>2006.0804999999998</v>
      </c>
      <c r="H49" s="25" t="str">
        <f t="shared" ca="1" si="2"/>
        <v>Valid</v>
      </c>
      <c r="I49" s="26">
        <f t="shared" si="3"/>
        <v>7081.2</v>
      </c>
      <c r="J49" s="28">
        <f t="shared" ca="1" si="8"/>
        <v>46178.23</v>
      </c>
      <c r="K49" s="14">
        <f ca="1">IFERROR(__xludf.DUMMYFUNCTION("iferror(index(GOOGLEFINANCE(B50,""all"",A50-10,A50+3),MATCH(A50+0.6458333333,index(GOOGLEFINANCE(B50,""all"",A50-10,A50+3),,1)),),"""")"),44551.6458333333)</f>
        <v>44551.645833333299</v>
      </c>
      <c r="L49" s="15">
        <f ca="1">IFERROR(__xludf.DUMMYFUNCTION("""COMPUTED_VALUE"""),1994.8)</f>
        <v>1994.8</v>
      </c>
      <c r="M49" s="15">
        <f ca="1">IFERROR(__xludf.DUMMYFUNCTION("""COMPUTED_VALUE"""),1996.1)</f>
        <v>1996.1</v>
      </c>
      <c r="N49" s="15">
        <f ca="1">IFERROR(__xludf.DUMMYFUNCTION("""COMPUTED_VALUE"""),1963)</f>
        <v>1963</v>
      </c>
      <c r="O49" s="15">
        <f ca="1">IFERROR(__xludf.DUMMYFUNCTION("""COMPUTED_VALUE"""),1978.4)</f>
        <v>1978.4</v>
      </c>
      <c r="P49" s="15">
        <f ca="1">IFERROR(__xludf.DUMMYFUNCTION("""COMPUTED_VALUE"""),3923)</f>
        <v>3923</v>
      </c>
      <c r="Q49" s="15">
        <f t="shared" si="5"/>
        <v>-3.6</v>
      </c>
      <c r="R49" s="15">
        <f t="shared" si="6"/>
        <v>7081.2</v>
      </c>
      <c r="S49" s="16">
        <f t="shared" si="7"/>
        <v>44551</v>
      </c>
      <c r="T49" s="29"/>
      <c r="U49" s="18"/>
      <c r="V49" s="18"/>
      <c r="W49" s="18"/>
    </row>
    <row r="50" spans="1:23" ht="15.75">
      <c r="A50" s="24">
        <v>44551</v>
      </c>
      <c r="B50" s="25" t="s">
        <v>49</v>
      </c>
      <c r="C50" s="25" t="s">
        <v>1</v>
      </c>
      <c r="D50" s="26">
        <v>3.8</v>
      </c>
      <c r="E50" s="27">
        <v>3535</v>
      </c>
      <c r="F50" s="27">
        <f t="shared" ca="1" si="0"/>
        <v>3499.9491499999999</v>
      </c>
      <c r="G50" s="27">
        <f t="shared" ca="1" si="1"/>
        <v>3627.5977499999999</v>
      </c>
      <c r="H50" s="25" t="str">
        <f t="shared" ca="1" si="2"/>
        <v>Valid</v>
      </c>
      <c r="I50" s="26">
        <f t="shared" si="3"/>
        <v>13433</v>
      </c>
      <c r="J50" s="28">
        <f t="shared" ca="1" si="8"/>
        <v>59611.23</v>
      </c>
      <c r="K50" s="14">
        <f ca="1">IFERROR(__xludf.DUMMYFUNCTION("iferror(index(GOOGLEFINANCE(B51,""all"",A51-10,A51+3),MATCH(A51+0.6458333333,index(GOOGLEFINANCE(B51,""all"",A51-10,A51+3),,1)),),"""")"),44551.6458333333)</f>
        <v>44551.645833333299</v>
      </c>
      <c r="L50" s="15">
        <f ca="1">IFERROR(__xludf.DUMMYFUNCTION("""COMPUTED_VALUE"""),3534.55)</f>
        <v>3534.55</v>
      </c>
      <c r="M50" s="15">
        <f ca="1">IFERROR(__xludf.DUMMYFUNCTION("""COMPUTED_VALUE"""),3609.55)</f>
        <v>3609.55</v>
      </c>
      <c r="N50" s="15">
        <f ca="1">IFERROR(__xludf.DUMMYFUNCTION("""COMPUTED_VALUE"""),3501.7)</f>
        <v>3501.7</v>
      </c>
      <c r="O50" s="15">
        <f ca="1">IFERROR(__xludf.DUMMYFUNCTION("""COMPUTED_VALUE"""),3563.55)</f>
        <v>3563.55</v>
      </c>
      <c r="P50" s="15">
        <f ca="1">IFERROR(__xludf.DUMMYFUNCTION("""COMPUTED_VALUE"""),33273)</f>
        <v>33273</v>
      </c>
      <c r="Q50" s="15">
        <f t="shared" si="5"/>
        <v>-3.8</v>
      </c>
      <c r="R50" s="15">
        <f t="shared" si="6"/>
        <v>13433</v>
      </c>
      <c r="S50" s="16">
        <f t="shared" si="7"/>
        <v>44551</v>
      </c>
      <c r="T50" s="29"/>
      <c r="U50" s="18"/>
      <c r="V50" s="18"/>
      <c r="W50" s="18"/>
    </row>
    <row r="51" spans="1:23" ht="15.75">
      <c r="A51" s="24">
        <v>44551</v>
      </c>
      <c r="B51" s="25" t="s">
        <v>48</v>
      </c>
      <c r="C51" s="25" t="s">
        <v>1</v>
      </c>
      <c r="D51" s="26">
        <v>4.5999999999999996</v>
      </c>
      <c r="E51" s="27">
        <v>3340</v>
      </c>
      <c r="F51" s="27">
        <f t="shared" ca="1" si="0"/>
        <v>3300.7488000000003</v>
      </c>
      <c r="G51" s="27">
        <f t="shared" ca="1" si="1"/>
        <v>3487.3499999999995</v>
      </c>
      <c r="H51" s="25" t="str">
        <f t="shared" ca="1" si="2"/>
        <v>Valid</v>
      </c>
      <c r="I51" s="26">
        <f t="shared" si="3"/>
        <v>15363.999999999998</v>
      </c>
      <c r="J51" s="28">
        <f t="shared" ca="1" si="8"/>
        <v>74975.23</v>
      </c>
      <c r="K51" s="14">
        <f ca="1">IFERROR(__xludf.DUMMYFUNCTION("iferror(index(GOOGLEFINANCE(B52,""all"",A52-10,A52+3),MATCH(A52+0.6458333333,index(GOOGLEFINANCE(B52,""all"",A52-10,A52+3),,1)),),"""")"),44551.6458333333)</f>
        <v>44551.645833333299</v>
      </c>
      <c r="L51" s="15">
        <f ca="1">IFERROR(__xludf.DUMMYFUNCTION("""COMPUTED_VALUE"""),3316)</f>
        <v>3316</v>
      </c>
      <c r="M51" s="15">
        <f ca="1">IFERROR(__xludf.DUMMYFUNCTION("""COMPUTED_VALUE"""),3470)</f>
        <v>3470</v>
      </c>
      <c r="N51" s="15">
        <f ca="1">IFERROR(__xludf.DUMMYFUNCTION("""COMPUTED_VALUE"""),3302.4)</f>
        <v>3302.4</v>
      </c>
      <c r="O51" s="15">
        <f ca="1">IFERROR(__xludf.DUMMYFUNCTION("""COMPUTED_VALUE"""),3453.9)</f>
        <v>3453.9</v>
      </c>
      <c r="P51" s="15">
        <f ca="1">IFERROR(__xludf.DUMMYFUNCTION("""COMPUTED_VALUE"""),43405)</f>
        <v>43405</v>
      </c>
      <c r="Q51" s="15">
        <f t="shared" si="5"/>
        <v>-4.5999999999999996</v>
      </c>
      <c r="R51" s="15">
        <f t="shared" si="6"/>
        <v>15363.999999999998</v>
      </c>
      <c r="S51" s="16">
        <f t="shared" si="7"/>
        <v>44551</v>
      </c>
      <c r="T51" s="29"/>
      <c r="U51" s="18"/>
      <c r="V51" s="18"/>
      <c r="W51" s="18"/>
    </row>
    <row r="52" spans="1:23" ht="15.75">
      <c r="A52" s="24">
        <v>44551</v>
      </c>
      <c r="B52" s="25" t="s">
        <v>47</v>
      </c>
      <c r="C52" s="25" t="s">
        <v>1</v>
      </c>
      <c r="D52" s="26">
        <v>7</v>
      </c>
      <c r="E52" s="27">
        <v>900</v>
      </c>
      <c r="F52" s="27">
        <f t="shared" ca="1" si="0"/>
        <v>894.65245000000004</v>
      </c>
      <c r="G52" s="27">
        <f t="shared" ca="1" si="1"/>
        <v>924.4994999999999</v>
      </c>
      <c r="H52" s="25" t="str">
        <f t="shared" ca="1" si="2"/>
        <v>Valid</v>
      </c>
      <c r="I52" s="26">
        <f t="shared" si="3"/>
        <v>6300</v>
      </c>
      <c r="J52" s="28">
        <f t="shared" ca="1" si="8"/>
        <v>81275.23</v>
      </c>
      <c r="K52" s="14">
        <f ca="1">IFERROR(__xludf.DUMMYFUNCTION("iferror(index(GOOGLEFINANCE(B53,""all"",A53-10,A53+3),MATCH(A53+0.6458333333,index(GOOGLEFINANCE(B53,""all"",A53-10,A53+3),,1)),),"""")"),44551.6458333333)</f>
        <v>44551.645833333299</v>
      </c>
      <c r="L52" s="15">
        <f ca="1">IFERROR(__xludf.DUMMYFUNCTION("""COMPUTED_VALUE"""),907)</f>
        <v>907</v>
      </c>
      <c r="M52" s="15">
        <f ca="1">IFERROR(__xludf.DUMMYFUNCTION("""COMPUTED_VALUE"""),919.9)</f>
        <v>919.9</v>
      </c>
      <c r="N52" s="15">
        <f ca="1">IFERROR(__xludf.DUMMYFUNCTION("""COMPUTED_VALUE"""),895.1)</f>
        <v>895.1</v>
      </c>
      <c r="O52" s="15">
        <f ca="1">IFERROR(__xludf.DUMMYFUNCTION("""COMPUTED_VALUE"""),913.3)</f>
        <v>913.3</v>
      </c>
      <c r="P52" s="15">
        <f ca="1">IFERROR(__xludf.DUMMYFUNCTION("""COMPUTED_VALUE"""),47497)</f>
        <v>47497</v>
      </c>
      <c r="Q52" s="15">
        <f t="shared" si="5"/>
        <v>-7</v>
      </c>
      <c r="R52" s="15">
        <f t="shared" si="6"/>
        <v>6300</v>
      </c>
      <c r="S52" s="16">
        <f t="shared" si="7"/>
        <v>44551</v>
      </c>
      <c r="T52" s="29"/>
      <c r="U52" s="18"/>
      <c r="V52" s="18"/>
      <c r="W52" s="18"/>
    </row>
    <row r="53" spans="1:23" ht="15.75">
      <c r="A53" s="19">
        <v>44580</v>
      </c>
      <c r="B53" s="20" t="s">
        <v>56</v>
      </c>
      <c r="C53" s="20" t="s">
        <v>0</v>
      </c>
      <c r="D53" s="21">
        <v>5.82</v>
      </c>
      <c r="E53" s="22">
        <v>1425</v>
      </c>
      <c r="F53" s="22">
        <f t="shared" ca="1" si="0"/>
        <v>1412.1435750000001</v>
      </c>
      <c r="G53" s="22">
        <f t="shared" ca="1" si="1"/>
        <v>1478.4554999999998</v>
      </c>
      <c r="H53" s="20" t="str">
        <f t="shared" ca="1" si="2"/>
        <v>Valid</v>
      </c>
      <c r="I53" s="21">
        <f t="shared" si="3"/>
        <v>8293.5</v>
      </c>
      <c r="J53" s="23">
        <f t="shared" ca="1" si="8"/>
        <v>72981.73</v>
      </c>
      <c r="K53" s="14">
        <f ca="1">IFERROR(__xludf.DUMMYFUNCTION("iferror(index(GOOGLEFINANCE(B54,""all"",A54-10,A54+3),MATCH(A54+0.6458333333,index(GOOGLEFINANCE(B54,""all"",A54-10,A54+3),,1)),),"""")"),44580.6458333333)</f>
        <v>44580.645833333299</v>
      </c>
      <c r="L53" s="15">
        <f ca="1">IFERROR(__xludf.DUMMYFUNCTION("""COMPUTED_VALUE"""),1447.9)</f>
        <v>1447.9</v>
      </c>
      <c r="M53" s="15">
        <f ca="1">IFERROR(__xludf.DUMMYFUNCTION("""COMPUTED_VALUE"""),1471.1)</f>
        <v>1471.1</v>
      </c>
      <c r="N53" s="15">
        <f ca="1">IFERROR(__xludf.DUMMYFUNCTION("""COMPUTED_VALUE"""),1412.85)</f>
        <v>1412.85</v>
      </c>
      <c r="O53" s="15">
        <f ca="1">IFERROR(__xludf.DUMMYFUNCTION("""COMPUTED_VALUE"""),1452.95)</f>
        <v>1452.95</v>
      </c>
      <c r="P53" s="15">
        <f ca="1">IFERROR(__xludf.DUMMYFUNCTION("""COMPUTED_VALUE"""),85283)</f>
        <v>85283</v>
      </c>
      <c r="Q53" s="15">
        <f t="shared" si="5"/>
        <v>5.82</v>
      </c>
      <c r="R53" s="15">
        <f t="shared" si="6"/>
        <v>-8293.5</v>
      </c>
      <c r="S53" s="16">
        <f t="shared" si="7"/>
        <v>44580</v>
      </c>
      <c r="T53" s="29"/>
      <c r="U53" s="18"/>
      <c r="V53" s="18"/>
      <c r="W53" s="18"/>
    </row>
    <row r="54" spans="1:23" ht="15.75">
      <c r="A54" s="24">
        <v>44581</v>
      </c>
      <c r="B54" s="25" t="s">
        <v>52</v>
      </c>
      <c r="C54" s="25" t="s">
        <v>1</v>
      </c>
      <c r="D54" s="26">
        <v>35</v>
      </c>
      <c r="E54" s="27">
        <v>735</v>
      </c>
      <c r="F54" s="27">
        <f t="shared" ca="1" si="0"/>
        <v>716.64150000000006</v>
      </c>
      <c r="G54" s="27">
        <f t="shared" ca="1" si="1"/>
        <v>750.68475000000001</v>
      </c>
      <c r="H54" s="25" t="str">
        <f t="shared" ca="1" si="2"/>
        <v>Valid</v>
      </c>
      <c r="I54" s="26">
        <f t="shared" si="3"/>
        <v>25725</v>
      </c>
      <c r="J54" s="28">
        <f t="shared" ca="1" si="8"/>
        <v>98706.73</v>
      </c>
      <c r="K54" s="14">
        <f ca="1">IFERROR(__xludf.DUMMYFUNCTION("iferror(index(GOOGLEFINANCE(B55,""all"",A55-10,A55+3),MATCH(A55+0.6458333333,index(GOOGLEFINANCE(B55,""all"",A55-10,A55+3),,1)),),"""")"),44581.6458333333)</f>
        <v>44581.645833333299</v>
      </c>
      <c r="L54" s="15">
        <f ca="1">IFERROR(__xludf.DUMMYFUNCTION("""COMPUTED_VALUE"""),744)</f>
        <v>744</v>
      </c>
      <c r="M54" s="15">
        <f ca="1">IFERROR(__xludf.DUMMYFUNCTION("""COMPUTED_VALUE"""),746.95)</f>
        <v>746.95</v>
      </c>
      <c r="N54" s="15">
        <f ca="1">IFERROR(__xludf.DUMMYFUNCTION("""COMPUTED_VALUE"""),717)</f>
        <v>717</v>
      </c>
      <c r="O54" s="15">
        <f ca="1">IFERROR(__xludf.DUMMYFUNCTION("""COMPUTED_VALUE"""),737.1)</f>
        <v>737.1</v>
      </c>
      <c r="P54" s="15">
        <f ca="1">IFERROR(__xludf.DUMMYFUNCTION("""COMPUTED_VALUE"""),264269)</f>
        <v>264269</v>
      </c>
      <c r="Q54" s="15">
        <f t="shared" si="5"/>
        <v>-35</v>
      </c>
      <c r="R54" s="15">
        <f t="shared" si="6"/>
        <v>25725</v>
      </c>
      <c r="S54" s="16">
        <f t="shared" si="7"/>
        <v>44581</v>
      </c>
      <c r="T54" s="29"/>
      <c r="U54" s="18"/>
      <c r="V54" s="18"/>
      <c r="W54" s="18"/>
    </row>
    <row r="55" spans="1:23" ht="15.75">
      <c r="A55" s="19">
        <v>44589</v>
      </c>
      <c r="B55" s="20" t="s">
        <v>57</v>
      </c>
      <c r="C55" s="20" t="s">
        <v>0</v>
      </c>
      <c r="D55" s="21">
        <v>25.8</v>
      </c>
      <c r="E55" s="22">
        <v>466</v>
      </c>
      <c r="F55" s="22">
        <f t="shared" ca="1" si="0"/>
        <v>441.02937500000002</v>
      </c>
      <c r="G55" s="22">
        <f t="shared" ca="1" si="1"/>
        <v>478.37999999999994</v>
      </c>
      <c r="H55" s="20" t="str">
        <f t="shared" ca="1" si="2"/>
        <v>Valid</v>
      </c>
      <c r="I55" s="21">
        <f t="shared" si="3"/>
        <v>12022.800000000001</v>
      </c>
      <c r="J55" s="23">
        <f t="shared" ca="1" si="8"/>
        <v>86683.93</v>
      </c>
      <c r="K55" s="14">
        <f ca="1">IFERROR(__xludf.DUMMYFUNCTION("iferror(index(GOOGLEFINANCE(B56,""all"",A56-10,A56+3),MATCH(A56+0.6458333333,index(GOOGLEFINANCE(B56,""all"",A56-10,A56+3),,1)),),"""")"),44589.6458333333)</f>
        <v>44589.645833333299</v>
      </c>
      <c r="L55" s="15">
        <f ca="1">IFERROR(__xludf.DUMMYFUNCTION("""COMPUTED_VALUE"""),458.7)</f>
        <v>458.7</v>
      </c>
      <c r="M55" s="15">
        <f ca="1">IFERROR(__xludf.DUMMYFUNCTION("""COMPUTED_VALUE"""),476)</f>
        <v>476</v>
      </c>
      <c r="N55" s="15">
        <f ca="1">IFERROR(__xludf.DUMMYFUNCTION("""COMPUTED_VALUE"""),441.25)</f>
        <v>441.25</v>
      </c>
      <c r="O55" s="15">
        <f ca="1">IFERROR(__xludf.DUMMYFUNCTION("""COMPUTED_VALUE"""),446.55)</f>
        <v>446.55</v>
      </c>
      <c r="P55" s="15">
        <f ca="1">IFERROR(__xludf.DUMMYFUNCTION("""COMPUTED_VALUE"""),434730)</f>
        <v>434730</v>
      </c>
      <c r="Q55" s="15">
        <f t="shared" si="5"/>
        <v>25.8</v>
      </c>
      <c r="R55" s="15">
        <f t="shared" si="6"/>
        <v>-12022.800000000001</v>
      </c>
      <c r="S55" s="16">
        <f t="shared" si="7"/>
        <v>44589</v>
      </c>
      <c r="T55" s="29"/>
      <c r="U55" s="18"/>
      <c r="V55" s="18"/>
      <c r="W55" s="18"/>
    </row>
    <row r="56" spans="1:23" ht="15.75">
      <c r="A56" s="19">
        <v>44600</v>
      </c>
      <c r="B56" s="20" t="s">
        <v>58</v>
      </c>
      <c r="C56" s="20" t="s">
        <v>0</v>
      </c>
      <c r="D56" s="21">
        <v>18.2</v>
      </c>
      <c r="E56" s="22">
        <v>660</v>
      </c>
      <c r="F56" s="22">
        <f t="shared" ca="1" si="0"/>
        <v>637.5310750000001</v>
      </c>
      <c r="G56" s="22">
        <f t="shared" ca="1" si="1"/>
        <v>688.42499999999995</v>
      </c>
      <c r="H56" s="20" t="str">
        <f t="shared" ca="1" si="2"/>
        <v>Valid</v>
      </c>
      <c r="I56" s="21">
        <f t="shared" si="3"/>
        <v>12012</v>
      </c>
      <c r="J56" s="23">
        <f t="shared" ca="1" si="8"/>
        <v>74671.929999999993</v>
      </c>
      <c r="K56" s="14">
        <f ca="1">IFERROR(__xludf.DUMMYFUNCTION("iferror(index(GOOGLEFINANCE(B57,""all"",A57-10,A57+3),MATCH(A57+0.6458333333,index(GOOGLEFINANCE(B57,""all"",A57-10,A57+3),,1)),),"""")"),44600.6458333333)</f>
        <v>44600.645833333299</v>
      </c>
      <c r="L56" s="15">
        <f ca="1">IFERROR(__xludf.DUMMYFUNCTION("""COMPUTED_VALUE"""),668)</f>
        <v>668</v>
      </c>
      <c r="M56" s="15">
        <f ca="1">IFERROR(__xludf.DUMMYFUNCTION("""COMPUTED_VALUE"""),685)</f>
        <v>685</v>
      </c>
      <c r="N56" s="15">
        <f ca="1">IFERROR(__xludf.DUMMYFUNCTION("""COMPUTED_VALUE"""),637.85)</f>
        <v>637.85</v>
      </c>
      <c r="O56" s="15">
        <f ca="1">IFERROR(__xludf.DUMMYFUNCTION("""COMPUTED_VALUE"""),644.75)</f>
        <v>644.75</v>
      </c>
      <c r="P56" s="15">
        <f ca="1">IFERROR(__xludf.DUMMYFUNCTION("""COMPUTED_VALUE"""),271562)</f>
        <v>271562</v>
      </c>
      <c r="Q56" s="15">
        <f t="shared" si="5"/>
        <v>18.2</v>
      </c>
      <c r="R56" s="15">
        <f t="shared" si="6"/>
        <v>-12012</v>
      </c>
      <c r="S56" s="16">
        <f t="shared" si="7"/>
        <v>44600</v>
      </c>
      <c r="T56" s="29"/>
      <c r="U56" s="18"/>
      <c r="V56" s="18"/>
      <c r="W56" s="18"/>
    </row>
    <row r="57" spans="1:23" ht="15.75">
      <c r="A57" s="24">
        <v>44600</v>
      </c>
      <c r="B57" s="25" t="s">
        <v>50</v>
      </c>
      <c r="C57" s="25" t="s">
        <v>1</v>
      </c>
      <c r="D57" s="26">
        <v>8.5</v>
      </c>
      <c r="E57" s="27">
        <v>1291</v>
      </c>
      <c r="F57" s="27">
        <f t="shared" ca="1" si="0"/>
        <v>1284.3575000000001</v>
      </c>
      <c r="G57" s="27">
        <f t="shared" ca="1" si="1"/>
        <v>1321.5749999999998</v>
      </c>
      <c r="H57" s="25" t="str">
        <f t="shared" ca="1" si="2"/>
        <v>Valid</v>
      </c>
      <c r="I57" s="26">
        <f t="shared" si="3"/>
        <v>10973.5</v>
      </c>
      <c r="J57" s="28">
        <f t="shared" ca="1" si="8"/>
        <v>85645.43</v>
      </c>
      <c r="K57" s="14">
        <f ca="1">IFERROR(__xludf.DUMMYFUNCTION("iferror(index(GOOGLEFINANCE(B58,""all"",A58-10,A58+3),MATCH(A58+0.6458333333,index(GOOGLEFINANCE(B58,""all"",A58-10,A58+3),,1)),),"""")"),44600.6458333333)</f>
        <v>44600.645833333299</v>
      </c>
      <c r="L57" s="15">
        <f ca="1">IFERROR(__xludf.DUMMYFUNCTION("""COMPUTED_VALUE"""),1302.95)</f>
        <v>1302.95</v>
      </c>
      <c r="M57" s="15">
        <f ca="1">IFERROR(__xludf.DUMMYFUNCTION("""COMPUTED_VALUE"""),1315)</f>
        <v>1315</v>
      </c>
      <c r="N57" s="15">
        <f ca="1">IFERROR(__xludf.DUMMYFUNCTION("""COMPUTED_VALUE"""),1285)</f>
        <v>1285</v>
      </c>
      <c r="O57" s="15">
        <f ca="1">IFERROR(__xludf.DUMMYFUNCTION("""COMPUTED_VALUE"""),1305.45)</f>
        <v>1305.45</v>
      </c>
      <c r="P57" s="15">
        <f ca="1">IFERROR(__xludf.DUMMYFUNCTION("""COMPUTED_VALUE"""),991705)</f>
        <v>991705</v>
      </c>
      <c r="Q57" s="15">
        <f t="shared" si="5"/>
        <v>-8.5</v>
      </c>
      <c r="R57" s="31">
        <f t="shared" si="6"/>
        <v>10973.5</v>
      </c>
      <c r="S57" s="16">
        <f t="shared" si="7"/>
        <v>44600</v>
      </c>
      <c r="T57" s="29"/>
      <c r="U57" s="18"/>
      <c r="V57" s="18"/>
      <c r="W57" s="18"/>
    </row>
    <row r="58" spans="1:23" ht="15.75">
      <c r="A58" s="24">
        <v>44607</v>
      </c>
      <c r="B58" s="25" t="s">
        <v>41</v>
      </c>
      <c r="C58" s="25" t="s">
        <v>1</v>
      </c>
      <c r="D58" s="26">
        <v>22</v>
      </c>
      <c r="E58" s="27">
        <v>965</v>
      </c>
      <c r="F58" s="27">
        <f t="shared" ca="1" si="0"/>
        <v>949.52500000000009</v>
      </c>
      <c r="G58" s="27">
        <f t="shared" ca="1" si="1"/>
        <v>992.68874999999991</v>
      </c>
      <c r="H58" s="25" t="str">
        <f t="shared" ca="1" si="2"/>
        <v>Valid</v>
      </c>
      <c r="I58" s="26">
        <f t="shared" si="3"/>
        <v>21230</v>
      </c>
      <c r="J58" s="28">
        <f t="shared" ca="1" si="8"/>
        <v>106875.43</v>
      </c>
      <c r="K58" s="14">
        <f ca="1">IFERROR(__xludf.DUMMYFUNCTION("iferror(index(GOOGLEFINANCE(B59,""all"",A59-10,A59+3),MATCH(A59+0.6458333333,index(GOOGLEFINANCE(B59,""all"",A59-10,A59+3),,1)),),"""")"),44607.6458333333)</f>
        <v>44607.645833333299</v>
      </c>
      <c r="L58" s="15">
        <f ca="1">IFERROR(__xludf.DUMMYFUNCTION("""COMPUTED_VALUE"""),970.95)</f>
        <v>970.95</v>
      </c>
      <c r="M58" s="15">
        <f ca="1">IFERROR(__xludf.DUMMYFUNCTION("""COMPUTED_VALUE"""),987.75)</f>
        <v>987.75</v>
      </c>
      <c r="N58" s="15">
        <f ca="1">IFERROR(__xludf.DUMMYFUNCTION("""COMPUTED_VALUE"""),950)</f>
        <v>950</v>
      </c>
      <c r="O58" s="15">
        <f ca="1">IFERROR(__xludf.DUMMYFUNCTION("""COMPUTED_VALUE"""),984.55)</f>
        <v>984.55</v>
      </c>
      <c r="P58" s="15">
        <f ca="1">IFERROR(__xludf.DUMMYFUNCTION("""COMPUTED_VALUE"""),628989)</f>
        <v>628989</v>
      </c>
      <c r="Q58" s="15">
        <f t="shared" si="5"/>
        <v>-22</v>
      </c>
      <c r="R58" s="15">
        <f t="shared" si="6"/>
        <v>21230</v>
      </c>
      <c r="S58" s="16">
        <f t="shared" si="7"/>
        <v>44607</v>
      </c>
      <c r="T58" s="29"/>
      <c r="U58" s="18"/>
      <c r="V58" s="18"/>
      <c r="W58" s="18"/>
    </row>
    <row r="59" spans="1:23" ht="15.75">
      <c r="A59" s="24">
        <v>44615</v>
      </c>
      <c r="B59" s="25" t="s">
        <v>55</v>
      </c>
      <c r="C59" s="25" t="s">
        <v>1</v>
      </c>
      <c r="D59" s="26">
        <v>13.5</v>
      </c>
      <c r="E59" s="27">
        <v>464</v>
      </c>
      <c r="F59" s="27">
        <f t="shared" ca="1" si="0"/>
        <v>462.01887500000004</v>
      </c>
      <c r="G59" s="27">
        <f t="shared" ca="1" si="1"/>
        <v>471.29474999999996</v>
      </c>
      <c r="H59" s="25" t="str">
        <f t="shared" ca="1" si="2"/>
        <v>Valid</v>
      </c>
      <c r="I59" s="26">
        <f t="shared" si="3"/>
        <v>6264</v>
      </c>
      <c r="J59" s="28">
        <f t="shared" ca="1" si="8"/>
        <v>113139.43</v>
      </c>
      <c r="K59" s="14">
        <f ca="1">IFERROR(__xludf.DUMMYFUNCTION("iferror(index(GOOGLEFINANCE(B60,""all"",A60-10,A60+3),MATCH(A60+0.6458333333,index(GOOGLEFINANCE(B60,""all"",A60-10,A60+3),,1)),),"""")"),44615.6458333333)</f>
        <v>44615.645833333299</v>
      </c>
      <c r="L59" s="15">
        <f ca="1">IFERROR(__xludf.DUMMYFUNCTION("""COMPUTED_VALUE"""),467.75)</f>
        <v>467.75</v>
      </c>
      <c r="M59" s="15">
        <f ca="1">IFERROR(__xludf.DUMMYFUNCTION("""COMPUTED_VALUE"""),468.95)</f>
        <v>468.95</v>
      </c>
      <c r="N59" s="15">
        <f ca="1">IFERROR(__xludf.DUMMYFUNCTION("""COMPUTED_VALUE"""),462.25)</f>
        <v>462.25</v>
      </c>
      <c r="O59" s="15">
        <f ca="1">IFERROR(__xludf.DUMMYFUNCTION("""COMPUTED_VALUE"""),463.95)</f>
        <v>463.95</v>
      </c>
      <c r="P59" s="15">
        <f ca="1">IFERROR(__xludf.DUMMYFUNCTION("""COMPUTED_VALUE"""),737130)</f>
        <v>737130</v>
      </c>
      <c r="Q59" s="15">
        <f t="shared" si="5"/>
        <v>-13.5</v>
      </c>
      <c r="R59" s="15">
        <f t="shared" si="6"/>
        <v>6264</v>
      </c>
      <c r="S59" s="16">
        <f t="shared" si="7"/>
        <v>44615</v>
      </c>
      <c r="T59" s="29"/>
      <c r="U59" s="18"/>
      <c r="V59" s="18"/>
      <c r="W59" s="18"/>
    </row>
    <row r="60" spans="1:23" ht="15.75">
      <c r="A60" s="24">
        <v>44670</v>
      </c>
      <c r="B60" s="25" t="s">
        <v>45</v>
      </c>
      <c r="C60" s="25" t="s">
        <v>1</v>
      </c>
      <c r="D60" s="26">
        <v>8</v>
      </c>
      <c r="E60" s="27">
        <v>2919</v>
      </c>
      <c r="F60" s="27">
        <f t="shared" ca="1" si="0"/>
        <v>2826.0862500000003</v>
      </c>
      <c r="G60" s="27">
        <f t="shared" ca="1" si="1"/>
        <v>2989.8749999999995</v>
      </c>
      <c r="H60" s="25" t="str">
        <f t="shared" ca="1" si="2"/>
        <v>Valid</v>
      </c>
      <c r="I60" s="26">
        <f t="shared" si="3"/>
        <v>23352</v>
      </c>
      <c r="J60" s="28">
        <f t="shared" ca="1" si="8"/>
        <v>136491.43</v>
      </c>
      <c r="K60" s="14">
        <f ca="1">IFERROR(__xludf.DUMMYFUNCTION("iferror(index(GOOGLEFINANCE(B61,""all"",A61-10,A61+3),MATCH(A61+0.6458333333,index(GOOGLEFINANCE(B61,""all"",A61-10,A61+3),,1)),),"""")"),44670.6458333333)</f>
        <v>44670.645833333299</v>
      </c>
      <c r="L60" s="15">
        <f ca="1">IFERROR(__xludf.DUMMYFUNCTION("""COMPUTED_VALUE"""),2916.9)</f>
        <v>2916.9</v>
      </c>
      <c r="M60" s="15">
        <f ca="1">IFERROR(__xludf.DUMMYFUNCTION("""COMPUTED_VALUE"""),2975)</f>
        <v>2975</v>
      </c>
      <c r="N60" s="15">
        <f ca="1">IFERROR(__xludf.DUMMYFUNCTION("""COMPUTED_VALUE"""),2827.5)</f>
        <v>2827.5</v>
      </c>
      <c r="O60" s="15">
        <f ca="1">IFERROR(__xludf.DUMMYFUNCTION("""COMPUTED_VALUE"""),2857.05)</f>
        <v>2857.05</v>
      </c>
      <c r="P60" s="15">
        <f ca="1">IFERROR(__xludf.DUMMYFUNCTION("""COMPUTED_VALUE"""),667020)</f>
        <v>667020</v>
      </c>
      <c r="Q60" s="15">
        <f t="shared" si="5"/>
        <v>-8</v>
      </c>
      <c r="R60" s="15">
        <f t="shared" si="6"/>
        <v>23352</v>
      </c>
      <c r="S60" s="16">
        <f t="shared" si="7"/>
        <v>44670</v>
      </c>
      <c r="T60" s="29"/>
      <c r="U60" s="18"/>
      <c r="V60" s="18"/>
      <c r="W60" s="18"/>
    </row>
    <row r="61" spans="1:23" ht="15.75">
      <c r="A61" s="19">
        <v>44671</v>
      </c>
      <c r="B61" s="20" t="s">
        <v>59</v>
      </c>
      <c r="C61" s="20" t="s">
        <v>0</v>
      </c>
      <c r="D61" s="21">
        <v>27.3</v>
      </c>
      <c r="E61" s="22">
        <v>292</v>
      </c>
      <c r="F61" s="22">
        <f t="shared" ca="1" si="0"/>
        <v>276.56164999999999</v>
      </c>
      <c r="G61" s="22">
        <f t="shared" ca="1" si="1"/>
        <v>298.48499999999996</v>
      </c>
      <c r="H61" s="20" t="str">
        <f t="shared" ca="1" si="2"/>
        <v>Valid</v>
      </c>
      <c r="I61" s="21">
        <f t="shared" si="3"/>
        <v>7971.6</v>
      </c>
      <c r="J61" s="23">
        <f t="shared" ca="1" si="8"/>
        <v>128519.83</v>
      </c>
      <c r="K61" s="14">
        <f ca="1">IFERROR(__xludf.DUMMYFUNCTION("iferror(index(GOOGLEFINANCE(B62,""all"",A62-10,A62+3),MATCH(A62+0.6458333333,index(GOOGLEFINANCE(B62,""all"",A62-10,A62+3),,1)),),"""")"),44671.6458333333)</f>
        <v>44671.645833333299</v>
      </c>
      <c r="L61" s="15">
        <f ca="1">IFERROR(__xludf.DUMMYFUNCTION("""COMPUTED_VALUE"""),284.15)</f>
        <v>284.14999999999998</v>
      </c>
      <c r="M61" s="15">
        <f ca="1">IFERROR(__xludf.DUMMYFUNCTION("""COMPUTED_VALUE"""),297)</f>
        <v>297</v>
      </c>
      <c r="N61" s="15">
        <f ca="1">IFERROR(__xludf.DUMMYFUNCTION("""COMPUTED_VALUE"""),276.7)</f>
        <v>276.7</v>
      </c>
      <c r="O61" s="15">
        <f ca="1">IFERROR(__xludf.DUMMYFUNCTION("""COMPUTED_VALUE"""),290.15)</f>
        <v>290.14999999999998</v>
      </c>
      <c r="P61" s="15">
        <f ca="1">IFERROR(__xludf.DUMMYFUNCTION("""COMPUTED_VALUE"""),1019484)</f>
        <v>1019484</v>
      </c>
      <c r="Q61" s="15">
        <f t="shared" si="5"/>
        <v>27.3</v>
      </c>
      <c r="R61" s="15">
        <f t="shared" si="6"/>
        <v>-7971.6</v>
      </c>
      <c r="S61" s="16">
        <f t="shared" si="7"/>
        <v>44671</v>
      </c>
      <c r="T61" s="29"/>
      <c r="U61" s="18"/>
      <c r="V61" s="18"/>
      <c r="W61" s="18"/>
    </row>
    <row r="62" spans="1:23" ht="15.75">
      <c r="A62" s="19">
        <v>44671</v>
      </c>
      <c r="B62" s="20" t="s">
        <v>60</v>
      </c>
      <c r="C62" s="20" t="s">
        <v>0</v>
      </c>
      <c r="D62" s="21">
        <v>37.299999999999997</v>
      </c>
      <c r="E62" s="22">
        <v>321</v>
      </c>
      <c r="F62" s="22">
        <f t="shared" ca="1" si="0"/>
        <v>310.84450000000004</v>
      </c>
      <c r="G62" s="22">
        <f t="shared" ca="1" si="1"/>
        <v>325.11749999999995</v>
      </c>
      <c r="H62" s="20" t="str">
        <f t="shared" ca="1" si="2"/>
        <v>Valid</v>
      </c>
      <c r="I62" s="21">
        <f t="shared" si="3"/>
        <v>11973.3</v>
      </c>
      <c r="J62" s="23">
        <f t="shared" ca="1" si="8"/>
        <v>116546.53</v>
      </c>
      <c r="K62" s="14">
        <f ca="1">IFERROR(__xludf.DUMMYFUNCTION("iferror(index(GOOGLEFINANCE(B63,""all"",A63-10,A63+3),MATCH(A63+0.6458333333,index(GOOGLEFINANCE(B63,""all"",A63-10,A63+3),,1)),),"""")"),44671.6458333333)</f>
        <v>44671.645833333299</v>
      </c>
      <c r="L62" s="15">
        <f ca="1">IFERROR(__xludf.DUMMYFUNCTION("""COMPUTED_VALUE"""),315.15)</f>
        <v>315.14999999999998</v>
      </c>
      <c r="M62" s="15">
        <f ca="1">IFERROR(__xludf.DUMMYFUNCTION("""COMPUTED_VALUE"""),323.5)</f>
        <v>323.5</v>
      </c>
      <c r="N62" s="15">
        <f ca="1">IFERROR(__xludf.DUMMYFUNCTION("""COMPUTED_VALUE"""),311)</f>
        <v>311</v>
      </c>
      <c r="O62" s="15">
        <f ca="1">IFERROR(__xludf.DUMMYFUNCTION("""COMPUTED_VALUE"""),314.3)</f>
        <v>314.3</v>
      </c>
      <c r="P62" s="15">
        <f ca="1">IFERROR(__xludf.DUMMYFUNCTION("""COMPUTED_VALUE"""),1226048)</f>
        <v>1226048</v>
      </c>
      <c r="Q62" s="15">
        <f t="shared" si="5"/>
        <v>37.299999999999997</v>
      </c>
      <c r="R62" s="15">
        <f t="shared" si="6"/>
        <v>-11973.3</v>
      </c>
      <c r="S62" s="16">
        <f t="shared" si="7"/>
        <v>44671</v>
      </c>
      <c r="T62" s="29"/>
      <c r="U62" s="18"/>
      <c r="V62" s="18"/>
      <c r="W62" s="18"/>
    </row>
    <row r="63" spans="1:23" ht="15.75">
      <c r="A63" s="19">
        <v>44686</v>
      </c>
      <c r="B63" s="20" t="s">
        <v>61</v>
      </c>
      <c r="C63" s="20" t="s">
        <v>0</v>
      </c>
      <c r="D63" s="21">
        <v>8</v>
      </c>
      <c r="E63" s="22">
        <v>2279</v>
      </c>
      <c r="F63" s="22">
        <f t="shared" ca="1" si="0"/>
        <v>2245.0769</v>
      </c>
      <c r="G63" s="22">
        <f t="shared" ca="1" si="1"/>
        <v>2374.8149999999996</v>
      </c>
      <c r="H63" s="20" t="str">
        <f t="shared" ca="1" si="2"/>
        <v>Valid</v>
      </c>
      <c r="I63" s="21">
        <f t="shared" si="3"/>
        <v>18232</v>
      </c>
      <c r="J63" s="23">
        <f t="shared" ca="1" si="8"/>
        <v>98314.53</v>
      </c>
      <c r="K63" s="14">
        <f ca="1">IFERROR(__xludf.DUMMYFUNCTION("iferror(index(GOOGLEFINANCE(B64,""all"",A64-10,A64+3),MATCH(A64+0.6458333333,index(GOOGLEFINANCE(B64,""all"",A64-10,A64+3),,1)),),"""")"),44686.6458333333)</f>
        <v>44686.645833333299</v>
      </c>
      <c r="L63" s="15">
        <f ca="1">IFERROR(__xludf.DUMMYFUNCTION("""COMPUTED_VALUE"""),2295.6)</f>
        <v>2295.6</v>
      </c>
      <c r="M63" s="15">
        <f ca="1">IFERROR(__xludf.DUMMYFUNCTION("""COMPUTED_VALUE"""),2363)</f>
        <v>2363</v>
      </c>
      <c r="N63" s="15">
        <f ca="1">IFERROR(__xludf.DUMMYFUNCTION("""COMPUTED_VALUE"""),2246.2)</f>
        <v>2246.1999999999998</v>
      </c>
      <c r="O63" s="15">
        <f ca="1">IFERROR(__xludf.DUMMYFUNCTION("""COMPUTED_VALUE"""),2299.2)</f>
        <v>2299.1999999999998</v>
      </c>
      <c r="P63" s="15">
        <f ca="1">IFERROR(__xludf.DUMMYFUNCTION("""COMPUTED_VALUE"""),55261)</f>
        <v>55261</v>
      </c>
      <c r="Q63" s="15">
        <f t="shared" si="5"/>
        <v>8</v>
      </c>
      <c r="R63" s="15">
        <f t="shared" si="6"/>
        <v>-18232</v>
      </c>
      <c r="S63" s="16">
        <f t="shared" si="7"/>
        <v>44686</v>
      </c>
      <c r="T63" s="29"/>
      <c r="U63" s="18"/>
      <c r="V63" s="18"/>
      <c r="W63" s="18"/>
    </row>
    <row r="64" spans="1:23" ht="15.75">
      <c r="A64" s="24">
        <v>44704</v>
      </c>
      <c r="B64" s="25" t="s">
        <v>54</v>
      </c>
      <c r="C64" s="25" t="s">
        <v>1</v>
      </c>
      <c r="D64" s="26">
        <v>22.5</v>
      </c>
      <c r="E64" s="27">
        <v>385</v>
      </c>
      <c r="F64" s="27">
        <f t="shared" ca="1" si="0"/>
        <v>375.21229999999997</v>
      </c>
      <c r="G64" s="27">
        <f t="shared" ca="1" si="1"/>
        <v>389.58824999999996</v>
      </c>
      <c r="H64" s="25" t="str">
        <f t="shared" ca="1" si="2"/>
        <v>Valid</v>
      </c>
      <c r="I64" s="26">
        <f t="shared" si="3"/>
        <v>8662.5</v>
      </c>
      <c r="J64" s="28">
        <f t="shared" ca="1" si="8"/>
        <v>106977.03</v>
      </c>
      <c r="K64" s="14">
        <f ca="1">IFERROR(__xludf.DUMMYFUNCTION("iferror(index(GOOGLEFINANCE(B65,""all"",A65-10,A65+3),MATCH(A65+0.6458333333,index(GOOGLEFINANCE(B65,""all"",A65-10,A65+3),,1)),),"""")"),44704.6458333333)</f>
        <v>44704.645833333299</v>
      </c>
      <c r="L64" s="15">
        <f ca="1">IFERROR(__xludf.DUMMYFUNCTION("""COMPUTED_VALUE"""),385.5)</f>
        <v>385.5</v>
      </c>
      <c r="M64" s="15">
        <f ca="1">IFERROR(__xludf.DUMMYFUNCTION("""COMPUTED_VALUE"""),387.65)</f>
        <v>387.65</v>
      </c>
      <c r="N64" s="15">
        <f ca="1">IFERROR(__xludf.DUMMYFUNCTION("""COMPUTED_VALUE"""),375.4)</f>
        <v>375.4</v>
      </c>
      <c r="O64" s="15">
        <f ca="1">IFERROR(__xludf.DUMMYFUNCTION("""COMPUTED_VALUE"""),378.1)</f>
        <v>378.1</v>
      </c>
      <c r="P64" s="15">
        <f ca="1">IFERROR(__xludf.DUMMYFUNCTION("""COMPUTED_VALUE"""),1246814)</f>
        <v>1246814</v>
      </c>
      <c r="Q64" s="15">
        <f t="shared" si="5"/>
        <v>-22.5</v>
      </c>
      <c r="R64" s="15">
        <f t="shared" si="6"/>
        <v>8662.5</v>
      </c>
      <c r="S64" s="16">
        <f t="shared" si="7"/>
        <v>44704</v>
      </c>
      <c r="T64" s="29"/>
      <c r="U64" s="18"/>
      <c r="V64" s="18"/>
      <c r="W64" s="18"/>
    </row>
    <row r="65" spans="1:23" ht="15.75">
      <c r="A65" s="24">
        <v>44825</v>
      </c>
      <c r="B65" s="25" t="s">
        <v>61</v>
      </c>
      <c r="C65" s="25" t="s">
        <v>1</v>
      </c>
      <c r="D65" s="26">
        <v>8</v>
      </c>
      <c r="E65" s="27">
        <v>3345</v>
      </c>
      <c r="F65" s="27">
        <f t="shared" ca="1" si="0"/>
        <v>3303.1975750000001</v>
      </c>
      <c r="G65" s="27">
        <f t="shared" ca="1" si="1"/>
        <v>3467.049</v>
      </c>
      <c r="H65" s="25" t="str">
        <f t="shared" ca="1" si="2"/>
        <v>Valid</v>
      </c>
      <c r="I65" s="26">
        <f t="shared" si="3"/>
        <v>26760</v>
      </c>
      <c r="J65" s="28">
        <f t="shared" ca="1" si="8"/>
        <v>133737.03</v>
      </c>
      <c r="K65" s="14">
        <f ca="1">IFERROR(__xludf.DUMMYFUNCTION("iferror(index(GOOGLEFINANCE(B66,""all"",A66-10,A66+3),MATCH(A66+0.6458333333,index(GOOGLEFINANCE(B66,""all"",A66-10,A66+3),,1)),),"""")"),44825.6458333333)</f>
        <v>44825.645833333299</v>
      </c>
      <c r="L65" s="15">
        <f ca="1">IFERROR(__xludf.DUMMYFUNCTION("""COMPUTED_VALUE"""),3330)</f>
        <v>3330</v>
      </c>
      <c r="M65" s="15">
        <f ca="1">IFERROR(__xludf.DUMMYFUNCTION("""COMPUTED_VALUE"""),3449.8)</f>
        <v>3449.8</v>
      </c>
      <c r="N65" s="15">
        <f ca="1">IFERROR(__xludf.DUMMYFUNCTION("""COMPUTED_VALUE"""),3304.85)</f>
        <v>3304.85</v>
      </c>
      <c r="O65" s="15">
        <f ca="1">IFERROR(__xludf.DUMMYFUNCTION("""COMPUTED_VALUE"""),3340.25)</f>
        <v>3340.25</v>
      </c>
      <c r="P65" s="15">
        <f ca="1">IFERROR(__xludf.DUMMYFUNCTION("""COMPUTED_VALUE"""),318322)</f>
        <v>318322</v>
      </c>
      <c r="Q65" s="15">
        <f t="shared" si="5"/>
        <v>-8</v>
      </c>
      <c r="R65" s="15">
        <f t="shared" si="6"/>
        <v>26760</v>
      </c>
      <c r="S65" s="16">
        <f t="shared" si="7"/>
        <v>44825</v>
      </c>
      <c r="T65" s="29"/>
      <c r="U65" s="18"/>
      <c r="V65" s="18"/>
      <c r="W65" s="18"/>
    </row>
    <row r="66" spans="1:23" ht="15.75">
      <c r="A66" s="19">
        <v>44826</v>
      </c>
      <c r="B66" s="20" t="s">
        <v>62</v>
      </c>
      <c r="C66" s="20" t="s">
        <v>0</v>
      </c>
      <c r="D66" s="21">
        <v>29.2</v>
      </c>
      <c r="E66" s="21">
        <v>322</v>
      </c>
      <c r="F66" s="21">
        <f t="shared" ca="1" si="0"/>
        <v>315.39222500000005</v>
      </c>
      <c r="G66" s="21">
        <f t="shared" ca="1" si="1"/>
        <v>331.65</v>
      </c>
      <c r="H66" s="20" t="str">
        <f t="shared" ca="1" si="2"/>
        <v>Valid</v>
      </c>
      <c r="I66" s="21">
        <f t="shared" si="3"/>
        <v>9402.4</v>
      </c>
      <c r="J66" s="23">
        <f t="shared" ca="1" si="8"/>
        <v>124334.63</v>
      </c>
      <c r="K66" s="14">
        <f ca="1">IFERROR(__xludf.DUMMYFUNCTION("iferror(index(GOOGLEFINANCE(B67,""all"",A67-10,A67+3),MATCH(A67+0.6458333333,index(GOOGLEFINANCE(B67,""all"",A67-10,A67+3),,1)),),"""")"),44826.6458333333)</f>
        <v>44826.645833333299</v>
      </c>
      <c r="L66" s="15">
        <f ca="1">IFERROR(__xludf.DUMMYFUNCTION("""COMPUTED_VALUE"""),323)</f>
        <v>323</v>
      </c>
      <c r="M66" s="15">
        <f ca="1">IFERROR(__xludf.DUMMYFUNCTION("""COMPUTED_VALUE"""),330)</f>
        <v>330</v>
      </c>
      <c r="N66" s="15">
        <f ca="1">IFERROR(__xludf.DUMMYFUNCTION("""COMPUTED_VALUE"""),315.55)</f>
        <v>315.55</v>
      </c>
      <c r="O66" s="15">
        <f ca="1">IFERROR(__xludf.DUMMYFUNCTION("""COMPUTED_VALUE"""),321.55)</f>
        <v>321.55</v>
      </c>
      <c r="P66" s="15">
        <f ca="1">IFERROR(__xludf.DUMMYFUNCTION("""COMPUTED_VALUE"""),80757)</f>
        <v>80757</v>
      </c>
      <c r="Q66" s="15">
        <f t="shared" si="5"/>
        <v>29.2</v>
      </c>
      <c r="R66" s="15">
        <f t="shared" si="6"/>
        <v>-9402.4</v>
      </c>
      <c r="S66" s="16">
        <f t="shared" si="7"/>
        <v>44826</v>
      </c>
      <c r="T66" s="29"/>
      <c r="U66" s="18"/>
      <c r="V66" s="18"/>
      <c r="W66" s="18"/>
    </row>
    <row r="67" spans="1:23" ht="15.75">
      <c r="A67" s="32">
        <v>44879</v>
      </c>
      <c r="B67" s="20" t="s">
        <v>63</v>
      </c>
      <c r="C67" s="20" t="s">
        <v>0</v>
      </c>
      <c r="D67" s="21">
        <v>245</v>
      </c>
      <c r="E67" s="22">
        <v>53.5</v>
      </c>
      <c r="F67" s="22">
        <f t="shared" ca="1" si="0"/>
        <v>50.824575000000003</v>
      </c>
      <c r="G67" s="22">
        <f t="shared" ca="1" si="1"/>
        <v>54.521249999999995</v>
      </c>
      <c r="H67" s="20" t="str">
        <f t="shared" ca="1" si="2"/>
        <v>Valid</v>
      </c>
      <c r="I67" s="21">
        <f t="shared" si="3"/>
        <v>13107.5</v>
      </c>
      <c r="J67" s="23">
        <f t="shared" ref="J67:J98" ca="1" si="9">IF(A67="","",ROUND(
IF(ROW(A67)-ROW($A$1)=1,I_ST_CASH,OFFSET(J67,-1,0))
+(IF(C67="Buy",-1,IF(C67="Sell",1,0))*I67)
+(IF(C67="Cash Deposit",1,IF(C67="Cash Withdrawal",-1,0))*I67)
+(IF(C67="Cash Dividend",1,IF(C67="Fees",-1,0))*I67),2))</f>
        <v>111227.13</v>
      </c>
      <c r="K67" s="14">
        <f ca="1">IFERROR(__xludf.DUMMYFUNCTION("iferror(index(GOOGLEFINANCE(B68,""all"",A68-10,A68+3),MATCH(A68+0.6458333333,index(GOOGLEFINANCE(B68,""all"",A68-10,A68+3),,1)),),"""")"),44879.6458333333)</f>
        <v>44879.645833333299</v>
      </c>
      <c r="L67" s="15">
        <f ca="1">IFERROR(__xludf.DUMMYFUNCTION("""COMPUTED_VALUE"""),52.5)</f>
        <v>52.5</v>
      </c>
      <c r="M67" s="15">
        <f ca="1">IFERROR(__xludf.DUMMYFUNCTION("""COMPUTED_VALUE"""),54.25)</f>
        <v>54.25</v>
      </c>
      <c r="N67" s="15">
        <f ca="1">IFERROR(__xludf.DUMMYFUNCTION("""COMPUTED_VALUE"""),50.85)</f>
        <v>50.85</v>
      </c>
      <c r="O67" s="15">
        <f ca="1">IFERROR(__xludf.DUMMYFUNCTION("""COMPUTED_VALUE"""),53.4)</f>
        <v>53.4</v>
      </c>
      <c r="P67" s="15">
        <f ca="1">IFERROR(__xludf.DUMMYFUNCTION("""COMPUTED_VALUE"""),29428038)</f>
        <v>29428038</v>
      </c>
      <c r="Q67" s="15">
        <f t="shared" si="5"/>
        <v>245</v>
      </c>
      <c r="R67" s="15">
        <f t="shared" si="6"/>
        <v>-13107.5</v>
      </c>
      <c r="S67" s="33">
        <f t="shared" si="7"/>
        <v>44879</v>
      </c>
      <c r="T67" s="29"/>
      <c r="U67" s="18"/>
      <c r="V67" s="18"/>
      <c r="W67" s="18"/>
    </row>
    <row r="68" spans="1:23" ht="15.75">
      <c r="A68" s="34">
        <v>44882</v>
      </c>
      <c r="B68" s="25" t="s">
        <v>59</v>
      </c>
      <c r="C68" s="25" t="s">
        <v>1</v>
      </c>
      <c r="D68" s="26">
        <v>27.3</v>
      </c>
      <c r="E68" s="27">
        <v>495</v>
      </c>
      <c r="F68" s="27">
        <f t="shared" ca="1" si="0"/>
        <v>486.40667500000001</v>
      </c>
      <c r="G68" s="27">
        <f t="shared" ca="1" si="1"/>
        <v>504.91199999999992</v>
      </c>
      <c r="H68" s="25" t="str">
        <f t="shared" ca="1" si="2"/>
        <v>Valid</v>
      </c>
      <c r="I68" s="26">
        <f t="shared" si="3"/>
        <v>13513.5</v>
      </c>
      <c r="J68" s="28">
        <f t="shared" ca="1" si="9"/>
        <v>124740.63</v>
      </c>
      <c r="K68" s="14">
        <f ca="1">IFERROR(__xludf.DUMMYFUNCTION("iferror(index(GOOGLEFINANCE(B69,""all"",A69-10,A69+3),MATCH(A69+0.6458333333,index(GOOGLEFINANCE(B69,""all"",A69-10,A69+3),,1)),),"""")"),44882.6458333333)</f>
        <v>44882.645833333299</v>
      </c>
      <c r="L68" s="15">
        <f ca="1">IFERROR(__xludf.DUMMYFUNCTION("""COMPUTED_VALUE"""),492.5)</f>
        <v>492.5</v>
      </c>
      <c r="M68" s="15">
        <f ca="1">IFERROR(__xludf.DUMMYFUNCTION("""COMPUTED_VALUE"""),502.4)</f>
        <v>502.4</v>
      </c>
      <c r="N68" s="15">
        <f ca="1">IFERROR(__xludf.DUMMYFUNCTION("""COMPUTED_VALUE"""),486.65)</f>
        <v>486.65</v>
      </c>
      <c r="O68" s="15">
        <f ca="1">IFERROR(__xludf.DUMMYFUNCTION("""COMPUTED_VALUE"""),496.2)</f>
        <v>496.2</v>
      </c>
      <c r="P68" s="15">
        <f ca="1">IFERROR(__xludf.DUMMYFUNCTION("""COMPUTED_VALUE"""),1521502)</f>
        <v>1521502</v>
      </c>
      <c r="Q68" s="15">
        <f t="shared" si="5"/>
        <v>-27.3</v>
      </c>
      <c r="R68" s="15">
        <f t="shared" si="6"/>
        <v>13513.5</v>
      </c>
      <c r="S68" s="33">
        <f t="shared" si="7"/>
        <v>44882</v>
      </c>
      <c r="T68" s="29"/>
      <c r="U68" s="18"/>
      <c r="V68" s="18"/>
      <c r="W68" s="18"/>
    </row>
    <row r="69" spans="1:23" ht="15.75">
      <c r="A69" s="34">
        <v>44910</v>
      </c>
      <c r="B69" s="25" t="s">
        <v>60</v>
      </c>
      <c r="C69" s="25" t="s">
        <v>1</v>
      </c>
      <c r="D69" s="26">
        <v>37.299999999999997</v>
      </c>
      <c r="E69" s="26">
        <v>875</v>
      </c>
      <c r="F69" s="26">
        <f t="shared" ca="1" si="0"/>
        <v>859.57</v>
      </c>
      <c r="G69" s="26">
        <f t="shared" ca="1" si="1"/>
        <v>888.72149999999988</v>
      </c>
      <c r="H69" s="25" t="str">
        <f t="shared" ca="1" si="2"/>
        <v>Valid</v>
      </c>
      <c r="I69" s="26">
        <f t="shared" si="3"/>
        <v>32637.499999999996</v>
      </c>
      <c r="J69" s="28">
        <f t="shared" ca="1" si="9"/>
        <v>157378.13</v>
      </c>
      <c r="K69" s="14">
        <f ca="1">IFERROR(__xludf.DUMMYFUNCTION("iferror(index(GOOGLEFINANCE(B70,""all"",A70-10,A70+3),MATCH(A70+0.6458333333,index(GOOGLEFINANCE(B70,""all"",A70-10,A70+3),,1)),),"""")"),44910.6458333333)</f>
        <v>44910.645833333299</v>
      </c>
      <c r="L69" s="15">
        <f ca="1">IFERROR(__xludf.DUMMYFUNCTION("""COMPUTED_VALUE"""),879.9)</f>
        <v>879.9</v>
      </c>
      <c r="M69" s="15">
        <f ca="1">IFERROR(__xludf.DUMMYFUNCTION("""COMPUTED_VALUE"""),884.3)</f>
        <v>884.3</v>
      </c>
      <c r="N69" s="15">
        <f ca="1">IFERROR(__xludf.DUMMYFUNCTION("""COMPUTED_VALUE"""),860)</f>
        <v>860</v>
      </c>
      <c r="O69" s="15">
        <f ca="1">IFERROR(__xludf.DUMMYFUNCTION("""COMPUTED_VALUE"""),863.85)</f>
        <v>863.85</v>
      </c>
      <c r="P69" s="15">
        <f ca="1">IFERROR(__xludf.DUMMYFUNCTION("""COMPUTED_VALUE"""),1395931)</f>
        <v>1395931</v>
      </c>
      <c r="Q69" s="15">
        <f t="shared" si="5"/>
        <v>-37.299999999999997</v>
      </c>
      <c r="R69" s="15">
        <f t="shared" si="6"/>
        <v>32637.499999999996</v>
      </c>
      <c r="S69" s="33">
        <f t="shared" si="7"/>
        <v>44910</v>
      </c>
      <c r="T69" s="29"/>
      <c r="U69" s="18"/>
      <c r="V69" s="18"/>
      <c r="W69" s="18"/>
    </row>
    <row r="70" spans="1:23" ht="15.75">
      <c r="A70" s="32">
        <v>44911</v>
      </c>
      <c r="B70" s="20" t="s">
        <v>64</v>
      </c>
      <c r="C70" s="20" t="s">
        <v>0</v>
      </c>
      <c r="D70" s="21">
        <v>54</v>
      </c>
      <c r="E70" s="22">
        <v>233</v>
      </c>
      <c r="F70" s="22">
        <f t="shared" ca="1" si="0"/>
        <v>213.79305000000002</v>
      </c>
      <c r="G70" s="22">
        <f t="shared" ca="1" si="1"/>
        <v>235.32074999999998</v>
      </c>
      <c r="H70" s="20" t="str">
        <f t="shared" ca="1" si="2"/>
        <v>Valid</v>
      </c>
      <c r="I70" s="21">
        <f t="shared" si="3"/>
        <v>12582</v>
      </c>
      <c r="J70" s="23">
        <f t="shared" ca="1" si="9"/>
        <v>144796.13</v>
      </c>
      <c r="K70" s="14">
        <f ca="1">IFERROR(__xludf.DUMMYFUNCTION("iferror(index(GOOGLEFINANCE(B71,""all"",A71-10,A71+3),MATCH(A71+0.6458333333,index(GOOGLEFINANCE(B71,""all"",A71-10,A71+3),,1)),),"""")"),44911.6458333333)</f>
        <v>44911.645833333299</v>
      </c>
      <c r="L70" s="15">
        <f ca="1">IFERROR(__xludf.DUMMYFUNCTION("""COMPUTED_VALUE"""),215)</f>
        <v>215</v>
      </c>
      <c r="M70" s="15">
        <f ca="1">IFERROR(__xludf.DUMMYFUNCTION("""COMPUTED_VALUE"""),234.15)</f>
        <v>234.15</v>
      </c>
      <c r="N70" s="15">
        <f ca="1">IFERROR(__xludf.DUMMYFUNCTION("""COMPUTED_VALUE"""),213.9)</f>
        <v>213.9</v>
      </c>
      <c r="O70" s="15">
        <f ca="1">IFERROR(__xludf.DUMMYFUNCTION("""COMPUTED_VALUE"""),219.55)</f>
        <v>219.55</v>
      </c>
      <c r="P70" s="15">
        <f ca="1">IFERROR(__xludf.DUMMYFUNCTION("""COMPUTED_VALUE"""),7321285)</f>
        <v>7321285</v>
      </c>
      <c r="Q70" s="15">
        <f t="shared" si="5"/>
        <v>54</v>
      </c>
      <c r="R70" s="15">
        <f t="shared" si="6"/>
        <v>-12582</v>
      </c>
      <c r="S70" s="33">
        <f t="shared" si="7"/>
        <v>44911</v>
      </c>
      <c r="T70" s="29"/>
      <c r="U70" s="18"/>
      <c r="V70" s="18"/>
      <c r="W70" s="18"/>
    </row>
    <row r="71" spans="1:23" ht="15.75">
      <c r="A71" s="32">
        <v>44918</v>
      </c>
      <c r="B71" s="20" t="s">
        <v>65</v>
      </c>
      <c r="C71" s="20" t="s">
        <v>0</v>
      </c>
      <c r="D71" s="21">
        <v>19</v>
      </c>
      <c r="E71" s="22">
        <v>925</v>
      </c>
      <c r="F71" s="22">
        <f t="shared" ca="1" si="0"/>
        <v>890.55450000000008</v>
      </c>
      <c r="G71" s="22">
        <f t="shared" ca="1" si="1"/>
        <v>930.07724999999994</v>
      </c>
      <c r="H71" s="20" t="str">
        <f t="shared" ca="1" si="2"/>
        <v>Valid</v>
      </c>
      <c r="I71" s="21">
        <f t="shared" si="3"/>
        <v>17575</v>
      </c>
      <c r="J71" s="23">
        <f t="shared" ca="1" si="9"/>
        <v>127221.13</v>
      </c>
      <c r="K71" s="14">
        <f ca="1">IFERROR(__xludf.DUMMYFUNCTION("iferror(index(GOOGLEFINANCE(B72,""all"",A72-10,A72+3),MATCH(A72+0.6458333333,index(GOOGLEFINANCE(B72,""all"",A72-10,A72+3),,1)),),"""")"),44918.6458333333)</f>
        <v>44918.645833333299</v>
      </c>
      <c r="L71" s="15">
        <f ca="1">IFERROR(__xludf.DUMMYFUNCTION("""COMPUTED_VALUE"""),919.95)</f>
        <v>919.95</v>
      </c>
      <c r="M71" s="15">
        <f ca="1">IFERROR(__xludf.DUMMYFUNCTION("""COMPUTED_VALUE"""),925.45)</f>
        <v>925.45</v>
      </c>
      <c r="N71" s="15">
        <f ca="1">IFERROR(__xludf.DUMMYFUNCTION("""COMPUTED_VALUE"""),891)</f>
        <v>891</v>
      </c>
      <c r="O71" s="15">
        <f ca="1">IFERROR(__xludf.DUMMYFUNCTION("""COMPUTED_VALUE"""),898.95)</f>
        <v>898.95</v>
      </c>
      <c r="P71" s="15">
        <f ca="1">IFERROR(__xludf.DUMMYFUNCTION("""COMPUTED_VALUE"""),61926)</f>
        <v>61926</v>
      </c>
      <c r="Q71" s="15">
        <f t="shared" si="5"/>
        <v>19</v>
      </c>
      <c r="R71" s="15">
        <f t="shared" si="6"/>
        <v>-17575</v>
      </c>
      <c r="S71" s="33">
        <f t="shared" si="7"/>
        <v>44918</v>
      </c>
      <c r="T71" s="29"/>
      <c r="U71" s="18"/>
      <c r="V71" s="18"/>
      <c r="W71" s="18"/>
    </row>
    <row r="72" spans="1:23" ht="15.75">
      <c r="A72" s="24">
        <v>44956</v>
      </c>
      <c r="B72" s="25" t="s">
        <v>62</v>
      </c>
      <c r="C72" s="25" t="s">
        <v>1</v>
      </c>
      <c r="D72" s="26">
        <v>29.2</v>
      </c>
      <c r="E72" s="27">
        <v>256.2</v>
      </c>
      <c r="F72" s="27">
        <f t="shared" ca="1" si="0"/>
        <v>254.8725</v>
      </c>
      <c r="G72" s="27">
        <f t="shared" ca="1" si="1"/>
        <v>297.98249999999996</v>
      </c>
      <c r="H72" s="25" t="str">
        <f t="shared" ca="1" si="2"/>
        <v>Valid</v>
      </c>
      <c r="I72" s="26">
        <f t="shared" si="3"/>
        <v>7481.0399999999991</v>
      </c>
      <c r="J72" s="28">
        <f t="shared" ca="1" si="9"/>
        <v>134702.17000000001</v>
      </c>
      <c r="K72" s="14">
        <f ca="1">IFERROR(__xludf.DUMMYFUNCTION("iferror(index(GOOGLEFINANCE(B73,""all"",A73-10,A73+3),MATCH(A73+0.6458333333,index(GOOGLEFINANCE(B73,""all"",A73-10,A73+3),,1)),),"""")"),44956.6458333333)</f>
        <v>44956.645833333299</v>
      </c>
      <c r="L72" s="15">
        <f ca="1">IFERROR(__xludf.DUMMYFUNCTION("""COMPUTED_VALUE"""),291)</f>
        <v>291</v>
      </c>
      <c r="M72" s="15">
        <f ca="1">IFERROR(__xludf.DUMMYFUNCTION("""COMPUTED_VALUE"""),296.5)</f>
        <v>296.5</v>
      </c>
      <c r="N72" s="15">
        <f ca="1">IFERROR(__xludf.DUMMYFUNCTION("""COMPUTED_VALUE"""),255)</f>
        <v>255</v>
      </c>
      <c r="O72" s="15">
        <f ca="1">IFERROR(__xludf.DUMMYFUNCTION("""COMPUTED_VALUE"""),260.9)</f>
        <v>260.89999999999998</v>
      </c>
      <c r="P72" s="15">
        <f ca="1">IFERROR(__xludf.DUMMYFUNCTION("""COMPUTED_VALUE"""),179186)</f>
        <v>179186</v>
      </c>
      <c r="Q72" s="15">
        <f t="shared" si="5"/>
        <v>-29.2</v>
      </c>
      <c r="R72" s="15">
        <f t="shared" si="6"/>
        <v>7481.0399999999991</v>
      </c>
      <c r="S72" s="16">
        <f t="shared" si="7"/>
        <v>44956</v>
      </c>
      <c r="T72" s="29"/>
      <c r="U72" s="18"/>
      <c r="V72" s="18"/>
      <c r="W72" s="18"/>
    </row>
    <row r="73" spans="1:23" ht="15.75">
      <c r="A73" s="19">
        <v>45051</v>
      </c>
      <c r="B73" s="20" t="s">
        <v>66</v>
      </c>
      <c r="C73" s="20" t="s">
        <v>0</v>
      </c>
      <c r="D73" s="21">
        <v>6.8</v>
      </c>
      <c r="E73" s="22">
        <v>1270</v>
      </c>
      <c r="F73" s="22">
        <f t="shared" ca="1" si="0"/>
        <v>1130.6344000000001</v>
      </c>
      <c r="G73" s="22">
        <f t="shared" ca="1" si="1"/>
        <v>1281.32475</v>
      </c>
      <c r="H73" s="20" t="str">
        <f t="shared" ca="1" si="2"/>
        <v>Valid</v>
      </c>
      <c r="I73" s="21">
        <f t="shared" si="3"/>
        <v>8636</v>
      </c>
      <c r="J73" s="23">
        <f t="shared" ca="1" si="9"/>
        <v>126066.17</v>
      </c>
      <c r="K73" s="14">
        <f ca="1">IFERROR(__xludf.DUMMYFUNCTION("iferror(index(GOOGLEFINANCE(B74,""all"",A74-10,A74+3),MATCH(A74+0.6458333333,index(GOOGLEFINANCE(B74,""all"",A74-10,A74+3),,1)),),"""")"),45051.6458333333)</f>
        <v>45051.645833333299</v>
      </c>
      <c r="L73" s="15">
        <f ca="1">IFERROR(__xludf.DUMMYFUNCTION("""COMPUTED_VALUE"""),1175.3)</f>
        <v>1175.3</v>
      </c>
      <c r="M73" s="15">
        <f ca="1">IFERROR(__xludf.DUMMYFUNCTION("""COMPUTED_VALUE"""),1274.95)</f>
        <v>1274.95</v>
      </c>
      <c r="N73" s="15">
        <f ca="1">IFERROR(__xludf.DUMMYFUNCTION("""COMPUTED_VALUE"""),1131.2)</f>
        <v>1131.2</v>
      </c>
      <c r="O73" s="15">
        <f ca="1">IFERROR(__xludf.DUMMYFUNCTION("""COMPUTED_VALUE"""),1154.95)</f>
        <v>1154.95</v>
      </c>
      <c r="P73" s="15">
        <f ca="1">IFERROR(__xludf.DUMMYFUNCTION("""COMPUTED_VALUE"""),70806)</f>
        <v>70806</v>
      </c>
      <c r="Q73" s="15">
        <f t="shared" si="5"/>
        <v>6.8</v>
      </c>
      <c r="R73" s="15">
        <f t="shared" si="6"/>
        <v>-8636</v>
      </c>
      <c r="S73" s="16">
        <f t="shared" si="7"/>
        <v>45051</v>
      </c>
      <c r="T73" s="29"/>
      <c r="U73" s="18"/>
      <c r="V73" s="18"/>
      <c r="W73" s="18"/>
    </row>
    <row r="74" spans="1:23">
      <c r="A74" s="19">
        <v>45072</v>
      </c>
      <c r="B74" s="20" t="s">
        <v>67</v>
      </c>
      <c r="C74" s="20" t="s">
        <v>0</v>
      </c>
      <c r="D74" s="21">
        <v>23.5</v>
      </c>
      <c r="E74" s="22">
        <v>562</v>
      </c>
      <c r="F74" s="22">
        <f t="shared" ca="1" si="0"/>
        <v>539.73</v>
      </c>
      <c r="G74" s="22">
        <f t="shared" ca="1" si="1"/>
        <v>566.71949999999993</v>
      </c>
      <c r="H74" s="20" t="str">
        <f t="shared" ca="1" si="2"/>
        <v>Valid</v>
      </c>
      <c r="I74" s="21">
        <f t="shared" si="3"/>
        <v>13207</v>
      </c>
      <c r="J74" s="23">
        <f t="shared" ca="1" si="9"/>
        <v>112859.17</v>
      </c>
      <c r="K74" s="14">
        <f ca="1">IFERROR(__xludf.DUMMYFUNCTION("iferror(index(GOOGLEFINANCE(B75,""all"",A75-10,A75+3),MATCH(A75+0.6458333333,index(GOOGLEFINANCE(B75,""all"",A75-10,A75+3),,1)),),"""")"),45072.6458333333)</f>
        <v>45072.645833333299</v>
      </c>
      <c r="L74" s="15">
        <f ca="1">IFERROR(__xludf.DUMMYFUNCTION("""COMPUTED_VALUE"""),559)</f>
        <v>559</v>
      </c>
      <c r="M74" s="15">
        <f ca="1">IFERROR(__xludf.DUMMYFUNCTION("""COMPUTED_VALUE"""),563.9)</f>
        <v>563.9</v>
      </c>
      <c r="N74" s="15">
        <f ca="1">IFERROR(__xludf.DUMMYFUNCTION("""COMPUTED_VALUE"""),540)</f>
        <v>540</v>
      </c>
      <c r="O74" s="15">
        <f ca="1">IFERROR(__xludf.DUMMYFUNCTION("""COMPUTED_VALUE"""),543.6)</f>
        <v>543.6</v>
      </c>
      <c r="P74" s="15">
        <f ca="1">IFERROR(__xludf.DUMMYFUNCTION("""COMPUTED_VALUE"""),469995)</f>
        <v>469995</v>
      </c>
      <c r="Q74" s="15">
        <f t="shared" si="5"/>
        <v>23.5</v>
      </c>
      <c r="R74" s="15">
        <f t="shared" si="6"/>
        <v>-13207</v>
      </c>
      <c r="S74" s="16">
        <f t="shared" si="7"/>
        <v>45072</v>
      </c>
    </row>
    <row r="75" spans="1:23" ht="15.75">
      <c r="A75" s="19">
        <v>45072</v>
      </c>
      <c r="B75" s="20" t="s">
        <v>68</v>
      </c>
      <c r="C75" s="20" t="s">
        <v>0</v>
      </c>
      <c r="D75" s="21">
        <v>18.899999999999999</v>
      </c>
      <c r="E75" s="22">
        <v>877</v>
      </c>
      <c r="F75" s="22">
        <f t="shared" ca="1" si="0"/>
        <v>836.18170000000009</v>
      </c>
      <c r="G75" s="22">
        <f t="shared" ca="1" si="1"/>
        <v>883.79699999999991</v>
      </c>
      <c r="H75" s="20" t="str">
        <f t="shared" ca="1" si="2"/>
        <v>Valid</v>
      </c>
      <c r="I75" s="21">
        <f t="shared" si="3"/>
        <v>16575.3</v>
      </c>
      <c r="J75" s="23">
        <f t="shared" ca="1" si="9"/>
        <v>96283.87</v>
      </c>
      <c r="K75" s="14">
        <f ca="1">IFERROR(__xludf.DUMMYFUNCTION("iferror(index(GOOGLEFINANCE(B76,""all"",A76-10,A76+3),MATCH(A76+0.6458333333,index(GOOGLEFINANCE(B76,""all"",A76-10,A76+3),,1)),),"""")"),45072.6458333333)</f>
        <v>45072.645833333299</v>
      </c>
      <c r="L75" s="15">
        <f ca="1">IFERROR(__xludf.DUMMYFUNCTION("""COMPUTED_VALUE"""),864.05)</f>
        <v>864.05</v>
      </c>
      <c r="M75" s="15">
        <f ca="1">IFERROR(__xludf.DUMMYFUNCTION("""COMPUTED_VALUE"""),879.4)</f>
        <v>879.4</v>
      </c>
      <c r="N75" s="15">
        <f ca="1">IFERROR(__xludf.DUMMYFUNCTION("""COMPUTED_VALUE"""),836.6)</f>
        <v>836.6</v>
      </c>
      <c r="O75" s="15">
        <f ca="1">IFERROR(__xludf.DUMMYFUNCTION("""COMPUTED_VALUE"""),844.05)</f>
        <v>844.05</v>
      </c>
      <c r="P75" s="15">
        <f ca="1">IFERROR(__xludf.DUMMYFUNCTION("""COMPUTED_VALUE"""),394293)</f>
        <v>394293</v>
      </c>
      <c r="Q75" s="15">
        <f t="shared" si="5"/>
        <v>18.899999999999999</v>
      </c>
      <c r="R75" s="15">
        <f t="shared" si="6"/>
        <v>-16575.3</v>
      </c>
      <c r="S75" s="16">
        <f t="shared" si="7"/>
        <v>45072</v>
      </c>
      <c r="T75" s="29"/>
      <c r="U75" s="18"/>
      <c r="V75" s="18"/>
      <c r="W75" s="18"/>
    </row>
    <row r="76" spans="1:23" ht="15.75">
      <c r="A76" s="24">
        <v>45126</v>
      </c>
      <c r="B76" s="25" t="s">
        <v>57</v>
      </c>
      <c r="C76" s="25" t="s">
        <v>1</v>
      </c>
      <c r="D76" s="26">
        <v>25.8</v>
      </c>
      <c r="E76" s="27">
        <v>612.20000000000005</v>
      </c>
      <c r="F76" s="27">
        <f t="shared" ca="1" si="0"/>
        <v>611.54407500000002</v>
      </c>
      <c r="G76" s="27">
        <f t="shared" ca="1" si="1"/>
        <v>637.11974999999995</v>
      </c>
      <c r="H76" s="25" t="str">
        <f t="shared" ca="1" si="2"/>
        <v>Valid</v>
      </c>
      <c r="I76" s="26">
        <f t="shared" si="3"/>
        <v>15794.760000000002</v>
      </c>
      <c r="J76" s="28">
        <f t="shared" ca="1" si="9"/>
        <v>112078.63</v>
      </c>
      <c r="K76" s="14">
        <f ca="1">IFERROR(__xludf.DUMMYFUNCTION("iferror(index(GOOGLEFINANCE(B77,""all"",A77-10,A77+3),MATCH(A77+0.6458333333,index(GOOGLEFINANCE(B77,""all"",A77-10,A77+3),,1)),),"""")"),45126.6458333333)</f>
        <v>45126.645833333299</v>
      </c>
      <c r="L76" s="15">
        <f ca="1">IFERROR(__xludf.DUMMYFUNCTION("""COMPUTED_VALUE"""),625.05)</f>
        <v>625.04999999999995</v>
      </c>
      <c r="M76" s="15">
        <f ca="1">IFERROR(__xludf.DUMMYFUNCTION("""COMPUTED_VALUE"""),633.95)</f>
        <v>633.95000000000005</v>
      </c>
      <c r="N76" s="15">
        <f ca="1">IFERROR(__xludf.DUMMYFUNCTION("""COMPUTED_VALUE"""),611.85)</f>
        <v>611.85</v>
      </c>
      <c r="O76" s="15">
        <f ca="1">IFERROR(__xludf.DUMMYFUNCTION("""COMPUTED_VALUE"""),619.6)</f>
        <v>619.6</v>
      </c>
      <c r="P76" s="15">
        <f ca="1">IFERROR(__xludf.DUMMYFUNCTION("""COMPUTED_VALUE"""),563822)</f>
        <v>563822</v>
      </c>
      <c r="Q76" s="15">
        <f t="shared" si="5"/>
        <v>-25.8</v>
      </c>
      <c r="R76" s="15">
        <f t="shared" si="6"/>
        <v>15794.760000000002</v>
      </c>
      <c r="S76" s="16">
        <f t="shared" si="7"/>
        <v>45126</v>
      </c>
      <c r="T76" s="29"/>
      <c r="U76" s="18"/>
      <c r="V76" s="18"/>
      <c r="W76" s="18"/>
    </row>
    <row r="77" spans="1:23" ht="15.75">
      <c r="A77" s="24">
        <v>45126</v>
      </c>
      <c r="B77" s="25" t="s">
        <v>67</v>
      </c>
      <c r="C77" s="25" t="s">
        <v>1</v>
      </c>
      <c r="D77" s="26">
        <v>23.5</v>
      </c>
      <c r="E77" s="27">
        <v>554.20000000000005</v>
      </c>
      <c r="F77" s="27">
        <f t="shared" ca="1" si="0"/>
        <v>552.72350000000006</v>
      </c>
      <c r="G77" s="27">
        <f t="shared" ca="1" si="1"/>
        <v>576.46799999999996</v>
      </c>
      <c r="H77" s="25" t="str">
        <f t="shared" ca="1" si="2"/>
        <v>Valid</v>
      </c>
      <c r="I77" s="26">
        <f t="shared" si="3"/>
        <v>13023.7</v>
      </c>
      <c r="J77" s="28">
        <f t="shared" ca="1" si="9"/>
        <v>125102.33</v>
      </c>
      <c r="K77" s="14">
        <f ca="1">IFERROR(__xludf.DUMMYFUNCTION("iferror(index(GOOGLEFINANCE(B78,""all"",A78-10,A78+3),MATCH(A78+0.6458333333,index(GOOGLEFINANCE(B78,""all"",A78-10,A78+3),,1)),),"""")"),45126.6458333333)</f>
        <v>45126.645833333299</v>
      </c>
      <c r="L77" s="15">
        <f ca="1">IFERROR(__xludf.DUMMYFUNCTION("""COMPUTED_VALUE"""),564)</f>
        <v>564</v>
      </c>
      <c r="M77" s="15">
        <f ca="1">IFERROR(__xludf.DUMMYFUNCTION("""COMPUTED_VALUE"""),573.6)</f>
        <v>573.6</v>
      </c>
      <c r="N77" s="15">
        <f ca="1">IFERROR(__xludf.DUMMYFUNCTION("""COMPUTED_VALUE"""),553)</f>
        <v>553</v>
      </c>
      <c r="O77" s="15">
        <f ca="1">IFERROR(__xludf.DUMMYFUNCTION("""COMPUTED_VALUE"""),569.1)</f>
        <v>569.1</v>
      </c>
      <c r="P77" s="15">
        <f ca="1">IFERROR(__xludf.DUMMYFUNCTION("""COMPUTED_VALUE"""),392079)</f>
        <v>392079</v>
      </c>
      <c r="Q77" s="15">
        <f t="shared" si="5"/>
        <v>-23.5</v>
      </c>
      <c r="R77" s="15">
        <f t="shared" si="6"/>
        <v>13023.7</v>
      </c>
      <c r="S77" s="16">
        <f t="shared" si="7"/>
        <v>45126</v>
      </c>
      <c r="T77" s="29"/>
      <c r="U77" s="18"/>
      <c r="V77" s="18"/>
      <c r="W77" s="18"/>
    </row>
    <row r="78" spans="1:23" ht="15.75">
      <c r="A78" s="24">
        <v>45126</v>
      </c>
      <c r="B78" s="25" t="s">
        <v>58</v>
      </c>
      <c r="C78" s="25" t="s">
        <v>1</v>
      </c>
      <c r="D78" s="26">
        <v>18.2</v>
      </c>
      <c r="E78" s="27">
        <v>871</v>
      </c>
      <c r="F78" s="27">
        <f t="shared" ca="1" si="0"/>
        <v>869.56500000000005</v>
      </c>
      <c r="G78" s="27">
        <f t="shared" ca="1" si="1"/>
        <v>894.34949999999992</v>
      </c>
      <c r="H78" s="25" t="str">
        <f t="shared" ca="1" si="2"/>
        <v>Valid</v>
      </c>
      <c r="I78" s="26">
        <f t="shared" si="3"/>
        <v>15852.199999999999</v>
      </c>
      <c r="J78" s="28">
        <f t="shared" ca="1" si="9"/>
        <v>140954.53</v>
      </c>
      <c r="K78" s="14">
        <f ca="1">IFERROR(__xludf.DUMMYFUNCTION("iferror(index(GOOGLEFINANCE(B79,""all"",A79-10,A79+3),MATCH(A79+0.6458333333,index(GOOGLEFINANCE(B79,""all"",A79-10,A79+3),,1)),),"""")"),45126.6458333333)</f>
        <v>45126.645833333299</v>
      </c>
      <c r="L78" s="15">
        <f ca="1">IFERROR(__xludf.DUMMYFUNCTION("""COMPUTED_VALUE"""),873.5)</f>
        <v>873.5</v>
      </c>
      <c r="M78" s="15">
        <f ca="1">IFERROR(__xludf.DUMMYFUNCTION("""COMPUTED_VALUE"""),889.9)</f>
        <v>889.9</v>
      </c>
      <c r="N78" s="15">
        <f ca="1">IFERROR(__xludf.DUMMYFUNCTION("""COMPUTED_VALUE"""),870)</f>
        <v>870</v>
      </c>
      <c r="O78" s="15">
        <f ca="1">IFERROR(__xludf.DUMMYFUNCTION("""COMPUTED_VALUE"""),875)</f>
        <v>875</v>
      </c>
      <c r="P78" s="15">
        <f ca="1">IFERROR(__xludf.DUMMYFUNCTION("""COMPUTED_VALUE"""),77414)</f>
        <v>77414</v>
      </c>
      <c r="Q78" s="15">
        <f t="shared" si="5"/>
        <v>-18.2</v>
      </c>
      <c r="R78" s="15">
        <f t="shared" si="6"/>
        <v>15852.199999999999</v>
      </c>
      <c r="S78" s="16">
        <f t="shared" si="7"/>
        <v>45126</v>
      </c>
      <c r="T78" s="29"/>
      <c r="U78" s="18"/>
      <c r="V78" s="18"/>
      <c r="W78" s="18"/>
    </row>
    <row r="79" spans="1:23" ht="15.75">
      <c r="A79" s="24">
        <v>45126</v>
      </c>
      <c r="B79" s="25" t="s">
        <v>63</v>
      </c>
      <c r="C79" s="25" t="s">
        <v>1</v>
      </c>
      <c r="D79" s="26">
        <v>245</v>
      </c>
      <c r="E79" s="27">
        <v>85.9</v>
      </c>
      <c r="F79" s="27">
        <f t="shared" ca="1" si="0"/>
        <v>85.507225000000005</v>
      </c>
      <c r="G79" s="27">
        <f t="shared" ca="1" si="1"/>
        <v>88.389749999999992</v>
      </c>
      <c r="H79" s="25" t="str">
        <f t="shared" ca="1" si="2"/>
        <v>Valid</v>
      </c>
      <c r="I79" s="26">
        <f t="shared" si="3"/>
        <v>21045.5</v>
      </c>
      <c r="J79" s="28">
        <f t="shared" ca="1" si="9"/>
        <v>162000.03</v>
      </c>
      <c r="K79" s="14">
        <f ca="1">IFERROR(__xludf.DUMMYFUNCTION("iferror(index(GOOGLEFINANCE(B80,""all"",A80-10,A80+3),MATCH(A80+0.6458333333,index(GOOGLEFINANCE(B80,""all"",A80-10,A80+3),,1)),),"""")"),45126.6458333333)</f>
        <v>45126.645833333299</v>
      </c>
      <c r="L79" s="15">
        <f ca="1">IFERROR(__xludf.DUMMYFUNCTION("""COMPUTED_VALUE"""),86.8)</f>
        <v>86.8</v>
      </c>
      <c r="M79" s="15">
        <f ca="1">IFERROR(__xludf.DUMMYFUNCTION("""COMPUTED_VALUE"""),87.95)</f>
        <v>87.95</v>
      </c>
      <c r="N79" s="15">
        <f ca="1">IFERROR(__xludf.DUMMYFUNCTION("""COMPUTED_VALUE"""),85.55)</f>
        <v>85.55</v>
      </c>
      <c r="O79" s="15">
        <f ca="1">IFERROR(__xludf.DUMMYFUNCTION("""COMPUTED_VALUE"""),86.15)</f>
        <v>86.15</v>
      </c>
      <c r="P79" s="15">
        <f ca="1">IFERROR(__xludf.DUMMYFUNCTION("""COMPUTED_VALUE"""),12287413)</f>
        <v>12287413</v>
      </c>
      <c r="Q79" s="15">
        <f t="shared" si="5"/>
        <v>-245</v>
      </c>
      <c r="R79" s="15">
        <f t="shared" si="6"/>
        <v>21045.5</v>
      </c>
      <c r="S79" s="16">
        <f t="shared" si="7"/>
        <v>45126</v>
      </c>
      <c r="T79" s="29"/>
      <c r="U79" s="18"/>
      <c r="V79" s="18"/>
      <c r="W79" s="18"/>
    </row>
    <row r="80" spans="1:23" ht="15.75">
      <c r="A80" s="24">
        <v>45126</v>
      </c>
      <c r="B80" s="25" t="s">
        <v>66</v>
      </c>
      <c r="C80" s="25" t="s">
        <v>1</v>
      </c>
      <c r="D80" s="26">
        <v>6.8</v>
      </c>
      <c r="E80" s="27">
        <v>1469</v>
      </c>
      <c r="F80" s="27">
        <f t="shared" ca="1" si="0"/>
        <v>1467.76575</v>
      </c>
      <c r="G80" s="27">
        <f t="shared" ca="1" si="1"/>
        <v>1495.5907499999998</v>
      </c>
      <c r="H80" s="25" t="str">
        <f t="shared" ca="1" si="2"/>
        <v>Valid</v>
      </c>
      <c r="I80" s="26">
        <f t="shared" si="3"/>
        <v>9989.1999999999989</v>
      </c>
      <c r="J80" s="28">
        <f t="shared" ca="1" si="9"/>
        <v>171989.23</v>
      </c>
      <c r="K80" s="14">
        <f ca="1">IFERROR(__xludf.DUMMYFUNCTION("iferror(index(GOOGLEFINANCE(B81,""all"",A81-10,A81+3),MATCH(A81+0.6458333333,index(GOOGLEFINANCE(B81,""all"",A81-10,A81+3),,1)),),"""")"),45126.6458333333)</f>
        <v>45126.645833333299</v>
      </c>
      <c r="L80" s="15">
        <f ca="1">IFERROR(__xludf.DUMMYFUNCTION("""COMPUTED_VALUE"""),1488)</f>
        <v>1488</v>
      </c>
      <c r="M80" s="15">
        <f ca="1">IFERROR(__xludf.DUMMYFUNCTION("""COMPUTED_VALUE"""),1488.15)</f>
        <v>1488.15</v>
      </c>
      <c r="N80" s="15">
        <f ca="1">IFERROR(__xludf.DUMMYFUNCTION("""COMPUTED_VALUE"""),1468.5)</f>
        <v>1468.5</v>
      </c>
      <c r="O80" s="15">
        <f ca="1">IFERROR(__xludf.DUMMYFUNCTION("""COMPUTED_VALUE"""),1476.9)</f>
        <v>1476.9</v>
      </c>
      <c r="P80" s="15">
        <f ca="1">IFERROR(__xludf.DUMMYFUNCTION("""COMPUTED_VALUE"""),8707)</f>
        <v>8707</v>
      </c>
      <c r="Q80" s="15">
        <f t="shared" si="5"/>
        <v>-6.8</v>
      </c>
      <c r="R80" s="15">
        <f t="shared" si="6"/>
        <v>9989.1999999999989</v>
      </c>
      <c r="S80" s="16">
        <f t="shared" si="7"/>
        <v>45126</v>
      </c>
      <c r="T80" s="29"/>
      <c r="U80" s="18"/>
      <c r="V80" s="18"/>
      <c r="W80" s="18"/>
    </row>
    <row r="81" spans="1:23" ht="15.75">
      <c r="A81" s="24">
        <v>45126</v>
      </c>
      <c r="B81" s="25" t="s">
        <v>68</v>
      </c>
      <c r="C81" s="25" t="s">
        <v>1</v>
      </c>
      <c r="D81" s="26">
        <v>18.899999999999999</v>
      </c>
      <c r="E81" s="27">
        <v>1044.075</v>
      </c>
      <c r="F81" s="27">
        <f t="shared" ca="1" si="0"/>
        <v>1033.6329250000001</v>
      </c>
      <c r="G81" s="27">
        <f t="shared" ca="1" si="1"/>
        <v>1065.0989999999999</v>
      </c>
      <c r="H81" s="25" t="str">
        <f t="shared" ca="1" si="2"/>
        <v>Valid</v>
      </c>
      <c r="I81" s="26">
        <f t="shared" si="3"/>
        <v>19733.017499999998</v>
      </c>
      <c r="J81" s="28">
        <f t="shared" ca="1" si="9"/>
        <v>191722.25</v>
      </c>
      <c r="K81" s="14">
        <f ca="1">IFERROR(__xludf.DUMMYFUNCTION("iferror(index(GOOGLEFINANCE(B82,""all"",A82-10,A82+3),MATCH(A82+0.6458333333,index(GOOGLEFINANCE(B82,""all"",A82-10,A82+3),,1)),),"""")"),45126.6458333333)</f>
        <v>45126.645833333299</v>
      </c>
      <c r="L81" s="15">
        <f ca="1">IFERROR(__xludf.DUMMYFUNCTION("""COMPUTED_VALUE"""),1044.2)</f>
        <v>1044.2</v>
      </c>
      <c r="M81" s="15">
        <f ca="1">IFERROR(__xludf.DUMMYFUNCTION("""COMPUTED_VALUE"""),1059.8)</f>
        <v>1059.8</v>
      </c>
      <c r="N81" s="15">
        <f ca="1">IFERROR(__xludf.DUMMYFUNCTION("""COMPUTED_VALUE"""),1034.15)</f>
        <v>1034.1500000000001</v>
      </c>
      <c r="O81" s="15">
        <f ca="1">IFERROR(__xludf.DUMMYFUNCTION("""COMPUTED_VALUE"""),1038.15)</f>
        <v>1038.1500000000001</v>
      </c>
      <c r="P81" s="15">
        <f ca="1">IFERROR(__xludf.DUMMYFUNCTION("""COMPUTED_VALUE"""),142743)</f>
        <v>142743</v>
      </c>
      <c r="Q81" s="15">
        <f t="shared" si="5"/>
        <v>-18.899999999999999</v>
      </c>
      <c r="R81" s="15">
        <f t="shared" si="6"/>
        <v>19733.017499999998</v>
      </c>
      <c r="S81" s="16">
        <f t="shared" si="7"/>
        <v>45126</v>
      </c>
      <c r="T81" s="29"/>
      <c r="U81" s="18"/>
      <c r="V81" s="18"/>
      <c r="W81" s="18"/>
    </row>
    <row r="82" spans="1:23" ht="15.75">
      <c r="A82" s="24">
        <v>45126</v>
      </c>
      <c r="B82" s="25" t="s">
        <v>51</v>
      </c>
      <c r="C82" s="25" t="s">
        <v>1</v>
      </c>
      <c r="D82" s="26">
        <v>6</v>
      </c>
      <c r="E82" s="27">
        <v>3455</v>
      </c>
      <c r="F82" s="27">
        <f t="shared" ca="1" si="0"/>
        <v>3452.2730000000001</v>
      </c>
      <c r="G82" s="27">
        <f t="shared" ca="1" si="1"/>
        <v>3532.8764999999999</v>
      </c>
      <c r="H82" s="25" t="str">
        <f t="shared" ca="1" si="2"/>
        <v>Valid</v>
      </c>
      <c r="I82" s="26">
        <f t="shared" si="3"/>
        <v>20730</v>
      </c>
      <c r="J82" s="28">
        <f t="shared" ca="1" si="9"/>
        <v>212452.25</v>
      </c>
      <c r="K82" s="14">
        <f ca="1">IFERROR(__xludf.DUMMYFUNCTION("iferror(index(GOOGLEFINANCE(B83,""all"",A83-10,A83+3),MATCH(A83+0.6458333333,index(GOOGLEFINANCE(B83,""all"",A83-10,A83+3),,1)),),"""")"),45126.6458333333)</f>
        <v>45126.645833333299</v>
      </c>
      <c r="L82" s="15">
        <f ca="1">IFERROR(__xludf.DUMMYFUNCTION("""COMPUTED_VALUE"""),3480.45)</f>
        <v>3480.45</v>
      </c>
      <c r="M82" s="15">
        <f ca="1">IFERROR(__xludf.DUMMYFUNCTION("""COMPUTED_VALUE"""),3515.3)</f>
        <v>3515.3</v>
      </c>
      <c r="N82" s="15">
        <f ca="1">IFERROR(__xludf.DUMMYFUNCTION("""COMPUTED_VALUE"""),3454)</f>
        <v>3454</v>
      </c>
      <c r="O82" s="15">
        <f ca="1">IFERROR(__xludf.DUMMYFUNCTION("""COMPUTED_VALUE"""),3485.05)</f>
        <v>3485.05</v>
      </c>
      <c r="P82" s="15">
        <f ca="1">IFERROR(__xludf.DUMMYFUNCTION("""COMPUTED_VALUE"""),81364)</f>
        <v>81364</v>
      </c>
      <c r="Q82" s="15">
        <f t="shared" si="5"/>
        <v>-6</v>
      </c>
      <c r="R82" s="15">
        <f t="shared" si="6"/>
        <v>20730</v>
      </c>
      <c r="S82" s="16">
        <f t="shared" si="7"/>
        <v>45126</v>
      </c>
      <c r="T82" s="29"/>
      <c r="U82" s="18"/>
      <c r="V82" s="18"/>
      <c r="W82" s="18"/>
    </row>
    <row r="83" spans="1:23" ht="15.75">
      <c r="A83" s="19">
        <v>45126</v>
      </c>
      <c r="B83" s="20" t="s">
        <v>69</v>
      </c>
      <c r="C83" s="20" t="s">
        <v>0</v>
      </c>
      <c r="D83" s="21">
        <v>4.5999999999999996</v>
      </c>
      <c r="E83" s="22">
        <v>1064.6400000000001</v>
      </c>
      <c r="F83" s="22">
        <f t="shared" ca="1" si="0"/>
        <v>1053.7228750000002</v>
      </c>
      <c r="G83" s="22">
        <f t="shared" ca="1" si="1"/>
        <v>1082.4352499999998</v>
      </c>
      <c r="H83" s="20" t="str">
        <f t="shared" ca="1" si="2"/>
        <v>Valid</v>
      </c>
      <c r="I83" s="21">
        <f t="shared" si="3"/>
        <v>4897.3440000000001</v>
      </c>
      <c r="J83" s="23">
        <f t="shared" ca="1" si="9"/>
        <v>207554.91</v>
      </c>
      <c r="K83" s="14">
        <f ca="1">IFERROR(__xludf.DUMMYFUNCTION("iferror(index(GOOGLEFINANCE(B84,""all"",A84-10,A84+3),MATCH(A84+0.6458333333,index(GOOGLEFINANCE(B84,""all"",A84-10,A84+3),,1)),),"""")"),45126.6458333333)</f>
        <v>45126.645833333299</v>
      </c>
      <c r="L83" s="15">
        <f ca="1">IFERROR(__xludf.DUMMYFUNCTION("""COMPUTED_VALUE"""),1058.8)</f>
        <v>1058.8</v>
      </c>
      <c r="M83" s="15">
        <f ca="1">IFERROR(__xludf.DUMMYFUNCTION("""COMPUTED_VALUE"""),1077.05)</f>
        <v>1077.05</v>
      </c>
      <c r="N83" s="15">
        <f ca="1">IFERROR(__xludf.DUMMYFUNCTION("""COMPUTED_VALUE"""),1054.25)</f>
        <v>1054.25</v>
      </c>
      <c r="O83" s="15">
        <f ca="1">IFERROR(__xludf.DUMMYFUNCTION("""COMPUTED_VALUE"""),1066.7)</f>
        <v>1066.7</v>
      </c>
      <c r="P83" s="15">
        <f ca="1">IFERROR(__xludf.DUMMYFUNCTION("""COMPUTED_VALUE"""),73217)</f>
        <v>73217</v>
      </c>
      <c r="Q83" s="15">
        <f t="shared" si="5"/>
        <v>4.5999999999999996</v>
      </c>
      <c r="R83" s="15">
        <f t="shared" si="6"/>
        <v>-4897.3440000000001</v>
      </c>
      <c r="S83" s="16">
        <f t="shared" si="7"/>
        <v>45126</v>
      </c>
      <c r="T83" s="29"/>
      <c r="U83" s="18"/>
      <c r="V83" s="18"/>
      <c r="W83" s="18"/>
    </row>
    <row r="84" spans="1:23" ht="15.75">
      <c r="A84" s="19">
        <v>45126</v>
      </c>
      <c r="B84" s="20" t="s">
        <v>70</v>
      </c>
      <c r="C84" s="20" t="s">
        <v>0</v>
      </c>
      <c r="D84" s="21">
        <v>21</v>
      </c>
      <c r="E84" s="22">
        <v>198.9</v>
      </c>
      <c r="F84" s="22">
        <f t="shared" ca="1" si="0"/>
        <v>196.40175000000002</v>
      </c>
      <c r="G84" s="22">
        <f t="shared" ca="1" si="1"/>
        <v>201.70349999999996</v>
      </c>
      <c r="H84" s="20" t="str">
        <f t="shared" ca="1" si="2"/>
        <v>Valid</v>
      </c>
      <c r="I84" s="21">
        <f t="shared" si="3"/>
        <v>4176.9000000000005</v>
      </c>
      <c r="J84" s="23">
        <f t="shared" ca="1" si="9"/>
        <v>203378.01</v>
      </c>
      <c r="K84" s="14">
        <f ca="1">IFERROR(__xludf.DUMMYFUNCTION("iferror(index(GOOGLEFINANCE(B85,""all"",A85-10,A85+3),MATCH(A85+0.6458333333,index(GOOGLEFINANCE(B85,""all"",A85-10,A85+3),,1)),),"""")"),45126.6458333333)</f>
        <v>45126.645833333299</v>
      </c>
      <c r="L84" s="15">
        <f ca="1">IFERROR(__xludf.DUMMYFUNCTION("""COMPUTED_VALUE"""),197.9)</f>
        <v>197.9</v>
      </c>
      <c r="M84" s="15">
        <f ca="1">IFERROR(__xludf.DUMMYFUNCTION("""COMPUTED_VALUE"""),200.7)</f>
        <v>200.7</v>
      </c>
      <c r="N84" s="15">
        <f ca="1">IFERROR(__xludf.DUMMYFUNCTION("""COMPUTED_VALUE"""),196.5)</f>
        <v>196.5</v>
      </c>
      <c r="O84" s="15">
        <f ca="1">IFERROR(__xludf.DUMMYFUNCTION("""COMPUTED_VALUE"""),200)</f>
        <v>200</v>
      </c>
      <c r="P84" s="15">
        <f ca="1">IFERROR(__xludf.DUMMYFUNCTION("""COMPUTED_VALUE"""),15994698)</f>
        <v>15994698</v>
      </c>
      <c r="Q84" s="15">
        <f t="shared" si="5"/>
        <v>21</v>
      </c>
      <c r="R84" s="15">
        <f t="shared" si="6"/>
        <v>-4176.9000000000005</v>
      </c>
      <c r="S84" s="16">
        <f t="shared" si="7"/>
        <v>45126</v>
      </c>
      <c r="T84" s="29"/>
      <c r="U84" s="18"/>
      <c r="V84" s="18"/>
      <c r="W84" s="18"/>
    </row>
    <row r="85" spans="1:23" ht="15.75">
      <c r="A85" s="19">
        <v>45126</v>
      </c>
      <c r="B85" s="20" t="s">
        <v>71</v>
      </c>
      <c r="C85" s="20" t="s">
        <v>0</v>
      </c>
      <c r="D85" s="21">
        <v>10.6</v>
      </c>
      <c r="E85" s="22">
        <v>455.15</v>
      </c>
      <c r="F85" s="22">
        <f t="shared" ca="1" si="0"/>
        <v>426.38670000000002</v>
      </c>
      <c r="G85" s="22">
        <f t="shared" ca="1" si="1"/>
        <v>471.2444999999999</v>
      </c>
      <c r="H85" s="20" t="str">
        <f t="shared" ca="1" si="2"/>
        <v>Valid</v>
      </c>
      <c r="I85" s="21">
        <f t="shared" si="3"/>
        <v>4824.5899999999992</v>
      </c>
      <c r="J85" s="23">
        <f t="shared" ca="1" si="9"/>
        <v>198553.42</v>
      </c>
      <c r="K85" s="14">
        <f ca="1">IFERROR(__xludf.DUMMYFUNCTION("iferror(index(GOOGLEFINANCE(B86,""all"",A86-10,A86+3),MATCH(A86+0.6458333333,index(GOOGLEFINANCE(B86,""all"",A86-10,A86+3),,1)),),"""")"),45126.6458333333)</f>
        <v>45126.645833333299</v>
      </c>
      <c r="L85" s="15">
        <f ca="1">IFERROR(__xludf.DUMMYFUNCTION("""COMPUTED_VALUE"""),428)</f>
        <v>428</v>
      </c>
      <c r="M85" s="15">
        <f ca="1">IFERROR(__xludf.DUMMYFUNCTION("""COMPUTED_VALUE"""),468.9)</f>
        <v>468.9</v>
      </c>
      <c r="N85" s="15">
        <f ca="1">IFERROR(__xludf.DUMMYFUNCTION("""COMPUTED_VALUE"""),426.6)</f>
        <v>426.6</v>
      </c>
      <c r="O85" s="15">
        <f ca="1">IFERROR(__xludf.DUMMYFUNCTION("""COMPUTED_VALUE"""),448.65)</f>
        <v>448.65</v>
      </c>
      <c r="P85" s="15">
        <f ca="1">IFERROR(__xludf.DUMMYFUNCTION("""COMPUTED_VALUE"""),4659498)</f>
        <v>4659498</v>
      </c>
      <c r="Q85" s="15">
        <f t="shared" si="5"/>
        <v>10.6</v>
      </c>
      <c r="R85" s="15">
        <f t="shared" si="6"/>
        <v>-4824.5899999999992</v>
      </c>
      <c r="S85" s="16">
        <f t="shared" si="7"/>
        <v>45126</v>
      </c>
      <c r="T85" s="29"/>
      <c r="U85" s="18"/>
      <c r="V85" s="18"/>
      <c r="W85" s="18"/>
    </row>
    <row r="86" spans="1:23" ht="15.75">
      <c r="A86" s="19">
        <v>45126</v>
      </c>
      <c r="B86" s="20" t="s">
        <v>72</v>
      </c>
      <c r="C86" s="20" t="s">
        <v>0</v>
      </c>
      <c r="D86" s="21">
        <v>10.050000000000001</v>
      </c>
      <c r="E86" s="22">
        <v>502.73</v>
      </c>
      <c r="F86" s="22">
        <f t="shared" ca="1" si="0"/>
        <v>493.90292499999998</v>
      </c>
      <c r="G86" s="22">
        <f t="shared" ca="1" si="1"/>
        <v>506.72099999999995</v>
      </c>
      <c r="H86" s="20" t="str">
        <f t="shared" ca="1" si="2"/>
        <v>Valid</v>
      </c>
      <c r="I86" s="21">
        <f t="shared" si="3"/>
        <v>5052.4365000000007</v>
      </c>
      <c r="J86" s="23">
        <f t="shared" ca="1" si="9"/>
        <v>193500.98</v>
      </c>
      <c r="K86" s="14">
        <f ca="1">IFERROR(__xludf.DUMMYFUNCTION("iferror(index(GOOGLEFINANCE(B87,""all"",A87-10,A87+3),MATCH(A87+0.6458333333,index(GOOGLEFINANCE(B87,""all"",A87-10,A87+3),,1)),),"""")"),45126.6458333333)</f>
        <v>45126.645833333299</v>
      </c>
      <c r="L86" s="15">
        <f ca="1">IFERROR(__xludf.DUMMYFUNCTION("""COMPUTED_VALUE"""),496.5)</f>
        <v>496.5</v>
      </c>
      <c r="M86" s="15">
        <f ca="1">IFERROR(__xludf.DUMMYFUNCTION("""COMPUTED_VALUE"""),504.2)</f>
        <v>504.2</v>
      </c>
      <c r="N86" s="15">
        <f ca="1">IFERROR(__xludf.DUMMYFUNCTION("""COMPUTED_VALUE"""),494.15)</f>
        <v>494.15</v>
      </c>
      <c r="O86" s="15">
        <f ca="1">IFERROR(__xludf.DUMMYFUNCTION("""COMPUTED_VALUE"""),501)</f>
        <v>501</v>
      </c>
      <c r="P86" s="15">
        <f ca="1">IFERROR(__xludf.DUMMYFUNCTION("""COMPUTED_VALUE"""),2832711)</f>
        <v>2832711</v>
      </c>
      <c r="Q86" s="15">
        <f t="shared" si="5"/>
        <v>10.050000000000001</v>
      </c>
      <c r="R86" s="15">
        <f t="shared" si="6"/>
        <v>-5052.4365000000007</v>
      </c>
      <c r="S86" s="16">
        <f t="shared" si="7"/>
        <v>45126</v>
      </c>
      <c r="T86" s="29"/>
      <c r="U86" s="18"/>
      <c r="V86" s="18"/>
      <c r="W86" s="18"/>
    </row>
    <row r="87" spans="1:23" ht="15.75">
      <c r="A87" s="19">
        <v>45126</v>
      </c>
      <c r="B87" s="20" t="s">
        <v>73</v>
      </c>
      <c r="C87" s="20" t="s">
        <v>0</v>
      </c>
      <c r="D87" s="21">
        <v>15.4</v>
      </c>
      <c r="E87" s="22">
        <v>315.95</v>
      </c>
      <c r="F87" s="22">
        <f t="shared" ca="1" si="0"/>
        <v>314.19282500000003</v>
      </c>
      <c r="G87" s="22">
        <f t="shared" ca="1" si="1"/>
        <v>318.53474999999997</v>
      </c>
      <c r="H87" s="20" t="str">
        <f t="shared" ca="1" si="2"/>
        <v>Valid</v>
      </c>
      <c r="I87" s="21">
        <f t="shared" si="3"/>
        <v>4865.63</v>
      </c>
      <c r="J87" s="23">
        <f t="shared" ca="1" si="9"/>
        <v>188635.35</v>
      </c>
      <c r="K87" s="14">
        <f ca="1">IFERROR(__xludf.DUMMYFUNCTION("iferror(index(GOOGLEFINANCE(B88,""all"",A88-10,A88+3),MATCH(A88+0.6458333333,index(GOOGLEFINANCE(B88,""all"",A88-10,A88+3),,1)),),"""")"),45126.6458333333)</f>
        <v>45126.645833333299</v>
      </c>
      <c r="L87" s="15">
        <f ca="1">IFERROR(__xludf.DUMMYFUNCTION("""COMPUTED_VALUE"""),316.95)</f>
        <v>316.95</v>
      </c>
      <c r="M87" s="15">
        <f ca="1">IFERROR(__xludf.DUMMYFUNCTION("""COMPUTED_VALUE"""),316.95)</f>
        <v>316.95</v>
      </c>
      <c r="N87" s="15">
        <f ca="1">IFERROR(__xludf.DUMMYFUNCTION("""COMPUTED_VALUE"""),314.35)</f>
        <v>314.35000000000002</v>
      </c>
      <c r="O87" s="15">
        <f ca="1">IFERROR(__xludf.DUMMYFUNCTION("""COMPUTED_VALUE"""),315.4)</f>
        <v>315.39999999999998</v>
      </c>
      <c r="P87" s="15">
        <f ca="1">IFERROR(__xludf.DUMMYFUNCTION("""COMPUTED_VALUE"""),173271)</f>
        <v>173271</v>
      </c>
      <c r="Q87" s="15">
        <f t="shared" si="5"/>
        <v>15.4</v>
      </c>
      <c r="R87" s="15">
        <f t="shared" si="6"/>
        <v>-4865.63</v>
      </c>
      <c r="S87" s="16">
        <f t="shared" si="7"/>
        <v>45126</v>
      </c>
      <c r="T87" s="29"/>
      <c r="U87" s="18"/>
      <c r="V87" s="18"/>
      <c r="W87" s="18"/>
    </row>
    <row r="88" spans="1:23" ht="15.75">
      <c r="A88" s="19">
        <v>45126</v>
      </c>
      <c r="B88" s="20" t="s">
        <v>74</v>
      </c>
      <c r="C88" s="20" t="s">
        <v>0</v>
      </c>
      <c r="D88" s="21">
        <v>95.5</v>
      </c>
      <c r="E88" s="22">
        <v>58.38</v>
      </c>
      <c r="F88" s="22">
        <f t="shared" ca="1" si="0"/>
        <v>58.170900000000003</v>
      </c>
      <c r="G88" s="22">
        <f t="shared" ca="1" si="1"/>
        <v>59.043749999999996</v>
      </c>
      <c r="H88" s="20" t="str">
        <f t="shared" ca="1" si="2"/>
        <v>Valid</v>
      </c>
      <c r="I88" s="21">
        <f t="shared" si="3"/>
        <v>5575.29</v>
      </c>
      <c r="J88" s="23">
        <f t="shared" ca="1" si="9"/>
        <v>183060.06</v>
      </c>
      <c r="K88" s="14">
        <f ca="1">IFERROR(__xludf.DUMMYFUNCTION("iferror(index(GOOGLEFINANCE(B89,""all"",A89-10,A89+3),MATCH(A89+0.6458333333,index(GOOGLEFINANCE(B89,""all"",A89-10,A89+3),,1)),),"""")"),45126.6458333333)</f>
        <v>45126.645833333299</v>
      </c>
      <c r="L88" s="15">
        <f ca="1">IFERROR(__xludf.DUMMYFUNCTION("""COMPUTED_VALUE"""),58.75)</f>
        <v>58.75</v>
      </c>
      <c r="M88" s="15">
        <f ca="1">IFERROR(__xludf.DUMMYFUNCTION("""COMPUTED_VALUE"""),58.75)</f>
        <v>58.75</v>
      </c>
      <c r="N88" s="15">
        <f ca="1">IFERROR(__xludf.DUMMYFUNCTION("""COMPUTED_VALUE"""),58.2)</f>
        <v>58.2</v>
      </c>
      <c r="O88" s="15">
        <f ca="1">IFERROR(__xludf.DUMMYFUNCTION("""COMPUTED_VALUE"""),58.35)</f>
        <v>58.35</v>
      </c>
      <c r="P88" s="15">
        <f ca="1">IFERROR(__xludf.DUMMYFUNCTION("""COMPUTED_VALUE"""),1905173)</f>
        <v>1905173</v>
      </c>
      <c r="Q88" s="15">
        <f t="shared" si="5"/>
        <v>95.5</v>
      </c>
      <c r="R88" s="15">
        <f t="shared" si="6"/>
        <v>-5575.29</v>
      </c>
      <c r="S88" s="16">
        <f t="shared" si="7"/>
        <v>45126</v>
      </c>
      <c r="T88" s="29"/>
      <c r="U88" s="18"/>
      <c r="V88" s="18"/>
      <c r="W88" s="18"/>
    </row>
    <row r="89" spans="1:23" ht="15.75">
      <c r="A89" s="19">
        <v>45126</v>
      </c>
      <c r="B89" s="20" t="s">
        <v>75</v>
      </c>
      <c r="C89" s="20" t="s">
        <v>0</v>
      </c>
      <c r="D89" s="21">
        <v>13.4</v>
      </c>
      <c r="E89" s="22">
        <v>417.2</v>
      </c>
      <c r="F89" s="22">
        <f t="shared" ca="1" si="0"/>
        <v>413.942925</v>
      </c>
      <c r="G89" s="22">
        <f t="shared" ca="1" si="1"/>
        <v>423.10499999999996</v>
      </c>
      <c r="H89" s="20" t="str">
        <f t="shared" ca="1" si="2"/>
        <v>Valid</v>
      </c>
      <c r="I89" s="21">
        <f t="shared" si="3"/>
        <v>5590.48</v>
      </c>
      <c r="J89" s="23">
        <f t="shared" ca="1" si="9"/>
        <v>177469.58</v>
      </c>
      <c r="K89" s="14">
        <f ca="1">IFERROR(__xludf.DUMMYFUNCTION("iferror(index(GOOGLEFINANCE(B90,""all"",A90-10,A90+3),MATCH(A90+0.6458333333,index(GOOGLEFINANCE(B90,""all"",A90-10,A90+3),,1)),),"""")"),45126.6458333333)</f>
        <v>45126.645833333299</v>
      </c>
      <c r="L89" s="15">
        <f ca="1">IFERROR(__xludf.DUMMYFUNCTION("""COMPUTED_VALUE"""),420)</f>
        <v>420</v>
      </c>
      <c r="M89" s="15">
        <f ca="1">IFERROR(__xludf.DUMMYFUNCTION("""COMPUTED_VALUE"""),421)</f>
        <v>421</v>
      </c>
      <c r="N89" s="15">
        <f ca="1">IFERROR(__xludf.DUMMYFUNCTION("""COMPUTED_VALUE"""),414.15)</f>
        <v>414.15</v>
      </c>
      <c r="O89" s="15">
        <f ca="1">IFERROR(__xludf.DUMMYFUNCTION("""COMPUTED_VALUE"""),417.95)</f>
        <v>417.95</v>
      </c>
      <c r="P89" s="15">
        <f ca="1">IFERROR(__xludf.DUMMYFUNCTION("""COMPUTED_VALUE"""),5415495)</f>
        <v>5415495</v>
      </c>
      <c r="Q89" s="15">
        <f t="shared" si="5"/>
        <v>13.4</v>
      </c>
      <c r="R89" s="15">
        <f t="shared" si="6"/>
        <v>-5590.48</v>
      </c>
      <c r="S89" s="16">
        <f t="shared" si="7"/>
        <v>45126</v>
      </c>
      <c r="T89" s="29"/>
      <c r="U89" s="18"/>
      <c r="V89" s="18"/>
      <c r="W89" s="18"/>
    </row>
    <row r="90" spans="1:23" ht="15.75">
      <c r="A90" s="19">
        <v>45131</v>
      </c>
      <c r="B90" s="20" t="s">
        <v>69</v>
      </c>
      <c r="C90" s="20" t="s">
        <v>0</v>
      </c>
      <c r="D90" s="21">
        <v>4.5</v>
      </c>
      <c r="E90" s="22">
        <v>1068.98</v>
      </c>
      <c r="F90" s="22">
        <f t="shared" ca="1" si="0"/>
        <v>1053.1731500000001</v>
      </c>
      <c r="G90" s="22">
        <f t="shared" ca="1" si="1"/>
        <v>1088.0129999999997</v>
      </c>
      <c r="H90" s="20" t="str">
        <f t="shared" ca="1" si="2"/>
        <v>Valid</v>
      </c>
      <c r="I90" s="21">
        <f t="shared" si="3"/>
        <v>4810.41</v>
      </c>
      <c r="J90" s="23">
        <f t="shared" ca="1" si="9"/>
        <v>172659.17</v>
      </c>
      <c r="K90" s="14">
        <f ca="1">IFERROR(__xludf.DUMMYFUNCTION("iferror(index(GOOGLEFINANCE(B91,""all"",A91-10,A91+3),MATCH(A91+0.6458333333,index(GOOGLEFINANCE(B91,""all"",A91-10,A91+3),,1)),),"""")"),45131.6458333333)</f>
        <v>45131.645833333299</v>
      </c>
      <c r="L90" s="15">
        <f ca="1">IFERROR(__xludf.DUMMYFUNCTION("""COMPUTED_VALUE"""),1074)</f>
        <v>1074</v>
      </c>
      <c r="M90" s="15">
        <f ca="1">IFERROR(__xludf.DUMMYFUNCTION("""COMPUTED_VALUE"""),1082.6)</f>
        <v>1082.5999999999999</v>
      </c>
      <c r="N90" s="15">
        <f ca="1">IFERROR(__xludf.DUMMYFUNCTION("""COMPUTED_VALUE"""),1053.7)</f>
        <v>1053.7</v>
      </c>
      <c r="O90" s="15">
        <f ca="1">IFERROR(__xludf.DUMMYFUNCTION("""COMPUTED_VALUE"""),1063.3)</f>
        <v>1063.3</v>
      </c>
      <c r="P90" s="15">
        <f ca="1">IFERROR(__xludf.DUMMYFUNCTION("""COMPUTED_VALUE"""),63817)</f>
        <v>63817</v>
      </c>
      <c r="Q90" s="15">
        <f t="shared" si="5"/>
        <v>4.5</v>
      </c>
      <c r="R90" s="15">
        <f t="shared" si="6"/>
        <v>-4810.41</v>
      </c>
      <c r="S90" s="16">
        <f t="shared" si="7"/>
        <v>45131</v>
      </c>
      <c r="T90" s="29"/>
      <c r="U90" s="18"/>
      <c r="V90" s="18"/>
      <c r="W90" s="18"/>
    </row>
    <row r="91" spans="1:23" ht="15.75">
      <c r="A91" s="19">
        <v>45131</v>
      </c>
      <c r="B91" s="20" t="s">
        <v>70</v>
      </c>
      <c r="C91" s="20" t="s">
        <v>0</v>
      </c>
      <c r="D91" s="21">
        <v>21</v>
      </c>
      <c r="E91" s="22">
        <v>199.7</v>
      </c>
      <c r="F91" s="22">
        <f t="shared" ca="1" si="0"/>
        <v>196.95147500000002</v>
      </c>
      <c r="G91" s="22">
        <f t="shared" ca="1" si="1"/>
        <v>202.65824999999998</v>
      </c>
      <c r="H91" s="20" t="str">
        <f t="shared" ca="1" si="2"/>
        <v>Valid</v>
      </c>
      <c r="I91" s="21">
        <f t="shared" si="3"/>
        <v>4193.7</v>
      </c>
      <c r="J91" s="23">
        <f t="shared" ca="1" si="9"/>
        <v>168465.47</v>
      </c>
      <c r="K91" s="14">
        <f ca="1">IFERROR(__xludf.DUMMYFUNCTION("iferror(index(GOOGLEFINANCE(B92,""all"",A92-10,A92+3),MATCH(A92+0.6458333333,index(GOOGLEFINANCE(B92,""all"",A92-10,A92+3),,1)),),"""")"),45131.6458333333)</f>
        <v>45131.645833333299</v>
      </c>
      <c r="L91" s="15">
        <f ca="1">IFERROR(__xludf.DUMMYFUNCTION("""COMPUTED_VALUE"""),197.9)</f>
        <v>197.9</v>
      </c>
      <c r="M91" s="15">
        <f ca="1">IFERROR(__xludf.DUMMYFUNCTION("""COMPUTED_VALUE"""),201.65)</f>
        <v>201.65</v>
      </c>
      <c r="N91" s="15">
        <f ca="1">IFERROR(__xludf.DUMMYFUNCTION("""COMPUTED_VALUE"""),197.05)</f>
        <v>197.05</v>
      </c>
      <c r="O91" s="15">
        <f ca="1">IFERROR(__xludf.DUMMYFUNCTION("""COMPUTED_VALUE"""),198.35)</f>
        <v>198.35</v>
      </c>
      <c r="P91" s="15">
        <f ca="1">IFERROR(__xludf.DUMMYFUNCTION("""COMPUTED_VALUE"""),20374723)</f>
        <v>20374723</v>
      </c>
      <c r="Q91" s="15">
        <f t="shared" si="5"/>
        <v>21</v>
      </c>
      <c r="R91" s="15">
        <f t="shared" si="6"/>
        <v>-4193.7</v>
      </c>
      <c r="S91" s="16">
        <f t="shared" si="7"/>
        <v>45131</v>
      </c>
      <c r="T91" s="29"/>
      <c r="U91" s="18"/>
      <c r="V91" s="18"/>
      <c r="W91" s="18"/>
    </row>
    <row r="92" spans="1:23" ht="15.75">
      <c r="A92" s="19">
        <v>45131</v>
      </c>
      <c r="B92" s="20" t="s">
        <v>71</v>
      </c>
      <c r="C92" s="20" t="s">
        <v>0</v>
      </c>
      <c r="D92" s="21">
        <v>9</v>
      </c>
      <c r="E92" s="22">
        <v>473.95</v>
      </c>
      <c r="F92" s="22">
        <f t="shared" ca="1" si="0"/>
        <v>465.26725000000005</v>
      </c>
      <c r="G92" s="22">
        <f t="shared" ca="1" si="1"/>
        <v>481.89749999999992</v>
      </c>
      <c r="H92" s="20" t="str">
        <f t="shared" ca="1" si="2"/>
        <v>Valid</v>
      </c>
      <c r="I92" s="21">
        <f t="shared" si="3"/>
        <v>4265.55</v>
      </c>
      <c r="J92" s="23">
        <f t="shared" ca="1" si="9"/>
        <v>164199.92000000001</v>
      </c>
      <c r="K92" s="14">
        <f ca="1">IFERROR(__xludf.DUMMYFUNCTION("iferror(index(GOOGLEFINANCE(B93,""all"",A93-10,A93+3),MATCH(A93+0.6458333333,index(GOOGLEFINANCE(B93,""all"",A93-10,A93+3),,1)),),"""")"),45131.6458333333)</f>
        <v>45131.645833333299</v>
      </c>
      <c r="L92" s="15">
        <f ca="1">IFERROR(__xludf.DUMMYFUNCTION("""COMPUTED_VALUE"""),465.75)</f>
        <v>465.75</v>
      </c>
      <c r="M92" s="15">
        <f ca="1">IFERROR(__xludf.DUMMYFUNCTION("""COMPUTED_VALUE"""),479.5)</f>
        <v>479.5</v>
      </c>
      <c r="N92" s="15">
        <f ca="1">IFERROR(__xludf.DUMMYFUNCTION("""COMPUTED_VALUE"""),465.5)</f>
        <v>465.5</v>
      </c>
      <c r="O92" s="15">
        <f ca="1">IFERROR(__xludf.DUMMYFUNCTION("""COMPUTED_VALUE"""),470.95)</f>
        <v>470.95</v>
      </c>
      <c r="P92" s="15">
        <f ca="1">IFERROR(__xludf.DUMMYFUNCTION("""COMPUTED_VALUE"""),893576)</f>
        <v>893576</v>
      </c>
      <c r="Q92" s="15">
        <f t="shared" si="5"/>
        <v>9</v>
      </c>
      <c r="R92" s="15">
        <f t="shared" si="6"/>
        <v>-4265.55</v>
      </c>
      <c r="S92" s="16">
        <f t="shared" si="7"/>
        <v>45131</v>
      </c>
      <c r="T92" s="29"/>
      <c r="U92" s="18"/>
      <c r="V92" s="18"/>
      <c r="W92" s="18"/>
    </row>
    <row r="93" spans="1:23" ht="15.75">
      <c r="A93" s="19">
        <v>45131</v>
      </c>
      <c r="B93" s="20" t="s">
        <v>72</v>
      </c>
      <c r="C93" s="20" t="s">
        <v>0</v>
      </c>
      <c r="D93" s="21">
        <v>9.8000000000000007</v>
      </c>
      <c r="E93" s="22">
        <v>500.25</v>
      </c>
      <c r="F93" s="22">
        <f t="shared" ca="1" si="0"/>
        <v>487.85595000000006</v>
      </c>
      <c r="G93" s="22">
        <f t="shared" ca="1" si="1"/>
        <v>510.99224999999996</v>
      </c>
      <c r="H93" s="20" t="str">
        <f t="shared" ca="1" si="2"/>
        <v>Valid</v>
      </c>
      <c r="I93" s="21">
        <f t="shared" si="3"/>
        <v>4902.4500000000007</v>
      </c>
      <c r="J93" s="23">
        <f t="shared" ca="1" si="9"/>
        <v>159297.47</v>
      </c>
      <c r="K93" s="14">
        <f ca="1">IFERROR(__xludf.DUMMYFUNCTION("iferror(index(GOOGLEFINANCE(B94,""all"",A94-10,A94+3),MATCH(A94+0.6458333333,index(GOOGLEFINANCE(B94,""all"",A94-10,A94+3),,1)),),"""")"),45131.6458333333)</f>
        <v>45131.645833333299</v>
      </c>
      <c r="L93" s="15">
        <f ca="1">IFERROR(__xludf.DUMMYFUNCTION("""COMPUTED_VALUE"""),502.75)</f>
        <v>502.75</v>
      </c>
      <c r="M93" s="15">
        <f ca="1">IFERROR(__xludf.DUMMYFUNCTION("""COMPUTED_VALUE"""),508.45)</f>
        <v>508.45</v>
      </c>
      <c r="N93" s="15">
        <f ca="1">IFERROR(__xludf.DUMMYFUNCTION("""COMPUTED_VALUE"""),488.1)</f>
        <v>488.1</v>
      </c>
      <c r="O93" s="15">
        <f ca="1">IFERROR(__xludf.DUMMYFUNCTION("""COMPUTED_VALUE"""),493.8)</f>
        <v>493.8</v>
      </c>
      <c r="P93" s="15">
        <f ca="1">IFERROR(__xludf.DUMMYFUNCTION("""COMPUTED_VALUE"""),5676545)</f>
        <v>5676545</v>
      </c>
      <c r="Q93" s="15">
        <f t="shared" si="5"/>
        <v>9.8000000000000007</v>
      </c>
      <c r="R93" s="15">
        <f t="shared" si="6"/>
        <v>-4902.4500000000007</v>
      </c>
      <c r="S93" s="16">
        <f t="shared" si="7"/>
        <v>45131</v>
      </c>
      <c r="T93" s="29"/>
      <c r="U93" s="18"/>
      <c r="V93" s="18"/>
      <c r="W93" s="18"/>
    </row>
    <row r="94" spans="1:23" ht="15.75">
      <c r="A94" s="19">
        <v>45131</v>
      </c>
      <c r="B94" s="20" t="s">
        <v>73</v>
      </c>
      <c r="C94" s="20" t="s">
        <v>0</v>
      </c>
      <c r="D94" s="21">
        <v>15.1</v>
      </c>
      <c r="E94" s="22">
        <v>321.70999999999998</v>
      </c>
      <c r="F94" s="22">
        <f t="shared" ca="1" si="0"/>
        <v>320.68957500000005</v>
      </c>
      <c r="G94" s="22">
        <f t="shared" ca="1" si="1"/>
        <v>327.62999999999994</v>
      </c>
      <c r="H94" s="20" t="str">
        <f t="shared" ca="1" si="2"/>
        <v>Valid</v>
      </c>
      <c r="I94" s="21">
        <f t="shared" si="3"/>
        <v>4857.8209999999999</v>
      </c>
      <c r="J94" s="23">
        <f t="shared" ca="1" si="9"/>
        <v>154439.65</v>
      </c>
      <c r="K94" s="14">
        <f ca="1">IFERROR(__xludf.DUMMYFUNCTION("iferror(index(GOOGLEFINANCE(B95,""all"",A95-10,A95+3),MATCH(A95+0.6458333333,index(GOOGLEFINANCE(B95,""all"",A95-10,A95+3),,1)),),"""")"),45131.6458333333)</f>
        <v>45131.645833333299</v>
      </c>
      <c r="L94" s="15">
        <f ca="1">IFERROR(__xludf.DUMMYFUNCTION("""COMPUTED_VALUE"""),326)</f>
        <v>326</v>
      </c>
      <c r="M94" s="15">
        <f ca="1">IFERROR(__xludf.DUMMYFUNCTION("""COMPUTED_VALUE"""),326)</f>
        <v>326</v>
      </c>
      <c r="N94" s="15">
        <f ca="1">IFERROR(__xludf.DUMMYFUNCTION("""COMPUTED_VALUE"""),320.85)</f>
        <v>320.85000000000002</v>
      </c>
      <c r="O94" s="15">
        <f ca="1">IFERROR(__xludf.DUMMYFUNCTION("""COMPUTED_VALUE"""),322.95)</f>
        <v>322.95</v>
      </c>
      <c r="P94" s="15">
        <f ca="1">IFERROR(__xludf.DUMMYFUNCTION("""COMPUTED_VALUE"""),232350)</f>
        <v>232350</v>
      </c>
      <c r="Q94" s="15">
        <f t="shared" si="5"/>
        <v>15.1</v>
      </c>
      <c r="R94" s="15">
        <f t="shared" si="6"/>
        <v>-4857.8209999999999</v>
      </c>
      <c r="S94" s="16">
        <f t="shared" si="7"/>
        <v>45131</v>
      </c>
      <c r="T94" s="29"/>
      <c r="U94" s="18"/>
      <c r="V94" s="18"/>
      <c r="W94" s="18"/>
    </row>
    <row r="95" spans="1:23" ht="15.75">
      <c r="A95" s="19">
        <v>45131</v>
      </c>
      <c r="B95" s="20" t="s">
        <v>74</v>
      </c>
      <c r="C95" s="20" t="s">
        <v>0</v>
      </c>
      <c r="D95" s="21">
        <v>96.3</v>
      </c>
      <c r="E95" s="22">
        <v>58.25</v>
      </c>
      <c r="F95" s="22">
        <f t="shared" ca="1" si="0"/>
        <v>57.771099999999997</v>
      </c>
      <c r="G95" s="22">
        <f t="shared" ca="1" si="1"/>
        <v>58.943249999999992</v>
      </c>
      <c r="H95" s="20" t="str">
        <f t="shared" ca="1" si="2"/>
        <v>Valid</v>
      </c>
      <c r="I95" s="21">
        <f t="shared" si="3"/>
        <v>5609.4749999999995</v>
      </c>
      <c r="J95" s="23">
        <f t="shared" ca="1" si="9"/>
        <v>148830.18</v>
      </c>
      <c r="K95" s="14">
        <f ca="1">IFERROR(__xludf.DUMMYFUNCTION("iferror(index(GOOGLEFINANCE(B96,""all"",A96-10,A96+3),MATCH(A96+0.6458333333,index(GOOGLEFINANCE(B96,""all"",A96-10,A96+3),,1)),),"""")"),45131.6458333333)</f>
        <v>45131.645833333299</v>
      </c>
      <c r="L95" s="15">
        <f ca="1">IFERROR(__xludf.DUMMYFUNCTION("""COMPUTED_VALUE"""),58)</f>
        <v>58</v>
      </c>
      <c r="M95" s="15">
        <f ca="1">IFERROR(__xludf.DUMMYFUNCTION("""COMPUTED_VALUE"""),58.65)</f>
        <v>58.65</v>
      </c>
      <c r="N95" s="15">
        <f ca="1">IFERROR(__xludf.DUMMYFUNCTION("""COMPUTED_VALUE"""),57.8)</f>
        <v>57.8</v>
      </c>
      <c r="O95" s="15">
        <f ca="1">IFERROR(__xludf.DUMMYFUNCTION("""COMPUTED_VALUE"""),57.95)</f>
        <v>57.95</v>
      </c>
      <c r="P95" s="15">
        <f ca="1">IFERROR(__xludf.DUMMYFUNCTION("""COMPUTED_VALUE"""),15882171)</f>
        <v>15882171</v>
      </c>
      <c r="Q95" s="15">
        <f t="shared" si="5"/>
        <v>96.3</v>
      </c>
      <c r="R95" s="15">
        <f t="shared" si="6"/>
        <v>-5609.4749999999995</v>
      </c>
      <c r="S95" s="16">
        <f t="shared" si="7"/>
        <v>45131</v>
      </c>
      <c r="T95" s="29"/>
      <c r="U95" s="18"/>
      <c r="V95" s="18"/>
      <c r="W95" s="18"/>
    </row>
    <row r="96" spans="1:23" ht="15.75">
      <c r="A96" s="19">
        <v>45131</v>
      </c>
      <c r="B96" s="20" t="s">
        <v>75</v>
      </c>
      <c r="C96" s="20" t="s">
        <v>0</v>
      </c>
      <c r="D96" s="21">
        <v>14</v>
      </c>
      <c r="E96" s="22">
        <v>407</v>
      </c>
      <c r="F96" s="22">
        <f t="shared" ca="1" si="0"/>
        <v>403.29825</v>
      </c>
      <c r="G96" s="22">
        <f t="shared" ca="1" si="1"/>
        <v>410.03999999999996</v>
      </c>
      <c r="H96" s="20" t="str">
        <f t="shared" ca="1" si="2"/>
        <v>Valid</v>
      </c>
      <c r="I96" s="21">
        <f t="shared" si="3"/>
        <v>5698</v>
      </c>
      <c r="J96" s="23">
        <f t="shared" ca="1" si="9"/>
        <v>143132.18</v>
      </c>
      <c r="K96" s="14">
        <f ca="1">IFERROR(__xludf.DUMMYFUNCTION("iferror(index(GOOGLEFINANCE(B97,""all"",A97-10,A97+3),MATCH(A97+0.6458333333,index(GOOGLEFINANCE(B97,""all"",A97-10,A97+3),,1)),),"""")"),45131.6458333333)</f>
        <v>45131.645833333299</v>
      </c>
      <c r="L96" s="15">
        <f ca="1">IFERROR(__xludf.DUMMYFUNCTION("""COMPUTED_VALUE"""),406.3)</f>
        <v>406.3</v>
      </c>
      <c r="M96" s="15">
        <f ca="1">IFERROR(__xludf.DUMMYFUNCTION("""COMPUTED_VALUE"""),408)</f>
        <v>408</v>
      </c>
      <c r="N96" s="15">
        <f ca="1">IFERROR(__xludf.DUMMYFUNCTION("""COMPUTED_VALUE"""),403.5)</f>
        <v>403.5</v>
      </c>
      <c r="O96" s="15">
        <f ca="1">IFERROR(__xludf.DUMMYFUNCTION("""COMPUTED_VALUE"""),404.05)</f>
        <v>404.05</v>
      </c>
      <c r="P96" s="15">
        <f ca="1">IFERROR(__xludf.DUMMYFUNCTION("""COMPUTED_VALUE"""),3404230)</f>
        <v>3404230</v>
      </c>
      <c r="Q96" s="15">
        <f t="shared" si="5"/>
        <v>14</v>
      </c>
      <c r="R96" s="15">
        <f t="shared" si="6"/>
        <v>-5698</v>
      </c>
      <c r="S96" s="16">
        <f t="shared" si="7"/>
        <v>45131</v>
      </c>
      <c r="T96" s="29"/>
      <c r="U96" s="18"/>
      <c r="V96" s="18"/>
      <c r="W96" s="18"/>
    </row>
    <row r="97" spans="1:23" ht="15.75">
      <c r="A97" s="19">
        <v>45133</v>
      </c>
      <c r="B97" s="20" t="s">
        <v>69</v>
      </c>
      <c r="C97" s="20" t="s">
        <v>0</v>
      </c>
      <c r="D97" s="21">
        <v>4.5</v>
      </c>
      <c r="E97" s="22">
        <v>1088.06</v>
      </c>
      <c r="F97" s="22">
        <f t="shared" ca="1" si="0"/>
        <v>1002.848325</v>
      </c>
      <c r="G97" s="22">
        <f t="shared" ca="1" si="1"/>
        <v>1099.8720000000001</v>
      </c>
      <c r="H97" s="20" t="str">
        <f t="shared" ca="1" si="2"/>
        <v>Valid</v>
      </c>
      <c r="I97" s="21">
        <f t="shared" si="3"/>
        <v>4896.2699999999995</v>
      </c>
      <c r="J97" s="23">
        <f t="shared" ca="1" si="9"/>
        <v>138235.91</v>
      </c>
      <c r="K97" s="14">
        <f ca="1">IFERROR(__xludf.DUMMYFUNCTION("iferror(index(GOOGLEFINANCE(B98,""all"",A98-10,A98+3),MATCH(A98+0.6458333333,index(GOOGLEFINANCE(B98,""all"",A98-10,A98+3),,1)),),"""")"),45133.6458333333)</f>
        <v>45133.645833333299</v>
      </c>
      <c r="L97" s="15">
        <f ca="1">IFERROR(__xludf.DUMMYFUNCTION("""COMPUTED_VALUE"""),1080)</f>
        <v>1080</v>
      </c>
      <c r="M97" s="15">
        <f ca="1">IFERROR(__xludf.DUMMYFUNCTION("""COMPUTED_VALUE"""),1094.4)</f>
        <v>1094.4000000000001</v>
      </c>
      <c r="N97" s="15">
        <f ca="1">IFERROR(__xludf.DUMMYFUNCTION("""COMPUTED_VALUE"""),1003.35)</f>
        <v>1003.35</v>
      </c>
      <c r="O97" s="15">
        <f ca="1">IFERROR(__xludf.DUMMYFUNCTION("""COMPUTED_VALUE"""),1019.25)</f>
        <v>1019.25</v>
      </c>
      <c r="P97" s="15">
        <f ca="1">IFERROR(__xludf.DUMMYFUNCTION("""COMPUTED_VALUE"""),212860)</f>
        <v>212860</v>
      </c>
      <c r="Q97" s="15">
        <f t="shared" si="5"/>
        <v>4.5</v>
      </c>
      <c r="R97" s="15">
        <f t="shared" si="6"/>
        <v>-4896.2699999999995</v>
      </c>
      <c r="S97" s="16">
        <f t="shared" si="7"/>
        <v>45133</v>
      </c>
      <c r="T97" s="29"/>
      <c r="U97" s="18"/>
      <c r="V97" s="18"/>
      <c r="W97" s="18"/>
    </row>
    <row r="98" spans="1:23" ht="15.75">
      <c r="A98" s="19">
        <v>45133</v>
      </c>
      <c r="B98" s="20" t="s">
        <v>70</v>
      </c>
      <c r="C98" s="20" t="s">
        <v>0</v>
      </c>
      <c r="D98" s="21">
        <v>7.6</v>
      </c>
      <c r="E98" s="22">
        <v>196.95</v>
      </c>
      <c r="F98" s="22">
        <f t="shared" ca="1" si="0"/>
        <v>195.55217500000001</v>
      </c>
      <c r="G98" s="22">
        <f t="shared" ca="1" si="1"/>
        <v>199.49249999999998</v>
      </c>
      <c r="H98" s="20" t="str">
        <f t="shared" ca="1" si="2"/>
        <v>Valid</v>
      </c>
      <c r="I98" s="21">
        <f t="shared" si="3"/>
        <v>1496.82</v>
      </c>
      <c r="J98" s="23">
        <f t="shared" ca="1" si="9"/>
        <v>136739.09</v>
      </c>
      <c r="K98" s="14">
        <f ca="1">IFERROR(__xludf.DUMMYFUNCTION("iferror(index(GOOGLEFINANCE(B99,""all"",A99-10,A99+3),MATCH(A99+0.6458333333,index(GOOGLEFINANCE(B99,""all"",A99-10,A99+3),,1)),),"""")"),45133.6458333333)</f>
        <v>45133.645833333299</v>
      </c>
      <c r="L98" s="15">
        <f ca="1">IFERROR(__xludf.DUMMYFUNCTION("""COMPUTED_VALUE"""),197.35)</f>
        <v>197.35</v>
      </c>
      <c r="M98" s="15">
        <f ca="1">IFERROR(__xludf.DUMMYFUNCTION("""COMPUTED_VALUE"""),198.5)</f>
        <v>198.5</v>
      </c>
      <c r="N98" s="15">
        <f ca="1">IFERROR(__xludf.DUMMYFUNCTION("""COMPUTED_VALUE"""),195.65)</f>
        <v>195.65</v>
      </c>
      <c r="O98" s="15">
        <f ca="1">IFERROR(__xludf.DUMMYFUNCTION("""COMPUTED_VALUE"""),197.75)</f>
        <v>197.75</v>
      </c>
      <c r="P98" s="15">
        <f ca="1">IFERROR(__xludf.DUMMYFUNCTION("""COMPUTED_VALUE"""),15919450)</f>
        <v>15919450</v>
      </c>
      <c r="Q98" s="15">
        <f t="shared" si="5"/>
        <v>7.6</v>
      </c>
      <c r="R98" s="15">
        <f t="shared" si="6"/>
        <v>-1496.82</v>
      </c>
      <c r="S98" s="16">
        <f t="shared" si="7"/>
        <v>45133</v>
      </c>
      <c r="T98" s="29"/>
      <c r="U98" s="18"/>
      <c r="V98" s="18"/>
      <c r="W98" s="18"/>
    </row>
    <row r="99" spans="1:23" ht="15.75">
      <c r="A99" s="19">
        <v>45133</v>
      </c>
      <c r="B99" s="20" t="s">
        <v>71</v>
      </c>
      <c r="C99" s="20" t="s">
        <v>0</v>
      </c>
      <c r="D99" s="21">
        <v>3.4</v>
      </c>
      <c r="E99" s="22">
        <v>483.41</v>
      </c>
      <c r="F99" s="22">
        <f t="shared" ca="1" si="0"/>
        <v>462.06885000000005</v>
      </c>
      <c r="G99" s="22">
        <f t="shared" ca="1" si="1"/>
        <v>492.44999999999993</v>
      </c>
      <c r="H99" s="20" t="str">
        <f t="shared" ca="1" si="2"/>
        <v>Valid</v>
      </c>
      <c r="I99" s="21">
        <f t="shared" si="3"/>
        <v>1643.5940000000001</v>
      </c>
      <c r="J99" s="23">
        <f t="shared" ref="J99:J130" ca="1" si="10">IF(A99="","",ROUND(
IF(ROW(A99)-ROW($A$1)=1,I_ST_CASH,OFFSET(J99,-1,0))
+(IF(C99="Buy",-1,IF(C99="Sell",1,0))*I99)
+(IF(C99="Cash Deposit",1,IF(C99="Cash Withdrawal",-1,0))*I99)
+(IF(C99="Cash Dividend",1,IF(C99="Fees",-1,0))*I99),2))</f>
        <v>135095.5</v>
      </c>
      <c r="K99" s="14">
        <f ca="1">IFERROR(__xludf.DUMMYFUNCTION("iferror(index(GOOGLEFINANCE(B100,""all"",A100-10,A100+3),MATCH(A100+0.6458333333,index(GOOGLEFINANCE(B100,""all"",A100-10,A100+3),,1)),),"""")"),45133.6458333333)</f>
        <v>45133.645833333299</v>
      </c>
      <c r="L99" s="15">
        <f ca="1">IFERROR(__xludf.DUMMYFUNCTION("""COMPUTED_VALUE"""),489.05)</f>
        <v>489.05</v>
      </c>
      <c r="M99" s="15">
        <f ca="1">IFERROR(__xludf.DUMMYFUNCTION("""COMPUTED_VALUE"""),490)</f>
        <v>490</v>
      </c>
      <c r="N99" s="15">
        <f ca="1">IFERROR(__xludf.DUMMYFUNCTION("""COMPUTED_VALUE"""),462.3)</f>
        <v>462.3</v>
      </c>
      <c r="O99" s="15">
        <f ca="1">IFERROR(__xludf.DUMMYFUNCTION("""COMPUTED_VALUE"""),474.15)</f>
        <v>474.15</v>
      </c>
      <c r="P99" s="15">
        <f ca="1">IFERROR(__xludf.DUMMYFUNCTION("""COMPUTED_VALUE"""),709851)</f>
        <v>709851</v>
      </c>
      <c r="Q99" s="15">
        <f t="shared" si="5"/>
        <v>3.4</v>
      </c>
      <c r="R99" s="15">
        <f t="shared" si="6"/>
        <v>-1643.5940000000001</v>
      </c>
      <c r="S99" s="16">
        <f t="shared" si="7"/>
        <v>45133</v>
      </c>
      <c r="T99" s="29"/>
      <c r="U99" s="18"/>
      <c r="V99" s="18"/>
      <c r="W99" s="18"/>
    </row>
    <row r="100" spans="1:23" ht="15.75">
      <c r="A100" s="19">
        <v>45133</v>
      </c>
      <c r="B100" s="20" t="s">
        <v>72</v>
      </c>
      <c r="C100" s="20" t="s">
        <v>0</v>
      </c>
      <c r="D100" s="21">
        <v>7.6</v>
      </c>
      <c r="E100" s="22">
        <v>483.7</v>
      </c>
      <c r="F100" s="22">
        <f t="shared" ca="1" si="0"/>
        <v>479.36020000000008</v>
      </c>
      <c r="G100" s="22">
        <f t="shared" ca="1" si="1"/>
        <v>491.94749999999993</v>
      </c>
      <c r="H100" s="20" t="str">
        <f t="shared" ca="1" si="2"/>
        <v>Valid</v>
      </c>
      <c r="I100" s="21">
        <f t="shared" si="3"/>
        <v>3676.12</v>
      </c>
      <c r="J100" s="23">
        <f t="shared" ca="1" si="10"/>
        <v>131419.38</v>
      </c>
      <c r="K100" s="14">
        <f ca="1">IFERROR(__xludf.DUMMYFUNCTION("iferror(index(GOOGLEFINANCE(B101,""all"",A101-10,A101+3),MATCH(A101+0.6458333333,index(GOOGLEFINANCE(B101,""all"",A101-10,A101+3),,1)),),"""")"),45133.6458333333)</f>
        <v>45133.645833333299</v>
      </c>
      <c r="L100" s="15">
        <f ca="1">IFERROR(__xludf.DUMMYFUNCTION("""COMPUTED_VALUE"""),482)</f>
        <v>482</v>
      </c>
      <c r="M100" s="15">
        <f ca="1">IFERROR(__xludf.DUMMYFUNCTION("""COMPUTED_VALUE"""),489.5)</f>
        <v>489.5</v>
      </c>
      <c r="N100" s="15">
        <f ca="1">IFERROR(__xludf.DUMMYFUNCTION("""COMPUTED_VALUE"""),479.6)</f>
        <v>479.6</v>
      </c>
      <c r="O100" s="15">
        <f ca="1">IFERROR(__xludf.DUMMYFUNCTION("""COMPUTED_VALUE"""),487.65)</f>
        <v>487.65</v>
      </c>
      <c r="P100" s="15">
        <f ca="1">IFERROR(__xludf.DUMMYFUNCTION("""COMPUTED_VALUE"""),3572206)</f>
        <v>3572206</v>
      </c>
      <c r="Q100" s="15">
        <f t="shared" si="5"/>
        <v>7.6</v>
      </c>
      <c r="R100" s="15">
        <f t="shared" si="6"/>
        <v>-3676.12</v>
      </c>
      <c r="S100" s="16">
        <f t="shared" si="7"/>
        <v>45133</v>
      </c>
      <c r="T100" s="29"/>
      <c r="U100" s="18"/>
      <c r="V100" s="18"/>
      <c r="W100" s="18"/>
    </row>
    <row r="101" spans="1:23" ht="15.75">
      <c r="A101" s="19">
        <v>45133</v>
      </c>
      <c r="B101" s="20" t="s">
        <v>73</v>
      </c>
      <c r="C101" s="20" t="s">
        <v>0</v>
      </c>
      <c r="D101" s="21">
        <v>15.1</v>
      </c>
      <c r="E101" s="22">
        <v>324.5</v>
      </c>
      <c r="F101" s="22">
        <f t="shared" ca="1" si="0"/>
        <v>320.58962500000001</v>
      </c>
      <c r="G101" s="22">
        <f t="shared" ca="1" si="1"/>
        <v>328.13249999999999</v>
      </c>
      <c r="H101" s="20" t="str">
        <f t="shared" ca="1" si="2"/>
        <v>Valid</v>
      </c>
      <c r="I101" s="21">
        <f t="shared" si="3"/>
        <v>4899.95</v>
      </c>
      <c r="J101" s="23">
        <f t="shared" ca="1" si="10"/>
        <v>126519.43</v>
      </c>
      <c r="K101" s="14">
        <f ca="1">IFERROR(__xludf.DUMMYFUNCTION("iferror(index(GOOGLEFINANCE(B102,""all"",A102-10,A102+3),MATCH(A102+0.6458333333,index(GOOGLEFINANCE(B102,""all"",A102-10,A102+3),,1)),),"""")"),45133.6458333333)</f>
        <v>45133.645833333299</v>
      </c>
      <c r="L101" s="15">
        <f ca="1">IFERROR(__xludf.DUMMYFUNCTION("""COMPUTED_VALUE"""),321.6)</f>
        <v>321.60000000000002</v>
      </c>
      <c r="M101" s="15">
        <f ca="1">IFERROR(__xludf.DUMMYFUNCTION("""COMPUTED_VALUE"""),326.5)</f>
        <v>326.5</v>
      </c>
      <c r="N101" s="15">
        <f ca="1">IFERROR(__xludf.DUMMYFUNCTION("""COMPUTED_VALUE"""),320.75)</f>
        <v>320.75</v>
      </c>
      <c r="O101" s="15">
        <f ca="1">IFERROR(__xludf.DUMMYFUNCTION("""COMPUTED_VALUE"""),323.7)</f>
        <v>323.7</v>
      </c>
      <c r="P101" s="15">
        <f ca="1">IFERROR(__xludf.DUMMYFUNCTION("""COMPUTED_VALUE"""),302038)</f>
        <v>302038</v>
      </c>
      <c r="Q101" s="15">
        <f t="shared" si="5"/>
        <v>15.1</v>
      </c>
      <c r="R101" s="15">
        <f t="shared" si="6"/>
        <v>-4899.95</v>
      </c>
      <c r="S101" s="16">
        <f t="shared" si="7"/>
        <v>45133</v>
      </c>
      <c r="T101" s="29"/>
      <c r="U101" s="18"/>
      <c r="V101" s="18"/>
      <c r="W101" s="18"/>
    </row>
    <row r="102" spans="1:23" ht="15.75">
      <c r="A102" s="19">
        <v>45133</v>
      </c>
      <c r="B102" s="20" t="s">
        <v>74</v>
      </c>
      <c r="C102" s="20" t="s">
        <v>0</v>
      </c>
      <c r="D102" s="21">
        <v>86</v>
      </c>
      <c r="E102" s="22">
        <v>60.9</v>
      </c>
      <c r="F102" s="22">
        <f t="shared" ca="1" si="0"/>
        <v>60.619675000000001</v>
      </c>
      <c r="G102" s="22">
        <f t="shared" ca="1" si="1"/>
        <v>63.264749999999999</v>
      </c>
      <c r="H102" s="20" t="str">
        <f t="shared" ca="1" si="2"/>
        <v>Valid</v>
      </c>
      <c r="I102" s="21">
        <f t="shared" si="3"/>
        <v>5237.3999999999996</v>
      </c>
      <c r="J102" s="23">
        <f t="shared" ca="1" si="10"/>
        <v>121282.03</v>
      </c>
      <c r="K102" s="14">
        <f ca="1">IFERROR(__xludf.DUMMYFUNCTION("iferror(index(GOOGLEFINANCE(B103,""all"",A103-10,A103+3),MATCH(A103+0.6458333333,index(GOOGLEFINANCE(B103,""all"",A103-10,A103+3),,1)),),"""")"),45133.6458333333)</f>
        <v>45133.645833333299</v>
      </c>
      <c r="L102" s="15">
        <f ca="1">IFERROR(__xludf.DUMMYFUNCTION("""COMPUTED_VALUE"""),62)</f>
        <v>62</v>
      </c>
      <c r="M102" s="15">
        <f ca="1">IFERROR(__xludf.DUMMYFUNCTION("""COMPUTED_VALUE"""),62.95)</f>
        <v>62.95</v>
      </c>
      <c r="N102" s="15">
        <f ca="1">IFERROR(__xludf.DUMMYFUNCTION("""COMPUTED_VALUE"""),60.65)</f>
        <v>60.65</v>
      </c>
      <c r="O102" s="15">
        <f ca="1">IFERROR(__xludf.DUMMYFUNCTION("""COMPUTED_VALUE"""),62.15)</f>
        <v>62.15</v>
      </c>
      <c r="P102" s="15">
        <f ca="1">IFERROR(__xludf.DUMMYFUNCTION("""COMPUTED_VALUE"""),14070518)</f>
        <v>14070518</v>
      </c>
      <c r="Q102" s="15">
        <f t="shared" si="5"/>
        <v>86</v>
      </c>
      <c r="R102" s="15">
        <f t="shared" si="6"/>
        <v>-5237.3999999999996</v>
      </c>
      <c r="S102" s="16">
        <f t="shared" si="7"/>
        <v>45133</v>
      </c>
      <c r="T102" s="29"/>
      <c r="U102" s="18"/>
      <c r="V102" s="18"/>
      <c r="W102" s="18"/>
    </row>
    <row r="103" spans="1:23" ht="15.75">
      <c r="A103" s="19">
        <v>45133</v>
      </c>
      <c r="B103" s="20" t="s">
        <v>75</v>
      </c>
      <c r="C103" s="20" t="s">
        <v>0</v>
      </c>
      <c r="D103" s="21">
        <v>14.2</v>
      </c>
      <c r="E103" s="22">
        <v>403.15</v>
      </c>
      <c r="F103" s="22">
        <f t="shared" ca="1" si="0"/>
        <v>401.19929999999999</v>
      </c>
      <c r="G103" s="22">
        <f t="shared" ca="1" si="1"/>
        <v>405.61799999999999</v>
      </c>
      <c r="H103" s="20" t="str">
        <f t="shared" ca="1" si="2"/>
        <v>Valid</v>
      </c>
      <c r="I103" s="21">
        <f t="shared" si="3"/>
        <v>5724.73</v>
      </c>
      <c r="J103" s="23">
        <f t="shared" ca="1" si="10"/>
        <v>115557.3</v>
      </c>
      <c r="K103" s="14">
        <f ca="1">IFERROR(__xludf.DUMMYFUNCTION("iferror(index(GOOGLEFINANCE(B104,""all"",A104-10,A104+3),MATCH(A104+0.6458333333,index(GOOGLEFINANCE(B104,""all"",A104-10,A104+3),,1)),),"""")"),45133.6458333333)</f>
        <v>45133.645833333299</v>
      </c>
      <c r="L103" s="15">
        <f ca="1">IFERROR(__xludf.DUMMYFUNCTION("""COMPUTED_VALUE"""),403.5)</f>
        <v>403.5</v>
      </c>
      <c r="M103" s="15">
        <f ca="1">IFERROR(__xludf.DUMMYFUNCTION("""COMPUTED_VALUE"""),403.6)</f>
        <v>403.6</v>
      </c>
      <c r="N103" s="15">
        <f ca="1">IFERROR(__xludf.DUMMYFUNCTION("""COMPUTED_VALUE"""),401.4)</f>
        <v>401.4</v>
      </c>
      <c r="O103" s="15">
        <f ca="1">IFERROR(__xludf.DUMMYFUNCTION("""COMPUTED_VALUE"""),402.75)</f>
        <v>402.75</v>
      </c>
      <c r="P103" s="15">
        <f ca="1">IFERROR(__xludf.DUMMYFUNCTION("""COMPUTED_VALUE"""),2664831)</f>
        <v>2664831</v>
      </c>
      <c r="Q103" s="15">
        <f t="shared" si="5"/>
        <v>14.2</v>
      </c>
      <c r="R103" s="15">
        <f t="shared" si="6"/>
        <v>-5724.73</v>
      </c>
      <c r="S103" s="16">
        <f t="shared" si="7"/>
        <v>45133</v>
      </c>
      <c r="T103" s="29"/>
      <c r="U103" s="18"/>
      <c r="V103" s="18"/>
      <c r="W103" s="18"/>
    </row>
    <row r="104" spans="1:23" ht="15.75">
      <c r="A104" s="19">
        <v>45135</v>
      </c>
      <c r="B104" s="20" t="s">
        <v>69</v>
      </c>
      <c r="C104" s="20" t="s">
        <v>0</v>
      </c>
      <c r="D104" s="21">
        <v>3.55</v>
      </c>
      <c r="E104" s="22">
        <v>1036.8900000000001</v>
      </c>
      <c r="F104" s="22">
        <f t="shared" ca="1" si="0"/>
        <v>1019.1901500000001</v>
      </c>
      <c r="G104" s="22">
        <f t="shared" ca="1" si="1"/>
        <v>1052.2349999999999</v>
      </c>
      <c r="H104" s="20" t="str">
        <f t="shared" ca="1" si="2"/>
        <v>Valid</v>
      </c>
      <c r="I104" s="21">
        <f t="shared" si="3"/>
        <v>3680.9595000000004</v>
      </c>
      <c r="J104" s="23">
        <f t="shared" ca="1" si="10"/>
        <v>111876.34</v>
      </c>
      <c r="K104" s="14">
        <f ca="1">IFERROR(__xludf.DUMMYFUNCTION("iferror(index(GOOGLEFINANCE(B105,""all"",A105-10,A105+3),MATCH(A105+0.6458333333,index(GOOGLEFINANCE(B105,""all"",A105-10,A105+3),,1)),),"""")"),45135.6458333333)</f>
        <v>45135.645833333299</v>
      </c>
      <c r="L104" s="15">
        <f ca="1">IFERROR(__xludf.DUMMYFUNCTION("""COMPUTED_VALUE"""),1029)</f>
        <v>1029</v>
      </c>
      <c r="M104" s="15">
        <f ca="1">IFERROR(__xludf.DUMMYFUNCTION("""COMPUTED_VALUE"""),1047)</f>
        <v>1047</v>
      </c>
      <c r="N104" s="15">
        <f ca="1">IFERROR(__xludf.DUMMYFUNCTION("""COMPUTED_VALUE"""),1019.7)</f>
        <v>1019.7</v>
      </c>
      <c r="O104" s="15">
        <f ca="1">IFERROR(__xludf.DUMMYFUNCTION("""COMPUTED_VALUE"""),1024.3)</f>
        <v>1024.3</v>
      </c>
      <c r="P104" s="15">
        <f ca="1">IFERROR(__xludf.DUMMYFUNCTION("""COMPUTED_VALUE"""),81706)</f>
        <v>81706</v>
      </c>
      <c r="Q104" s="15">
        <f t="shared" si="5"/>
        <v>3.55</v>
      </c>
      <c r="R104" s="15">
        <f t="shared" si="6"/>
        <v>-3680.9595000000004</v>
      </c>
      <c r="S104" s="16">
        <f t="shared" si="7"/>
        <v>45135</v>
      </c>
      <c r="T104" s="29"/>
      <c r="U104" s="18"/>
      <c r="V104" s="18"/>
      <c r="W104" s="18"/>
    </row>
    <row r="105" spans="1:23" ht="15.75">
      <c r="A105" s="19">
        <v>45135</v>
      </c>
      <c r="B105" s="20" t="s">
        <v>70</v>
      </c>
      <c r="C105" s="20" t="s">
        <v>0</v>
      </c>
      <c r="D105" s="21">
        <v>34.909999999999997</v>
      </c>
      <c r="E105" s="22">
        <v>199.45</v>
      </c>
      <c r="F105" s="22">
        <f t="shared" ca="1" si="0"/>
        <v>197.40125</v>
      </c>
      <c r="G105" s="22">
        <f t="shared" ca="1" si="1"/>
        <v>202.809</v>
      </c>
      <c r="H105" s="20" t="str">
        <f t="shared" ca="1" si="2"/>
        <v>Valid</v>
      </c>
      <c r="I105" s="21">
        <f t="shared" si="3"/>
        <v>6962.7994999999992</v>
      </c>
      <c r="J105" s="23">
        <f t="shared" ca="1" si="10"/>
        <v>104913.54</v>
      </c>
      <c r="K105" s="14">
        <f ca="1">IFERROR(__xludf.DUMMYFUNCTION("iferror(index(GOOGLEFINANCE(B106,""all"",A106-10,A106+3),MATCH(A106+0.6458333333,index(GOOGLEFINANCE(B106,""all"",A106-10,A106+3),,1)),),"""")"),45135.6458333333)</f>
        <v>45135.645833333299</v>
      </c>
      <c r="L105" s="15">
        <f ca="1">IFERROR(__xludf.DUMMYFUNCTION("""COMPUTED_VALUE"""),198.7)</f>
        <v>198.7</v>
      </c>
      <c r="M105" s="15">
        <f ca="1">IFERROR(__xludf.DUMMYFUNCTION("""COMPUTED_VALUE"""),201.8)</f>
        <v>201.8</v>
      </c>
      <c r="N105" s="15">
        <f ca="1">IFERROR(__xludf.DUMMYFUNCTION("""COMPUTED_VALUE"""),197.5)</f>
        <v>197.5</v>
      </c>
      <c r="O105" s="15">
        <f ca="1">IFERROR(__xludf.DUMMYFUNCTION("""COMPUTED_VALUE"""),201.1)</f>
        <v>201.1</v>
      </c>
      <c r="P105" s="15">
        <f ca="1">IFERROR(__xludf.DUMMYFUNCTION("""COMPUTED_VALUE"""),14094619)</f>
        <v>14094619</v>
      </c>
      <c r="Q105" s="15">
        <f t="shared" si="5"/>
        <v>34.909999999999997</v>
      </c>
      <c r="R105" s="15">
        <f t="shared" si="6"/>
        <v>-6962.7994999999992</v>
      </c>
      <c r="S105" s="16">
        <f t="shared" si="7"/>
        <v>45135</v>
      </c>
      <c r="T105" s="29"/>
      <c r="U105" s="18"/>
      <c r="V105" s="18"/>
      <c r="W105" s="18"/>
    </row>
    <row r="106" spans="1:23" ht="15.75">
      <c r="A106" s="19">
        <v>45135</v>
      </c>
      <c r="B106" s="20" t="s">
        <v>71</v>
      </c>
      <c r="C106" s="20" t="s">
        <v>0</v>
      </c>
      <c r="D106" s="21">
        <v>18.88</v>
      </c>
      <c r="E106" s="22">
        <v>468.27</v>
      </c>
      <c r="F106" s="22">
        <f t="shared" ca="1" si="0"/>
        <v>462.31872500000003</v>
      </c>
      <c r="G106" s="22">
        <f t="shared" ca="1" si="1"/>
        <v>479.33474999999993</v>
      </c>
      <c r="H106" s="20" t="str">
        <f t="shared" ca="1" si="2"/>
        <v>Valid</v>
      </c>
      <c r="I106" s="21">
        <f t="shared" si="3"/>
        <v>8840.9375999999993</v>
      </c>
      <c r="J106" s="23">
        <f t="shared" ca="1" si="10"/>
        <v>96072.6</v>
      </c>
      <c r="K106" s="14">
        <f ca="1">IFERROR(__xludf.DUMMYFUNCTION("iferror(index(GOOGLEFINANCE(B107,""all"",A107-10,A107+3),MATCH(A107+0.6458333333,index(GOOGLEFINANCE(B107,""all"",A107-10,A107+3),,1)),),"""")"),45135.6458333333)</f>
        <v>45135.645833333299</v>
      </c>
      <c r="L106" s="15">
        <f ca="1">IFERROR(__xludf.DUMMYFUNCTION("""COMPUTED_VALUE"""),473)</f>
        <v>473</v>
      </c>
      <c r="M106" s="15">
        <f ca="1">IFERROR(__xludf.DUMMYFUNCTION("""COMPUTED_VALUE"""),476.95)</f>
        <v>476.95</v>
      </c>
      <c r="N106" s="15">
        <f ca="1">IFERROR(__xludf.DUMMYFUNCTION("""COMPUTED_VALUE"""),462.55)</f>
        <v>462.55</v>
      </c>
      <c r="O106" s="15">
        <f ca="1">IFERROR(__xludf.DUMMYFUNCTION("""COMPUTED_VALUE"""),473.5)</f>
        <v>473.5</v>
      </c>
      <c r="P106" s="15">
        <f ca="1">IFERROR(__xludf.DUMMYFUNCTION("""COMPUTED_VALUE"""),313925)</f>
        <v>313925</v>
      </c>
      <c r="Q106" s="15">
        <f t="shared" si="5"/>
        <v>18.88</v>
      </c>
      <c r="R106" s="15">
        <f t="shared" si="6"/>
        <v>-8840.9375999999993</v>
      </c>
      <c r="S106" s="16">
        <f t="shared" si="7"/>
        <v>45135</v>
      </c>
      <c r="T106" s="29"/>
      <c r="U106" s="18"/>
      <c r="V106" s="18"/>
      <c r="W106" s="18"/>
    </row>
    <row r="107" spans="1:23" ht="15.75">
      <c r="A107" s="19">
        <v>45135</v>
      </c>
      <c r="B107" s="20" t="s">
        <v>72</v>
      </c>
      <c r="C107" s="20" t="s">
        <v>0</v>
      </c>
      <c r="D107" s="21">
        <v>12.3</v>
      </c>
      <c r="E107" s="22">
        <v>510.48</v>
      </c>
      <c r="F107" s="22">
        <f t="shared" ca="1" si="0"/>
        <v>504.69752500000004</v>
      </c>
      <c r="G107" s="22">
        <f t="shared" ca="1" si="1"/>
        <v>520.3889999999999</v>
      </c>
      <c r="H107" s="20" t="str">
        <f t="shared" ca="1" si="2"/>
        <v>Valid</v>
      </c>
      <c r="I107" s="21">
        <f t="shared" si="3"/>
        <v>6278.9040000000005</v>
      </c>
      <c r="J107" s="23">
        <f t="shared" ca="1" si="10"/>
        <v>89793.7</v>
      </c>
      <c r="K107" s="14">
        <f ca="1">IFERROR(__xludf.DUMMYFUNCTION("iferror(index(GOOGLEFINANCE(B108,""all"",A108-10,A108+3),MATCH(A108+0.6458333333,index(GOOGLEFINANCE(B108,""all"",A108-10,A108+3),,1)),),"""")"),45135.6458333333)</f>
        <v>45135.645833333299</v>
      </c>
      <c r="L107" s="15">
        <f ca="1">IFERROR(__xludf.DUMMYFUNCTION("""COMPUTED_VALUE"""),509)</f>
        <v>509</v>
      </c>
      <c r="M107" s="15">
        <f ca="1">IFERROR(__xludf.DUMMYFUNCTION("""COMPUTED_VALUE"""),517.8)</f>
        <v>517.79999999999995</v>
      </c>
      <c r="N107" s="15">
        <f ca="1">IFERROR(__xludf.DUMMYFUNCTION("""COMPUTED_VALUE"""),504.95)</f>
        <v>504.95</v>
      </c>
      <c r="O107" s="15">
        <f ca="1">IFERROR(__xludf.DUMMYFUNCTION("""COMPUTED_VALUE"""),515.6)</f>
        <v>515.6</v>
      </c>
      <c r="P107" s="15">
        <f ca="1">IFERROR(__xludf.DUMMYFUNCTION("""COMPUTED_VALUE"""),7227144)</f>
        <v>7227144</v>
      </c>
      <c r="Q107" s="15">
        <f t="shared" si="5"/>
        <v>12.3</v>
      </c>
      <c r="R107" s="15">
        <f t="shared" si="6"/>
        <v>-6278.9040000000005</v>
      </c>
      <c r="S107" s="16">
        <f t="shared" si="7"/>
        <v>45135</v>
      </c>
      <c r="T107" s="29"/>
      <c r="U107" s="18"/>
      <c r="V107" s="18"/>
      <c r="W107" s="18"/>
    </row>
    <row r="108" spans="1:23" ht="15.75">
      <c r="A108" s="19">
        <v>45135</v>
      </c>
      <c r="B108" s="20" t="s">
        <v>73</v>
      </c>
      <c r="C108" s="20" t="s">
        <v>0</v>
      </c>
      <c r="D108" s="21">
        <v>11.2</v>
      </c>
      <c r="E108" s="22">
        <v>327.36</v>
      </c>
      <c r="F108" s="22">
        <f t="shared" ca="1" si="0"/>
        <v>324.53764999999999</v>
      </c>
      <c r="G108" s="22">
        <f t="shared" ca="1" si="1"/>
        <v>330.14249999999998</v>
      </c>
      <c r="H108" s="20" t="str">
        <f t="shared" ca="1" si="2"/>
        <v>Valid</v>
      </c>
      <c r="I108" s="21">
        <f t="shared" si="3"/>
        <v>3666.4319999999998</v>
      </c>
      <c r="J108" s="23">
        <f t="shared" ca="1" si="10"/>
        <v>86127.27</v>
      </c>
      <c r="K108" s="14">
        <f ca="1">IFERROR(__xludf.DUMMYFUNCTION("iferror(index(GOOGLEFINANCE(B109,""all"",A109-10,A109+3),MATCH(A109+0.6458333333,index(GOOGLEFINANCE(B109,""all"",A109-10,A109+3),,1)),),"""")"),45135.6458333333)</f>
        <v>45135.645833333299</v>
      </c>
      <c r="L108" s="15">
        <f ca="1">IFERROR(__xludf.DUMMYFUNCTION("""COMPUTED_VALUE"""),327.5)</f>
        <v>327.5</v>
      </c>
      <c r="M108" s="15">
        <f ca="1">IFERROR(__xludf.DUMMYFUNCTION("""COMPUTED_VALUE"""),328.5)</f>
        <v>328.5</v>
      </c>
      <c r="N108" s="15">
        <f ca="1">IFERROR(__xludf.DUMMYFUNCTION("""COMPUTED_VALUE"""),324.7)</f>
        <v>324.7</v>
      </c>
      <c r="O108" s="15">
        <f ca="1">IFERROR(__xludf.DUMMYFUNCTION("""COMPUTED_VALUE"""),327.6)</f>
        <v>327.60000000000002</v>
      </c>
      <c r="P108" s="15">
        <f ca="1">IFERROR(__xludf.DUMMYFUNCTION("""COMPUTED_VALUE"""),241621)</f>
        <v>241621</v>
      </c>
      <c r="Q108" s="15">
        <f t="shared" si="5"/>
        <v>11.2</v>
      </c>
      <c r="R108" s="15">
        <f t="shared" si="6"/>
        <v>-3666.4319999999998</v>
      </c>
      <c r="S108" s="16">
        <f t="shared" si="7"/>
        <v>45135</v>
      </c>
      <c r="T108" s="29"/>
      <c r="U108" s="18"/>
      <c r="V108" s="18"/>
      <c r="W108" s="18"/>
    </row>
    <row r="109" spans="1:23" ht="15.75">
      <c r="A109" s="19">
        <v>45135</v>
      </c>
      <c r="B109" s="20" t="s">
        <v>76</v>
      </c>
      <c r="C109" s="20" t="s">
        <v>0</v>
      </c>
      <c r="D109" s="21">
        <v>28.17</v>
      </c>
      <c r="E109" s="22">
        <v>523</v>
      </c>
      <c r="F109" s="22">
        <f t="shared" ca="1" si="0"/>
        <v>513.74300000000005</v>
      </c>
      <c r="G109" s="22">
        <f t="shared" ca="1" si="1"/>
        <v>527.625</v>
      </c>
      <c r="H109" s="20" t="str">
        <f t="shared" ca="1" si="2"/>
        <v>Valid</v>
      </c>
      <c r="I109" s="21">
        <f t="shared" si="3"/>
        <v>14732.910000000002</v>
      </c>
      <c r="J109" s="23">
        <f t="shared" ca="1" si="10"/>
        <v>71394.36</v>
      </c>
      <c r="K109" s="14">
        <f ca="1">IFERROR(__xludf.DUMMYFUNCTION("iferror(index(GOOGLEFINANCE(B110,""all"",A110-10,A110+3),MATCH(A110+0.6458333333,index(GOOGLEFINANCE(B110,""all"",A110-10,A110+3),,1)),),"""")"),45135.6458333333)</f>
        <v>45135.645833333299</v>
      </c>
      <c r="L109" s="15">
        <f ca="1">IFERROR(__xludf.DUMMYFUNCTION("""COMPUTED_VALUE"""),525)</f>
        <v>525</v>
      </c>
      <c r="M109" s="15">
        <f ca="1">IFERROR(__xludf.DUMMYFUNCTION("""COMPUTED_VALUE"""),525)</f>
        <v>525</v>
      </c>
      <c r="N109" s="15">
        <f ca="1">IFERROR(__xludf.DUMMYFUNCTION("""COMPUTED_VALUE"""),514)</f>
        <v>514</v>
      </c>
      <c r="O109" s="15">
        <f ca="1">IFERROR(__xludf.DUMMYFUNCTION("""COMPUTED_VALUE"""),517.15)</f>
        <v>517.15</v>
      </c>
      <c r="P109" s="15">
        <f ca="1">IFERROR(__xludf.DUMMYFUNCTION("""COMPUTED_VALUE"""),33579)</f>
        <v>33579</v>
      </c>
      <c r="Q109" s="15">
        <f t="shared" si="5"/>
        <v>28.17</v>
      </c>
      <c r="R109" s="15">
        <f t="shared" si="6"/>
        <v>-14732.910000000002</v>
      </c>
      <c r="S109" s="16">
        <f t="shared" si="7"/>
        <v>45135</v>
      </c>
      <c r="T109" s="29"/>
      <c r="U109" s="18"/>
      <c r="V109" s="18"/>
      <c r="W109" s="18"/>
    </row>
    <row r="110" spans="1:23" ht="15.75">
      <c r="A110" s="19">
        <v>45135</v>
      </c>
      <c r="B110" s="20" t="s">
        <v>74</v>
      </c>
      <c r="C110" s="20" t="s">
        <v>0</v>
      </c>
      <c r="D110" s="21">
        <v>75.3</v>
      </c>
      <c r="E110" s="22">
        <v>61.25</v>
      </c>
      <c r="F110" s="22">
        <f t="shared" ca="1" si="0"/>
        <v>58.520724999999999</v>
      </c>
      <c r="G110" s="22">
        <f t="shared" ca="1" si="1"/>
        <v>61.757249999999999</v>
      </c>
      <c r="H110" s="20" t="str">
        <f t="shared" ca="1" si="2"/>
        <v>Valid</v>
      </c>
      <c r="I110" s="21">
        <f t="shared" si="3"/>
        <v>4612.125</v>
      </c>
      <c r="J110" s="23">
        <f t="shared" ca="1" si="10"/>
        <v>66782.240000000005</v>
      </c>
      <c r="K110" s="14">
        <f ca="1">IFERROR(__xludf.DUMMYFUNCTION("iferror(index(GOOGLEFINANCE(B111,""all"",A111-10,A111+3),MATCH(A111+0.6458333333,index(GOOGLEFINANCE(B111,""all"",A111-10,A111+3),,1)),),"""")"),45135.6458333333)</f>
        <v>45135.645833333299</v>
      </c>
      <c r="L110" s="15">
        <f ca="1">IFERROR(__xludf.DUMMYFUNCTION("""COMPUTED_VALUE"""),60.3)</f>
        <v>60.3</v>
      </c>
      <c r="M110" s="15">
        <f ca="1">IFERROR(__xludf.DUMMYFUNCTION("""COMPUTED_VALUE"""),61.45)</f>
        <v>61.45</v>
      </c>
      <c r="N110" s="15">
        <f ca="1">IFERROR(__xludf.DUMMYFUNCTION("""COMPUTED_VALUE"""),58.55)</f>
        <v>58.55</v>
      </c>
      <c r="O110" s="15">
        <f ca="1">IFERROR(__xludf.DUMMYFUNCTION("""COMPUTED_VALUE"""),58.85)</f>
        <v>58.85</v>
      </c>
      <c r="P110" s="15">
        <f ca="1">IFERROR(__xludf.DUMMYFUNCTION("""COMPUTED_VALUE"""),7244924)</f>
        <v>7244924</v>
      </c>
      <c r="Q110" s="15">
        <f t="shared" si="5"/>
        <v>75.3</v>
      </c>
      <c r="R110" s="15">
        <f t="shared" si="6"/>
        <v>-4612.125</v>
      </c>
      <c r="S110" s="16">
        <f t="shared" si="7"/>
        <v>45135</v>
      </c>
      <c r="T110" s="29"/>
      <c r="U110" s="18"/>
      <c r="V110" s="18"/>
      <c r="W110" s="18"/>
    </row>
    <row r="111" spans="1:23" ht="15.75">
      <c r="A111" s="19">
        <v>45135</v>
      </c>
      <c r="B111" s="20" t="s">
        <v>75</v>
      </c>
      <c r="C111" s="20" t="s">
        <v>0</v>
      </c>
      <c r="D111" s="21">
        <v>6.7</v>
      </c>
      <c r="E111" s="22">
        <v>399.4</v>
      </c>
      <c r="F111" s="22">
        <f t="shared" ca="1" si="0"/>
        <v>396.35172500000004</v>
      </c>
      <c r="G111" s="22">
        <f t="shared" ca="1" si="1"/>
        <v>404.86424999999997</v>
      </c>
      <c r="H111" s="20" t="str">
        <f t="shared" ca="1" si="2"/>
        <v>Valid</v>
      </c>
      <c r="I111" s="21">
        <f t="shared" si="3"/>
        <v>2675.98</v>
      </c>
      <c r="J111" s="23">
        <f t="shared" ca="1" si="10"/>
        <v>64106.26</v>
      </c>
      <c r="K111" s="14">
        <f ca="1">IFERROR(__xludf.DUMMYFUNCTION("iferror(index(GOOGLEFINANCE(B112,""all"",A112-10,A112+3),MATCH(A112+0.6458333333,index(GOOGLEFINANCE(B112,""all"",A112-10,A112+3),,1)),),"""")"),45135.6458333333)</f>
        <v>45135.645833333299</v>
      </c>
      <c r="L111" s="15">
        <f ca="1">IFERROR(__xludf.DUMMYFUNCTION("""COMPUTED_VALUE"""),401.05)</f>
        <v>401.05</v>
      </c>
      <c r="M111" s="15">
        <f ca="1">IFERROR(__xludf.DUMMYFUNCTION("""COMPUTED_VALUE"""),402.85)</f>
        <v>402.85</v>
      </c>
      <c r="N111" s="15">
        <f ca="1">IFERROR(__xludf.DUMMYFUNCTION("""COMPUTED_VALUE"""),396.55)</f>
        <v>396.55</v>
      </c>
      <c r="O111" s="15">
        <f ca="1">IFERROR(__xludf.DUMMYFUNCTION("""COMPUTED_VALUE"""),398.75)</f>
        <v>398.75</v>
      </c>
      <c r="P111" s="15">
        <f ca="1">IFERROR(__xludf.DUMMYFUNCTION("""COMPUTED_VALUE"""),3380030)</f>
        <v>3380030</v>
      </c>
      <c r="Q111" s="15">
        <f t="shared" si="5"/>
        <v>6.7</v>
      </c>
      <c r="R111" s="15">
        <f t="shared" si="6"/>
        <v>-2675.98</v>
      </c>
      <c r="S111" s="16">
        <f t="shared" si="7"/>
        <v>45135</v>
      </c>
      <c r="T111" s="29"/>
      <c r="U111" s="18"/>
      <c r="V111" s="18"/>
      <c r="W111" s="18"/>
    </row>
    <row r="112" spans="1:23" ht="15.75">
      <c r="A112" s="19">
        <v>45138</v>
      </c>
      <c r="B112" s="20" t="s">
        <v>77</v>
      </c>
      <c r="C112" s="20" t="s">
        <v>0</v>
      </c>
      <c r="D112" s="21">
        <v>26.2</v>
      </c>
      <c r="E112" s="22">
        <v>432</v>
      </c>
      <c r="F112" s="22">
        <f t="shared" ca="1" si="0"/>
        <v>419.44017500000001</v>
      </c>
      <c r="G112" s="22">
        <f t="shared" ca="1" si="1"/>
        <v>437.62724999999995</v>
      </c>
      <c r="H112" s="20" t="str">
        <f t="shared" ca="1" si="2"/>
        <v>Valid</v>
      </c>
      <c r="I112" s="21">
        <f t="shared" si="3"/>
        <v>11318.4</v>
      </c>
      <c r="J112" s="23">
        <f t="shared" ca="1" si="10"/>
        <v>52787.86</v>
      </c>
      <c r="K112" s="14">
        <f ca="1">IFERROR(__xludf.DUMMYFUNCTION("iferror(index(GOOGLEFINANCE(B113,""all"",A113-10,A113+3),MATCH(A113+0.6458333333,index(GOOGLEFINANCE(B113,""all"",A113-10,A113+3),,1)),),"""")"),45138.6458333333)</f>
        <v>45138.645833333299</v>
      </c>
      <c r="L112" s="15">
        <f ca="1">IFERROR(__xludf.DUMMYFUNCTION("""COMPUTED_VALUE"""),420.85)</f>
        <v>420.85</v>
      </c>
      <c r="M112" s="15">
        <f ca="1">IFERROR(__xludf.DUMMYFUNCTION("""COMPUTED_VALUE"""),435.45)</f>
        <v>435.45</v>
      </c>
      <c r="N112" s="15">
        <f ca="1">IFERROR(__xludf.DUMMYFUNCTION("""COMPUTED_VALUE"""),419.65)</f>
        <v>419.65</v>
      </c>
      <c r="O112" s="15">
        <f ca="1">IFERROR(__xludf.DUMMYFUNCTION("""COMPUTED_VALUE"""),427.8)</f>
        <v>427.8</v>
      </c>
      <c r="P112" s="15">
        <f ca="1">IFERROR(__xludf.DUMMYFUNCTION("""COMPUTED_VALUE"""),2414618)</f>
        <v>2414618</v>
      </c>
      <c r="Q112" s="15">
        <f t="shared" si="5"/>
        <v>26.2</v>
      </c>
      <c r="R112" s="15">
        <f t="shared" si="6"/>
        <v>-11318.4</v>
      </c>
      <c r="S112" s="16">
        <f t="shared" si="7"/>
        <v>45138</v>
      </c>
      <c r="T112" s="29"/>
      <c r="U112" s="18"/>
      <c r="V112" s="18"/>
      <c r="W112" s="18"/>
    </row>
    <row r="113" spans="1:23" ht="15.75">
      <c r="A113" s="19">
        <v>45145</v>
      </c>
      <c r="B113" s="20" t="s">
        <v>78</v>
      </c>
      <c r="C113" s="20" t="s">
        <v>0</v>
      </c>
      <c r="D113" s="21">
        <v>5.3</v>
      </c>
      <c r="E113" s="22">
        <v>1392</v>
      </c>
      <c r="F113" s="22">
        <f t="shared" ca="1" si="0"/>
        <v>1363.5179000000001</v>
      </c>
      <c r="G113" s="22">
        <f t="shared" ca="1" si="1"/>
        <v>1406.9999999999998</v>
      </c>
      <c r="H113" s="20" t="str">
        <f t="shared" ca="1" si="2"/>
        <v>Valid</v>
      </c>
      <c r="I113" s="21">
        <f t="shared" si="3"/>
        <v>7377.5999999999995</v>
      </c>
      <c r="J113" s="23">
        <f t="shared" ca="1" si="10"/>
        <v>45410.26</v>
      </c>
      <c r="K113" s="14">
        <f ca="1">IFERROR(__xludf.DUMMYFUNCTION("iferror(index(GOOGLEFINANCE(B114,""all"",A114-10,A114+3),MATCH(A114+0.6458333333,index(GOOGLEFINANCE(B114,""all"",A114-10,A114+3),,1)),),"""")"),45145.6458333333)</f>
        <v>45145.645833333299</v>
      </c>
      <c r="L113" s="15">
        <f ca="1">IFERROR(__xludf.DUMMYFUNCTION("""COMPUTED_VALUE"""),1368.9)</f>
        <v>1368.9</v>
      </c>
      <c r="M113" s="15">
        <f ca="1">IFERROR(__xludf.DUMMYFUNCTION("""COMPUTED_VALUE"""),1400)</f>
        <v>1400</v>
      </c>
      <c r="N113" s="15">
        <f ca="1">IFERROR(__xludf.DUMMYFUNCTION("""COMPUTED_VALUE"""),1364.2)</f>
        <v>1364.2</v>
      </c>
      <c r="O113" s="15">
        <f ca="1">IFERROR(__xludf.DUMMYFUNCTION("""COMPUTED_VALUE"""),1395.6)</f>
        <v>1395.6</v>
      </c>
      <c r="P113" s="15">
        <f ca="1">IFERROR(__xludf.DUMMYFUNCTION("""COMPUTED_VALUE"""),366120)</f>
        <v>366120</v>
      </c>
      <c r="Q113" s="15">
        <f t="shared" si="5"/>
        <v>5.3</v>
      </c>
      <c r="R113" s="15">
        <f t="shared" si="6"/>
        <v>-7377.5999999999995</v>
      </c>
      <c r="S113" s="16">
        <f t="shared" si="7"/>
        <v>45145</v>
      </c>
      <c r="T113" s="29"/>
      <c r="U113" s="18"/>
      <c r="V113" s="18"/>
      <c r="W113" s="18"/>
    </row>
    <row r="114" spans="1:23" ht="15.75">
      <c r="A114" s="19">
        <v>45146</v>
      </c>
      <c r="B114" s="20" t="s">
        <v>78</v>
      </c>
      <c r="C114" s="20" t="s">
        <v>0</v>
      </c>
      <c r="D114" s="21">
        <v>3.84</v>
      </c>
      <c r="E114" s="22">
        <v>1407.35</v>
      </c>
      <c r="F114" s="22">
        <f t="shared" ca="1" si="0"/>
        <v>1371.3140000000001</v>
      </c>
      <c r="G114" s="22">
        <f t="shared" ca="1" si="1"/>
        <v>1416.9997499999999</v>
      </c>
      <c r="H114" s="20" t="str">
        <f t="shared" ca="1" si="2"/>
        <v>Valid</v>
      </c>
      <c r="I114" s="21">
        <f t="shared" si="3"/>
        <v>5404.2239999999993</v>
      </c>
      <c r="J114" s="23">
        <f t="shared" ca="1" si="10"/>
        <v>40006.04</v>
      </c>
      <c r="K114" s="14">
        <f ca="1">IFERROR(__xludf.DUMMYFUNCTION("iferror(index(GOOGLEFINANCE(B115,""all"",A115-10,A115+3),MATCH(A115+0.6458333333,index(GOOGLEFINANCE(B115,""all"",A115-10,A115+3),,1)),),"""")"),45146.6458333333)</f>
        <v>45146.645833333299</v>
      </c>
      <c r="L114" s="15">
        <f ca="1">IFERROR(__xludf.DUMMYFUNCTION("""COMPUTED_VALUE"""),1409.95)</f>
        <v>1409.95</v>
      </c>
      <c r="M114" s="15">
        <f ca="1">IFERROR(__xludf.DUMMYFUNCTION("""COMPUTED_VALUE"""),1409.95)</f>
        <v>1409.95</v>
      </c>
      <c r="N114" s="15">
        <f ca="1">IFERROR(__xludf.DUMMYFUNCTION("""COMPUTED_VALUE"""),1372)</f>
        <v>1372</v>
      </c>
      <c r="O114" s="15">
        <f ca="1">IFERROR(__xludf.DUMMYFUNCTION("""COMPUTED_VALUE"""),1388.15)</f>
        <v>1388.15</v>
      </c>
      <c r="P114" s="15">
        <f ca="1">IFERROR(__xludf.DUMMYFUNCTION("""COMPUTED_VALUE"""),180093)</f>
        <v>180093</v>
      </c>
      <c r="Q114" s="15">
        <f t="shared" si="5"/>
        <v>3.84</v>
      </c>
      <c r="R114" s="15">
        <f t="shared" si="6"/>
        <v>-5404.2239999999993</v>
      </c>
      <c r="S114" s="16">
        <f t="shared" si="7"/>
        <v>45146</v>
      </c>
      <c r="T114" s="29"/>
      <c r="U114" s="18"/>
      <c r="V114" s="18"/>
      <c r="W114" s="18"/>
    </row>
    <row r="115" spans="1:23" ht="15.75">
      <c r="A115" s="24">
        <v>45155</v>
      </c>
      <c r="B115" s="25" t="s">
        <v>64</v>
      </c>
      <c r="C115" s="25" t="s">
        <v>1</v>
      </c>
      <c r="D115" s="26">
        <v>54</v>
      </c>
      <c r="E115" s="27">
        <v>386</v>
      </c>
      <c r="F115" s="27">
        <f t="shared" ca="1" si="0"/>
        <v>380.30975000000001</v>
      </c>
      <c r="G115" s="27">
        <f t="shared" ca="1" si="1"/>
        <v>400.89449999999994</v>
      </c>
      <c r="H115" s="25" t="str">
        <f t="shared" ca="1" si="2"/>
        <v>Valid</v>
      </c>
      <c r="I115" s="26">
        <f t="shared" si="3"/>
        <v>20844</v>
      </c>
      <c r="J115" s="28">
        <f t="shared" ca="1" si="10"/>
        <v>60850.04</v>
      </c>
      <c r="K115" s="14">
        <f ca="1">IFERROR(__xludf.DUMMYFUNCTION("iferror(index(GOOGLEFINANCE(B116,""all"",A116-10,A116+3),MATCH(A116+0.6458333333,index(GOOGLEFINANCE(B116,""all"",A116-10,A116+3),,1)),),"""")"),45155.6458333333)</f>
        <v>45155.645833333299</v>
      </c>
      <c r="L115" s="15">
        <f ca="1">IFERROR(__xludf.DUMMYFUNCTION("""COMPUTED_VALUE"""),391)</f>
        <v>391</v>
      </c>
      <c r="M115" s="15">
        <f ca="1">IFERROR(__xludf.DUMMYFUNCTION("""COMPUTED_VALUE"""),398.9)</f>
        <v>398.9</v>
      </c>
      <c r="N115" s="15">
        <f ca="1">IFERROR(__xludf.DUMMYFUNCTION("""COMPUTED_VALUE"""),380.5)</f>
        <v>380.5</v>
      </c>
      <c r="O115" s="15">
        <f ca="1">IFERROR(__xludf.DUMMYFUNCTION("""COMPUTED_VALUE"""),385.6)</f>
        <v>385.6</v>
      </c>
      <c r="P115" s="15">
        <f ca="1">IFERROR(__xludf.DUMMYFUNCTION("""COMPUTED_VALUE"""),1277922)</f>
        <v>1277922</v>
      </c>
      <c r="Q115" s="15">
        <f t="shared" si="5"/>
        <v>-54</v>
      </c>
      <c r="R115" s="15">
        <f t="shared" si="6"/>
        <v>20844</v>
      </c>
      <c r="S115" s="16">
        <f t="shared" si="7"/>
        <v>45155</v>
      </c>
      <c r="T115" s="29"/>
      <c r="U115" s="18"/>
      <c r="V115" s="18"/>
      <c r="W115" s="18"/>
    </row>
    <row r="116" spans="1:23" ht="15.75">
      <c r="A116" s="19">
        <v>45156</v>
      </c>
      <c r="B116" s="20" t="s">
        <v>79</v>
      </c>
      <c r="C116" s="20" t="s">
        <v>0</v>
      </c>
      <c r="D116" s="21">
        <v>7.3</v>
      </c>
      <c r="E116" s="22">
        <v>1550.5</v>
      </c>
      <c r="F116" s="22">
        <f t="shared" ca="1" si="0"/>
        <v>1504.2475000000002</v>
      </c>
      <c r="G116" s="22">
        <f t="shared" ca="1" si="1"/>
        <v>1566.7949999999998</v>
      </c>
      <c r="H116" s="20" t="str">
        <f t="shared" ca="1" si="2"/>
        <v>Valid</v>
      </c>
      <c r="I116" s="21">
        <f t="shared" si="3"/>
        <v>11318.65</v>
      </c>
      <c r="J116" s="23">
        <f t="shared" ca="1" si="10"/>
        <v>49531.39</v>
      </c>
      <c r="K116" s="14">
        <f ca="1">IFERROR(__xludf.DUMMYFUNCTION("iferror(index(GOOGLEFINANCE(B117,""all"",A117-10,A117+3),MATCH(A117+0.6458333333,index(GOOGLEFINANCE(B117,""all"",A117-10,A117+3),,1)),),"""")"),45156.6458333333)</f>
        <v>45156.645833333299</v>
      </c>
      <c r="L116" s="15">
        <f ca="1">IFERROR(__xludf.DUMMYFUNCTION("""COMPUTED_VALUE"""),1535)</f>
        <v>1535</v>
      </c>
      <c r="M116" s="15">
        <f ca="1">IFERROR(__xludf.DUMMYFUNCTION("""COMPUTED_VALUE"""),1559)</f>
        <v>1559</v>
      </c>
      <c r="N116" s="15">
        <f ca="1">IFERROR(__xludf.DUMMYFUNCTION("""COMPUTED_VALUE"""),1505)</f>
        <v>1505</v>
      </c>
      <c r="O116" s="15">
        <f ca="1">IFERROR(__xludf.DUMMYFUNCTION("""COMPUTED_VALUE"""),1541.9)</f>
        <v>1541.9</v>
      </c>
      <c r="P116" s="15">
        <f ca="1">IFERROR(__xludf.DUMMYFUNCTION("""COMPUTED_VALUE"""),341910)</f>
        <v>341910</v>
      </c>
      <c r="Q116" s="15">
        <f t="shared" si="5"/>
        <v>7.3</v>
      </c>
      <c r="R116" s="15">
        <f t="shared" si="6"/>
        <v>-11318.65</v>
      </c>
      <c r="S116" s="16">
        <f t="shared" si="7"/>
        <v>45156</v>
      </c>
      <c r="T116" s="29"/>
      <c r="U116" s="18"/>
      <c r="V116" s="18"/>
      <c r="W116" s="18"/>
    </row>
    <row r="117" spans="1:23" ht="15.75">
      <c r="A117" s="19">
        <v>45156</v>
      </c>
      <c r="B117" s="20" t="s">
        <v>80</v>
      </c>
      <c r="C117" s="20" t="s">
        <v>0</v>
      </c>
      <c r="D117" s="21">
        <v>2.96</v>
      </c>
      <c r="E117" s="22">
        <v>4763.45</v>
      </c>
      <c r="F117" s="22">
        <f t="shared" ca="1" si="0"/>
        <v>4632.6824999999999</v>
      </c>
      <c r="G117" s="22">
        <f t="shared" ca="1" si="1"/>
        <v>4799.8799999999992</v>
      </c>
      <c r="H117" s="20" t="str">
        <f t="shared" ca="1" si="2"/>
        <v>Valid</v>
      </c>
      <c r="I117" s="21">
        <f t="shared" si="3"/>
        <v>14099.812</v>
      </c>
      <c r="J117" s="23">
        <f t="shared" ca="1" si="10"/>
        <v>35431.58</v>
      </c>
      <c r="K117" s="14">
        <f ca="1">IFERROR(__xludf.DUMMYFUNCTION("iferror(index(GOOGLEFINANCE(B118,""all"",A118-10,A118+3),MATCH(A118+0.6458333333,index(GOOGLEFINANCE(B118,""all"",A118-10,A118+3),,1)),),"""")"),45156.6458333333)</f>
        <v>45156.645833333299</v>
      </c>
      <c r="L117" s="15">
        <f ca="1">IFERROR(__xludf.DUMMYFUNCTION("""COMPUTED_VALUE"""),4690)</f>
        <v>4690</v>
      </c>
      <c r="M117" s="15">
        <f ca="1">IFERROR(__xludf.DUMMYFUNCTION("""COMPUTED_VALUE"""),4776)</f>
        <v>4776</v>
      </c>
      <c r="N117" s="15">
        <f ca="1">IFERROR(__xludf.DUMMYFUNCTION("""COMPUTED_VALUE"""),4635)</f>
        <v>4635</v>
      </c>
      <c r="O117" s="15">
        <f ca="1">IFERROR(__xludf.DUMMYFUNCTION("""COMPUTED_VALUE"""),4737.8)</f>
        <v>4737.8</v>
      </c>
      <c r="P117" s="15">
        <f ca="1">IFERROR(__xludf.DUMMYFUNCTION("""COMPUTED_VALUE"""),512351)</f>
        <v>512351</v>
      </c>
      <c r="Q117" s="15">
        <f t="shared" si="5"/>
        <v>2.96</v>
      </c>
      <c r="R117" s="15">
        <f t="shared" si="6"/>
        <v>-14099.812</v>
      </c>
      <c r="S117" s="16">
        <f t="shared" si="7"/>
        <v>45156</v>
      </c>
      <c r="T117" s="29"/>
      <c r="U117" s="18"/>
      <c r="V117" s="18"/>
      <c r="W117" s="18"/>
    </row>
    <row r="118" spans="1:23" ht="15.75">
      <c r="A118" s="19">
        <v>45159</v>
      </c>
      <c r="B118" s="20" t="s">
        <v>81</v>
      </c>
      <c r="C118" s="20" t="s">
        <v>0</v>
      </c>
      <c r="D118" s="21">
        <v>6.34</v>
      </c>
      <c r="E118" s="22">
        <v>1773.15</v>
      </c>
      <c r="F118" s="22">
        <f t="shared" ca="1" si="0"/>
        <v>1739.13</v>
      </c>
      <c r="G118" s="22">
        <f t="shared" ca="1" si="1"/>
        <v>1833.0697499999999</v>
      </c>
      <c r="H118" s="20" t="str">
        <f t="shared" ca="1" si="2"/>
        <v>Valid</v>
      </c>
      <c r="I118" s="21">
        <f t="shared" si="3"/>
        <v>11241.771000000001</v>
      </c>
      <c r="J118" s="23">
        <f t="shared" ca="1" si="10"/>
        <v>24189.81</v>
      </c>
      <c r="K118" s="14">
        <f ca="1">IFERROR(__xludf.DUMMYFUNCTION("iferror(index(GOOGLEFINANCE(B119,""all"",A119-10,A119+3),MATCH(A119+0.6458333333,index(GOOGLEFINANCE(B119,""all"",A119-10,A119+3),,1)),),"""")"),45159.6458333333)</f>
        <v>45159.645833333299</v>
      </c>
      <c r="L118" s="15">
        <f ca="1">IFERROR(__xludf.DUMMYFUNCTION("""COMPUTED_VALUE"""),1811)</f>
        <v>1811</v>
      </c>
      <c r="M118" s="15">
        <f ca="1">IFERROR(__xludf.DUMMYFUNCTION("""COMPUTED_VALUE"""),1823.95)</f>
        <v>1823.95</v>
      </c>
      <c r="N118" s="15">
        <f ca="1">IFERROR(__xludf.DUMMYFUNCTION("""COMPUTED_VALUE"""),1740)</f>
        <v>1740</v>
      </c>
      <c r="O118" s="15">
        <f ca="1">IFERROR(__xludf.DUMMYFUNCTION("""COMPUTED_VALUE"""),1791.7)</f>
        <v>1791.7</v>
      </c>
      <c r="P118" s="15">
        <f ca="1">IFERROR(__xludf.DUMMYFUNCTION("""COMPUTED_VALUE"""),8541)</f>
        <v>8541</v>
      </c>
      <c r="Q118" s="15">
        <f t="shared" si="5"/>
        <v>6.34</v>
      </c>
      <c r="R118" s="15">
        <f t="shared" si="6"/>
        <v>-11241.771000000001</v>
      </c>
      <c r="S118" s="16">
        <f t="shared" si="7"/>
        <v>45159</v>
      </c>
      <c r="T118" s="29"/>
      <c r="U118" s="18"/>
      <c r="V118" s="18"/>
      <c r="W118" s="18"/>
    </row>
    <row r="119" spans="1:23" ht="15.75">
      <c r="A119" s="19">
        <v>45160</v>
      </c>
      <c r="B119" s="20" t="s">
        <v>82</v>
      </c>
      <c r="C119" s="20" t="s">
        <v>0</v>
      </c>
      <c r="D119" s="21">
        <v>72.8</v>
      </c>
      <c r="E119" s="22">
        <v>135.15</v>
      </c>
      <c r="F119" s="22">
        <f t="shared" ca="1" si="0"/>
        <v>134.03295</v>
      </c>
      <c r="G119" s="22">
        <f t="shared" ca="1" si="1"/>
        <v>137.58449999999999</v>
      </c>
      <c r="H119" s="20" t="str">
        <f t="shared" ca="1" si="2"/>
        <v>Valid</v>
      </c>
      <c r="I119" s="21">
        <f t="shared" si="3"/>
        <v>9838.92</v>
      </c>
      <c r="J119" s="23">
        <f t="shared" ca="1" si="10"/>
        <v>14350.89</v>
      </c>
      <c r="K119" s="14">
        <f ca="1">IFERROR(__xludf.DUMMYFUNCTION("iferror(index(GOOGLEFINANCE(B120,""all"",A120-10,A120+3),MATCH(A120+0.6458333333,index(GOOGLEFINANCE(B120,""all"",A120-10,A120+3),,1)),),"""")"),45160.6458333333)</f>
        <v>45160.645833333299</v>
      </c>
      <c r="L119" s="15">
        <f ca="1">IFERROR(__xludf.DUMMYFUNCTION("""COMPUTED_VALUE"""),134.5)</f>
        <v>134.5</v>
      </c>
      <c r="M119" s="15">
        <f ca="1">IFERROR(__xludf.DUMMYFUNCTION("""COMPUTED_VALUE"""),136.9)</f>
        <v>136.9</v>
      </c>
      <c r="N119" s="15">
        <f ca="1">IFERROR(__xludf.DUMMYFUNCTION("""COMPUTED_VALUE"""),134.1)</f>
        <v>134.1</v>
      </c>
      <c r="O119" s="15">
        <f ca="1">IFERROR(__xludf.DUMMYFUNCTION("""COMPUTED_VALUE"""),136.05)</f>
        <v>136.05000000000001</v>
      </c>
      <c r="P119" s="15">
        <f ca="1">IFERROR(__xludf.DUMMYFUNCTION("""COMPUTED_VALUE"""),15619405)</f>
        <v>15619405</v>
      </c>
      <c r="Q119" s="15">
        <f t="shared" si="5"/>
        <v>72.8</v>
      </c>
      <c r="R119" s="15">
        <f t="shared" si="6"/>
        <v>-9838.92</v>
      </c>
      <c r="S119" s="16">
        <f t="shared" si="7"/>
        <v>45160</v>
      </c>
      <c r="T119" s="29"/>
      <c r="U119" s="18"/>
      <c r="V119" s="18"/>
      <c r="W119" s="18"/>
    </row>
    <row r="120" spans="1:23" ht="15.75">
      <c r="A120" s="35">
        <v>45174</v>
      </c>
      <c r="B120" s="20" t="s">
        <v>83</v>
      </c>
      <c r="C120" s="36" t="s">
        <v>0</v>
      </c>
      <c r="D120" s="37">
        <v>4.74</v>
      </c>
      <c r="E120" s="38">
        <v>2957.15</v>
      </c>
      <c r="F120" s="38">
        <f t="shared" ca="1" si="0"/>
        <v>2926.7359000000001</v>
      </c>
      <c r="G120" s="38">
        <f t="shared" ca="1" si="1"/>
        <v>2988.7694999999999</v>
      </c>
      <c r="H120" s="20" t="str">
        <f t="shared" ca="1" si="2"/>
        <v>Valid</v>
      </c>
      <c r="I120" s="21">
        <f t="shared" si="3"/>
        <v>14016.891000000001</v>
      </c>
      <c r="J120" s="23">
        <f t="shared" ca="1" si="10"/>
        <v>334</v>
      </c>
      <c r="K120" s="14">
        <f ca="1">IFERROR(__xludf.DUMMYFUNCTION("iferror(index(GOOGLEFINANCE(B121,""all"",A121-10,A121+3),MATCH(A121+0.6458333333,index(GOOGLEFINANCE(B121,""all"",A121-10,A121+3),,1)),),"""")"),45174.6458333333)</f>
        <v>45174.645833333299</v>
      </c>
      <c r="L120" s="15">
        <f ca="1">IFERROR(__xludf.DUMMYFUNCTION("""COMPUTED_VALUE"""),2965)</f>
        <v>2965</v>
      </c>
      <c r="M120" s="15">
        <f ca="1">IFERROR(__xludf.DUMMYFUNCTION("""COMPUTED_VALUE"""),2973.9)</f>
        <v>2973.9</v>
      </c>
      <c r="N120" s="15">
        <f ca="1">IFERROR(__xludf.DUMMYFUNCTION("""COMPUTED_VALUE"""),2928.2)</f>
        <v>2928.2</v>
      </c>
      <c r="O120" s="15">
        <f ca="1">IFERROR(__xludf.DUMMYFUNCTION("""COMPUTED_VALUE"""),2935.35)</f>
        <v>2935.35</v>
      </c>
      <c r="P120" s="15">
        <f ca="1">IFERROR(__xludf.DUMMYFUNCTION("""COMPUTED_VALUE"""),306742)</f>
        <v>306742</v>
      </c>
      <c r="Q120" s="15">
        <f t="shared" si="5"/>
        <v>4.74</v>
      </c>
      <c r="R120" s="15">
        <f t="shared" si="6"/>
        <v>-14016.891000000001</v>
      </c>
      <c r="S120" s="16">
        <f t="shared" si="7"/>
        <v>45174</v>
      </c>
      <c r="T120" s="29"/>
      <c r="U120" s="18"/>
      <c r="V120" s="18"/>
      <c r="W120" s="18"/>
    </row>
    <row r="121" spans="1:23" ht="15.75">
      <c r="A121" s="39">
        <v>45250</v>
      </c>
      <c r="B121" s="20" t="s">
        <v>82</v>
      </c>
      <c r="C121" s="36" t="s">
        <v>1</v>
      </c>
      <c r="D121" s="21">
        <v>72.8</v>
      </c>
      <c r="E121" s="40">
        <v>147.6</v>
      </c>
      <c r="F121" s="40">
        <f t="shared" ca="1" si="0"/>
        <v>146.676625</v>
      </c>
      <c r="G121" s="40">
        <f t="shared" ca="1" si="1"/>
        <v>149.49374999999998</v>
      </c>
      <c r="H121" s="20" t="str">
        <f t="shared" ca="1" si="2"/>
        <v>Valid</v>
      </c>
      <c r="I121" s="21">
        <f t="shared" si="3"/>
        <v>10745.279999999999</v>
      </c>
      <c r="J121" s="23">
        <f t="shared" ca="1" si="10"/>
        <v>11079.28</v>
      </c>
      <c r="K121" s="14">
        <f ca="1">IFERROR(__xludf.DUMMYFUNCTION("iferror(index(GOOGLEFINANCE(B122,""all"",A122-10,A122+3),MATCH(A122+0.6458333333,index(GOOGLEFINANCE(B122,""all"",A122-10,A122+3),,1)),),"""")"),45250.6458333333)</f>
        <v>45250.645833333299</v>
      </c>
      <c r="L121" s="15">
        <f ca="1">IFERROR(__xludf.DUMMYFUNCTION("""COMPUTED_VALUE"""),148)</f>
        <v>148</v>
      </c>
      <c r="M121" s="15">
        <f ca="1">IFERROR(__xludf.DUMMYFUNCTION("""COMPUTED_VALUE"""),148.75)</f>
        <v>148.75</v>
      </c>
      <c r="N121" s="15">
        <f ca="1">IFERROR(__xludf.DUMMYFUNCTION("""COMPUTED_VALUE"""),146.75)</f>
        <v>146.75</v>
      </c>
      <c r="O121" s="15">
        <f ca="1">IFERROR(__xludf.DUMMYFUNCTION("""COMPUTED_VALUE"""),147.4)</f>
        <v>147.4</v>
      </c>
      <c r="P121" s="15">
        <f ca="1">IFERROR(__xludf.DUMMYFUNCTION("""COMPUTED_VALUE"""),9425725)</f>
        <v>9425725</v>
      </c>
      <c r="Q121" s="15">
        <f t="shared" si="5"/>
        <v>-72.8</v>
      </c>
      <c r="R121" s="15">
        <f t="shared" si="6"/>
        <v>10745.279999999999</v>
      </c>
      <c r="S121" s="16">
        <f t="shared" si="7"/>
        <v>45250</v>
      </c>
      <c r="T121" s="29"/>
      <c r="U121" s="18"/>
      <c r="V121" s="18"/>
      <c r="W121" s="18"/>
    </row>
    <row r="122" spans="1:23" ht="15.75">
      <c r="A122" s="39">
        <v>45250</v>
      </c>
      <c r="B122" s="41" t="s">
        <v>84</v>
      </c>
      <c r="C122" s="36" t="s">
        <v>0</v>
      </c>
      <c r="D122" s="37">
        <v>504</v>
      </c>
      <c r="E122" s="40">
        <v>20.149999999999999</v>
      </c>
      <c r="F122" s="40">
        <f t="shared" ca="1" si="0"/>
        <v>19.990000000000002</v>
      </c>
      <c r="G122" s="40">
        <f t="shared" ca="1" si="1"/>
        <v>21.205500000000001</v>
      </c>
      <c r="H122" s="20" t="str">
        <f t="shared" ca="1" si="2"/>
        <v>Valid</v>
      </c>
      <c r="I122" s="21">
        <f t="shared" si="3"/>
        <v>10155.599999999999</v>
      </c>
      <c r="J122" s="23">
        <f t="shared" ca="1" si="10"/>
        <v>923.68</v>
      </c>
      <c r="K122" s="14">
        <f ca="1">IFERROR(__xludf.DUMMYFUNCTION("iferror(index(GOOGLEFINANCE(B123,""all"",A123-10,A123+3),MATCH(A123+0.6458333333,index(GOOGLEFINANCE(B123,""all"",A123-10,A123+3),,1)),),"""")"),45250.6458333333)</f>
        <v>45250.645833333299</v>
      </c>
      <c r="L122" s="15">
        <f ca="1">IFERROR(__xludf.DUMMYFUNCTION("""COMPUTED_VALUE"""),20.9)</f>
        <v>20.9</v>
      </c>
      <c r="M122" s="15">
        <f ca="1">IFERROR(__xludf.DUMMYFUNCTION("""COMPUTED_VALUE"""),21.1)</f>
        <v>21.1</v>
      </c>
      <c r="N122" s="15">
        <f ca="1">IFERROR(__xludf.DUMMYFUNCTION("""COMPUTED_VALUE"""),20)</f>
        <v>20</v>
      </c>
      <c r="O122" s="15">
        <f ca="1">IFERROR(__xludf.DUMMYFUNCTION("""COMPUTED_VALUE"""),20.15)</f>
        <v>20.149999999999999</v>
      </c>
      <c r="P122" s="15">
        <f ca="1">IFERROR(__xludf.DUMMYFUNCTION("""COMPUTED_VALUE"""),290789131)</f>
        <v>290789131</v>
      </c>
      <c r="Q122" s="15">
        <f t="shared" si="5"/>
        <v>504</v>
      </c>
      <c r="R122" s="15">
        <f t="shared" si="6"/>
        <v>-10155.599999999999</v>
      </c>
      <c r="S122" s="16">
        <f t="shared" si="7"/>
        <v>45250</v>
      </c>
      <c r="T122" s="29"/>
      <c r="U122" s="18"/>
      <c r="V122" s="18"/>
      <c r="W122" s="18"/>
    </row>
    <row r="123" spans="1:23" ht="15.75">
      <c r="A123" s="39">
        <v>45251</v>
      </c>
      <c r="B123" s="42" t="s">
        <v>65</v>
      </c>
      <c r="C123" s="36" t="s">
        <v>1</v>
      </c>
      <c r="D123" s="21">
        <v>4.9249999999999998</v>
      </c>
      <c r="E123" s="43">
        <v>1474.2</v>
      </c>
      <c r="F123" s="43">
        <f t="shared" ca="1" si="0"/>
        <v>1461.269</v>
      </c>
      <c r="G123" s="43">
        <f t="shared" ca="1" si="1"/>
        <v>1506.4949999999999</v>
      </c>
      <c r="H123" s="20" t="str">
        <f t="shared" ca="1" si="2"/>
        <v>Valid</v>
      </c>
      <c r="I123" s="21">
        <f t="shared" si="3"/>
        <v>7260.4350000000004</v>
      </c>
      <c r="J123" s="23">
        <f t="shared" ca="1" si="10"/>
        <v>8184.12</v>
      </c>
      <c r="K123" s="14">
        <f ca="1">IFERROR(__xludf.DUMMYFUNCTION("iferror(index(GOOGLEFINANCE(B124,""all"",A124-10,A124+3),MATCH(A124+0.6458333333,index(GOOGLEFINANCE(B124,""all"",A124-10,A124+3),,1)),),"""")"),45251.6458333333)</f>
        <v>45251.645833333299</v>
      </c>
      <c r="L123" s="15">
        <f ca="1">IFERROR(__xludf.DUMMYFUNCTION("""COMPUTED_VALUE"""),1490)</f>
        <v>1490</v>
      </c>
      <c r="M123" s="15">
        <f ca="1">IFERROR(__xludf.DUMMYFUNCTION("""COMPUTED_VALUE"""),1499)</f>
        <v>1499</v>
      </c>
      <c r="N123" s="15">
        <f ca="1">IFERROR(__xludf.DUMMYFUNCTION("""COMPUTED_VALUE"""),1462)</f>
        <v>1462</v>
      </c>
      <c r="O123" s="15">
        <f ca="1">IFERROR(__xludf.DUMMYFUNCTION("""COMPUTED_VALUE"""),1470.3)</f>
        <v>1470.3</v>
      </c>
      <c r="P123" s="15">
        <f ca="1">IFERROR(__xludf.DUMMYFUNCTION("""COMPUTED_VALUE"""),89536)</f>
        <v>89536</v>
      </c>
      <c r="Q123" s="15">
        <f t="shared" si="5"/>
        <v>-4.9249999999999998</v>
      </c>
      <c r="R123" s="15">
        <f t="shared" si="6"/>
        <v>7260.4350000000004</v>
      </c>
      <c r="S123" s="16">
        <f t="shared" si="7"/>
        <v>45251</v>
      </c>
      <c r="T123" s="29"/>
      <c r="U123" s="18"/>
      <c r="V123" s="18"/>
      <c r="W123" s="18"/>
    </row>
    <row r="124" spans="1:23" ht="15.75">
      <c r="A124" s="39">
        <v>45251</v>
      </c>
      <c r="B124" s="42" t="s">
        <v>78</v>
      </c>
      <c r="C124" s="36" t="s">
        <v>0</v>
      </c>
      <c r="D124" s="21">
        <v>4.8</v>
      </c>
      <c r="E124" s="43">
        <v>1640.75</v>
      </c>
      <c r="F124" s="43">
        <f t="shared" ca="1" si="0"/>
        <v>1629.6347750000002</v>
      </c>
      <c r="G124" s="43">
        <f t="shared" ca="1" si="1"/>
        <v>1670.7622499999998</v>
      </c>
      <c r="H124" s="20" t="str">
        <f t="shared" ca="1" si="2"/>
        <v>Valid</v>
      </c>
      <c r="I124" s="21">
        <f t="shared" si="3"/>
        <v>7875.5999999999995</v>
      </c>
      <c r="J124" s="23">
        <f t="shared" ca="1" si="10"/>
        <v>308.52</v>
      </c>
      <c r="K124" s="14">
        <f ca="1">IFERROR(__xludf.DUMMYFUNCTION("iferror(index(GOOGLEFINANCE(B125,""all"",A125-10,A125+3),MATCH(A125+0.6458333333,index(GOOGLEFINANCE(B125,""all"",A125-10,A125+3),,1)),),"""")"),45251.6458333333)</f>
        <v>45251.645833333299</v>
      </c>
      <c r="L124" s="15">
        <f ca="1">IFERROR(__xludf.DUMMYFUNCTION("""COMPUTED_VALUE"""),1649.85)</f>
        <v>1649.85</v>
      </c>
      <c r="M124" s="15">
        <f ca="1">IFERROR(__xludf.DUMMYFUNCTION("""COMPUTED_VALUE"""),1662.45)</f>
        <v>1662.45</v>
      </c>
      <c r="N124" s="15">
        <f ca="1">IFERROR(__xludf.DUMMYFUNCTION("""COMPUTED_VALUE"""),1630.45)</f>
        <v>1630.45</v>
      </c>
      <c r="O124" s="15">
        <f ca="1">IFERROR(__xludf.DUMMYFUNCTION("""COMPUTED_VALUE"""),1635.3)</f>
        <v>1635.3</v>
      </c>
      <c r="P124" s="15">
        <f ca="1">IFERROR(__xludf.DUMMYFUNCTION("""COMPUTED_VALUE"""),208979)</f>
        <v>208979</v>
      </c>
      <c r="Q124" s="15">
        <f t="shared" si="5"/>
        <v>4.8</v>
      </c>
      <c r="R124" s="15">
        <f t="shared" si="6"/>
        <v>-7875.5999999999995</v>
      </c>
      <c r="S124" s="16">
        <f t="shared" si="7"/>
        <v>45251</v>
      </c>
      <c r="T124" s="29"/>
      <c r="U124" s="18"/>
      <c r="V124" s="18"/>
      <c r="W124" s="18"/>
    </row>
    <row r="125" spans="1:23" ht="15.75">
      <c r="A125" s="39">
        <v>45265</v>
      </c>
      <c r="B125" s="41" t="s">
        <v>79</v>
      </c>
      <c r="C125" s="36" t="s">
        <v>1</v>
      </c>
      <c r="D125" s="21">
        <v>7.3</v>
      </c>
      <c r="E125" s="43">
        <v>2040</v>
      </c>
      <c r="F125" s="43">
        <f t="shared" ca="1" si="0"/>
        <v>2021.1889000000001</v>
      </c>
      <c r="G125" s="43">
        <f t="shared" ca="1" si="1"/>
        <v>2200.09575</v>
      </c>
      <c r="H125" s="20" t="str">
        <f t="shared" ca="1" si="2"/>
        <v>Valid</v>
      </c>
      <c r="I125" s="21">
        <f t="shared" si="3"/>
        <v>14892</v>
      </c>
      <c r="J125" s="23">
        <f t="shared" ca="1" si="10"/>
        <v>15200.52</v>
      </c>
      <c r="K125" s="14">
        <f ca="1">IFERROR(__xludf.DUMMYFUNCTION("iferror(index(GOOGLEFINANCE(B126,""all"",A126-10,A126+3),MATCH(A126+0.6458333333,index(GOOGLEFINANCE(B126,""all"",A126-10,A126+3),,1)),),"""")"),45265.6458333333)</f>
        <v>45265.645833333299</v>
      </c>
      <c r="L125" s="15">
        <f ca="1">IFERROR(__xludf.DUMMYFUNCTION("""COMPUTED_VALUE"""),2189.05)</f>
        <v>2189.0500000000002</v>
      </c>
      <c r="M125" s="15">
        <f ca="1">IFERROR(__xludf.DUMMYFUNCTION("""COMPUTED_VALUE"""),2189.15)</f>
        <v>2189.15</v>
      </c>
      <c r="N125" s="15">
        <f ca="1">IFERROR(__xludf.DUMMYFUNCTION("""COMPUTED_VALUE"""),2022.2)</f>
        <v>2022.2</v>
      </c>
      <c r="O125" s="15">
        <f ca="1">IFERROR(__xludf.DUMMYFUNCTION("""COMPUTED_VALUE"""),2041.25)</f>
        <v>2041.25</v>
      </c>
      <c r="P125" s="15">
        <f ca="1">IFERROR(__xludf.DUMMYFUNCTION("""COMPUTED_VALUE"""),1044014)</f>
        <v>1044014</v>
      </c>
      <c r="Q125" s="15">
        <f t="shared" si="5"/>
        <v>-7.3</v>
      </c>
      <c r="R125" s="15">
        <f t="shared" si="6"/>
        <v>14892</v>
      </c>
      <c r="S125" s="16">
        <f t="shared" si="7"/>
        <v>45265</v>
      </c>
      <c r="T125" s="29"/>
      <c r="U125" s="18"/>
      <c r="V125" s="18"/>
      <c r="W125" s="18"/>
    </row>
    <row r="126" spans="1:23" ht="15.75">
      <c r="A126" s="39">
        <v>45265</v>
      </c>
      <c r="B126" s="41" t="s">
        <v>85</v>
      </c>
      <c r="C126" s="36" t="s">
        <v>0</v>
      </c>
      <c r="D126" s="37">
        <v>21.42</v>
      </c>
      <c r="E126" s="43">
        <v>691.9</v>
      </c>
      <c r="F126" s="43">
        <f t="shared" ca="1" si="0"/>
        <v>679.66000000000008</v>
      </c>
      <c r="G126" s="43">
        <f t="shared" ca="1" si="1"/>
        <v>706.51499999999987</v>
      </c>
      <c r="H126" s="20" t="str">
        <f t="shared" ca="1" si="2"/>
        <v>Valid</v>
      </c>
      <c r="I126" s="21">
        <f t="shared" si="3"/>
        <v>14820.498000000001</v>
      </c>
      <c r="J126" s="23">
        <f t="shared" ca="1" si="10"/>
        <v>380.02</v>
      </c>
      <c r="K126" s="14">
        <f ca="1">IFERROR(__xludf.DUMMYFUNCTION("iferror(index(GOOGLEFINANCE(B127,""all"",A127-10,A127+3),MATCH(A127+0.6458333333,index(GOOGLEFINANCE(B127,""all"",A127-10,A127+3),,1)),),"""")"),45265.6458333333)</f>
        <v>45265.645833333299</v>
      </c>
      <c r="L126" s="15">
        <f ca="1">IFERROR(__xludf.DUMMYFUNCTION("""COMPUTED_VALUE"""),690)</f>
        <v>690</v>
      </c>
      <c r="M126" s="15">
        <f ca="1">IFERROR(__xludf.DUMMYFUNCTION("""COMPUTED_VALUE"""),703)</f>
        <v>703</v>
      </c>
      <c r="N126" s="15">
        <f ca="1">IFERROR(__xludf.DUMMYFUNCTION("""COMPUTED_VALUE"""),680)</f>
        <v>680</v>
      </c>
      <c r="O126" s="15">
        <f ca="1">IFERROR(__xludf.DUMMYFUNCTION("""COMPUTED_VALUE"""),691.35)</f>
        <v>691.35</v>
      </c>
      <c r="P126" s="15">
        <f ca="1">IFERROR(__xludf.DUMMYFUNCTION("""COMPUTED_VALUE"""),175927)</f>
        <v>175927</v>
      </c>
      <c r="Q126" s="15">
        <f t="shared" si="5"/>
        <v>21.42</v>
      </c>
      <c r="R126" s="15">
        <f t="shared" si="6"/>
        <v>-14820.498000000001</v>
      </c>
      <c r="S126" s="16">
        <f t="shared" si="7"/>
        <v>45265</v>
      </c>
      <c r="T126" s="29"/>
      <c r="U126" s="18"/>
      <c r="V126" s="18"/>
      <c r="W126" s="18"/>
    </row>
    <row r="127" spans="1:23" ht="15.75">
      <c r="A127" s="35">
        <v>45288</v>
      </c>
      <c r="B127" s="36" t="s">
        <v>72</v>
      </c>
      <c r="C127" s="36" t="s">
        <v>1</v>
      </c>
      <c r="D127" s="37">
        <v>9.89</v>
      </c>
      <c r="E127" s="43">
        <v>725.9</v>
      </c>
      <c r="F127" s="43">
        <f t="shared" ca="1" si="0"/>
        <v>714.74245000000008</v>
      </c>
      <c r="G127" s="43">
        <f t="shared" ca="1" si="1"/>
        <v>733.54949999999985</v>
      </c>
      <c r="H127" s="20" t="str">
        <f t="shared" ca="1" si="2"/>
        <v>Valid</v>
      </c>
      <c r="I127" s="21">
        <f t="shared" si="3"/>
        <v>7179.1509999999998</v>
      </c>
      <c r="J127" s="23">
        <f t="shared" ca="1" si="10"/>
        <v>7559.17</v>
      </c>
      <c r="K127" s="14">
        <f ca="1">IFERROR(__xludf.DUMMYFUNCTION("iferror(index(GOOGLEFINANCE(B128,""all"",A128-10,A128+3),MATCH(A128+0.6458333333,index(GOOGLEFINANCE(B128,""all"",A128-10,A128+3),,1)),),"""")"),45288.6458333333)</f>
        <v>45288.645833333299</v>
      </c>
      <c r="L127" s="15">
        <f ca="1">IFERROR(__xludf.DUMMYFUNCTION("""COMPUTED_VALUE"""),721.9)</f>
        <v>721.9</v>
      </c>
      <c r="M127" s="15">
        <f ca="1">IFERROR(__xludf.DUMMYFUNCTION("""COMPUTED_VALUE"""),729.9)</f>
        <v>729.9</v>
      </c>
      <c r="N127" s="15">
        <f ca="1">IFERROR(__xludf.DUMMYFUNCTION("""COMPUTED_VALUE"""),715.1)</f>
        <v>715.1</v>
      </c>
      <c r="O127" s="15">
        <f ca="1">IFERROR(__xludf.DUMMYFUNCTION("""COMPUTED_VALUE"""),728.65)</f>
        <v>728.65</v>
      </c>
      <c r="P127" s="15">
        <f ca="1">IFERROR(__xludf.DUMMYFUNCTION("""COMPUTED_VALUE"""),5426028)</f>
        <v>5426028</v>
      </c>
      <c r="Q127" s="15">
        <f t="shared" si="5"/>
        <v>-9.89</v>
      </c>
      <c r="R127" s="15">
        <f t="shared" si="6"/>
        <v>7179.1509999999998</v>
      </c>
      <c r="S127" s="16">
        <f t="shared" si="7"/>
        <v>45288</v>
      </c>
      <c r="T127" s="29"/>
      <c r="U127" s="18"/>
      <c r="V127" s="18"/>
      <c r="W127" s="18"/>
    </row>
    <row r="128" spans="1:23" ht="15.75">
      <c r="A128" s="35">
        <v>45288</v>
      </c>
      <c r="B128" s="36" t="s">
        <v>84</v>
      </c>
      <c r="C128" s="36" t="s">
        <v>0</v>
      </c>
      <c r="D128" s="37">
        <v>322.99</v>
      </c>
      <c r="E128" s="43">
        <v>21.15</v>
      </c>
      <c r="F128" s="43">
        <f t="shared" ca="1" si="0"/>
        <v>20.7896</v>
      </c>
      <c r="G128" s="43">
        <f t="shared" ca="1" si="1"/>
        <v>21.255749999999995</v>
      </c>
      <c r="H128" s="20" t="str">
        <f t="shared" ca="1" si="2"/>
        <v>Valid</v>
      </c>
      <c r="I128" s="21">
        <f t="shared" si="3"/>
        <v>6831.2384999999995</v>
      </c>
      <c r="J128" s="23">
        <f t="shared" ca="1" si="10"/>
        <v>727.93</v>
      </c>
      <c r="K128" s="14">
        <f ca="1">IFERROR(__xludf.DUMMYFUNCTION("iferror(index(GOOGLEFINANCE(B129,""all"",A129-10,A129+3),MATCH(A129+0.6458333333,index(GOOGLEFINANCE(B129,""all"",A129-10,A129+3),,1)),),"""")"),45288.6458333333)</f>
        <v>45288.645833333299</v>
      </c>
      <c r="L128" s="15">
        <f ca="1">IFERROR(__xludf.DUMMYFUNCTION("""COMPUTED_VALUE"""),21)</f>
        <v>21</v>
      </c>
      <c r="M128" s="15">
        <f ca="1">IFERROR(__xludf.DUMMYFUNCTION("""COMPUTED_VALUE"""),21.15)</f>
        <v>21.15</v>
      </c>
      <c r="N128" s="15">
        <f ca="1">IFERROR(__xludf.DUMMYFUNCTION("""COMPUTED_VALUE"""),20.8)</f>
        <v>20.8</v>
      </c>
      <c r="O128" s="15">
        <f ca="1">IFERROR(__xludf.DUMMYFUNCTION("""COMPUTED_VALUE"""),20.85)</f>
        <v>20.85</v>
      </c>
      <c r="P128" s="15">
        <f ca="1">IFERROR(__xludf.DUMMYFUNCTION("""COMPUTED_VALUE"""),127826051)</f>
        <v>127826051</v>
      </c>
      <c r="Q128" s="15">
        <f t="shared" si="5"/>
        <v>322.99</v>
      </c>
      <c r="R128" s="15">
        <f t="shared" si="6"/>
        <v>-6831.2384999999995</v>
      </c>
      <c r="S128" s="16">
        <f t="shared" si="7"/>
        <v>45288</v>
      </c>
      <c r="T128" s="29"/>
      <c r="U128" s="18"/>
      <c r="V128" s="18"/>
      <c r="W128" s="18"/>
    </row>
    <row r="129" spans="1:23" ht="15.75">
      <c r="A129" s="35">
        <v>45348</v>
      </c>
      <c r="B129" s="36" t="s">
        <v>73</v>
      </c>
      <c r="C129" s="36" t="s">
        <v>1</v>
      </c>
      <c r="D129" s="37">
        <v>56.8</v>
      </c>
      <c r="E129" s="43">
        <v>298.31</v>
      </c>
      <c r="F129" s="43">
        <f t="shared" ca="1" si="0"/>
        <v>297.30127500000003</v>
      </c>
      <c r="G129" s="43">
        <f t="shared" ca="1" si="1"/>
        <v>305.92199999999997</v>
      </c>
      <c r="H129" s="20" t="str">
        <f t="shared" ca="1" si="2"/>
        <v>Valid</v>
      </c>
      <c r="I129" s="21">
        <f t="shared" si="3"/>
        <v>16944.007999999998</v>
      </c>
      <c r="J129" s="23">
        <f t="shared" ca="1" si="10"/>
        <v>17671.939999999999</v>
      </c>
      <c r="K129" s="14">
        <f ca="1">IFERROR(__xludf.DUMMYFUNCTION("iferror(index(GOOGLEFINANCE(B130,""all"",A130-10,A130+3),MATCH(A130+0.6458333333,index(GOOGLEFINANCE(B130,""all"",A130-10,A130+3),,1)),),"""")"),45348.6458333333)</f>
        <v>45348.645833333299</v>
      </c>
      <c r="L129" s="15">
        <f ca="1">IFERROR(__xludf.DUMMYFUNCTION("""COMPUTED_VALUE"""),304.35)</f>
        <v>304.35000000000002</v>
      </c>
      <c r="M129" s="15">
        <f ca="1">IFERROR(__xludf.DUMMYFUNCTION("""COMPUTED_VALUE"""),304.4)</f>
        <v>304.39999999999998</v>
      </c>
      <c r="N129" s="15">
        <f ca="1">IFERROR(__xludf.DUMMYFUNCTION("""COMPUTED_VALUE"""),297.45)</f>
        <v>297.45</v>
      </c>
      <c r="O129" s="15">
        <f ca="1">IFERROR(__xludf.DUMMYFUNCTION("""COMPUTED_VALUE"""),299.25)</f>
        <v>299.25</v>
      </c>
      <c r="P129" s="15">
        <f ca="1">IFERROR(__xludf.DUMMYFUNCTION("""COMPUTED_VALUE"""),311386)</f>
        <v>311386</v>
      </c>
      <c r="Q129" s="15">
        <f t="shared" si="5"/>
        <v>-56.8</v>
      </c>
      <c r="R129" s="15">
        <f t="shared" si="6"/>
        <v>16944.007999999998</v>
      </c>
      <c r="S129" s="16">
        <f t="shared" si="7"/>
        <v>45348</v>
      </c>
      <c r="T129" s="29"/>
      <c r="U129" s="18"/>
      <c r="V129" s="18"/>
      <c r="W129" s="18"/>
    </row>
    <row r="130" spans="1:23" ht="15.75">
      <c r="A130" s="35">
        <v>45349</v>
      </c>
      <c r="B130" s="36" t="s">
        <v>86</v>
      </c>
      <c r="C130" s="36" t="s">
        <v>0</v>
      </c>
      <c r="D130" s="37">
        <f>73.55-0.31</f>
        <v>73.239999999999995</v>
      </c>
      <c r="E130" s="38">
        <v>232</v>
      </c>
      <c r="F130" s="38">
        <f t="shared" ca="1" si="0"/>
        <v>225.887</v>
      </c>
      <c r="G130" s="38">
        <f t="shared" ca="1" si="1"/>
        <v>236.77799999999996</v>
      </c>
      <c r="H130" s="20" t="str">
        <f t="shared" ca="1" si="2"/>
        <v>Valid</v>
      </c>
      <c r="I130" s="21">
        <f t="shared" si="3"/>
        <v>16991.68</v>
      </c>
      <c r="J130" s="23">
        <f t="shared" ca="1" si="10"/>
        <v>680.26</v>
      </c>
      <c r="K130" s="14">
        <f ca="1">IFERROR(__xludf.DUMMYFUNCTION("iferror(index(GOOGLEFINANCE(B131,""all"",A131-10,A131+3),MATCH(A131+0.6458333333,index(GOOGLEFINANCE(B131,""all"",A131-10,A131+3),,1)),),"""")"),45349.6458333333)</f>
        <v>45349.645833333299</v>
      </c>
      <c r="L130" s="15">
        <f ca="1">IFERROR(__xludf.DUMMYFUNCTION("""COMPUTED_VALUE"""),230)</f>
        <v>230</v>
      </c>
      <c r="M130" s="15">
        <f ca="1">IFERROR(__xludf.DUMMYFUNCTION("""COMPUTED_VALUE"""),235.6)</f>
        <v>235.6</v>
      </c>
      <c r="N130" s="15">
        <f ca="1">IFERROR(__xludf.DUMMYFUNCTION("""COMPUTED_VALUE"""),226)</f>
        <v>226</v>
      </c>
      <c r="O130" s="15">
        <f ca="1">IFERROR(__xludf.DUMMYFUNCTION("""COMPUTED_VALUE"""),230.95)</f>
        <v>230.95</v>
      </c>
      <c r="P130" s="15">
        <f ca="1">IFERROR(__xludf.DUMMYFUNCTION("""COMPUTED_VALUE"""),659534)</f>
        <v>659534</v>
      </c>
      <c r="Q130" s="15">
        <f t="shared" si="5"/>
        <v>73.239999999999995</v>
      </c>
      <c r="R130" s="15">
        <f t="shared" si="6"/>
        <v>-16991.68</v>
      </c>
      <c r="S130" s="16">
        <f t="shared" si="7"/>
        <v>45349</v>
      </c>
      <c r="T130" s="29"/>
      <c r="U130" s="18"/>
      <c r="V130" s="18"/>
      <c r="W130" s="18"/>
    </row>
    <row r="131" spans="1:23" ht="15.75">
      <c r="A131" s="35">
        <v>45352</v>
      </c>
      <c r="B131" s="36" t="s">
        <v>56</v>
      </c>
      <c r="C131" s="36" t="s">
        <v>1</v>
      </c>
      <c r="D131" s="21">
        <v>5.82</v>
      </c>
      <c r="E131" s="38">
        <v>2203</v>
      </c>
      <c r="F131" s="38">
        <f t="shared" ca="1" si="0"/>
        <v>2118.9899750000004</v>
      </c>
      <c r="G131" s="38">
        <f t="shared" ca="1" si="1"/>
        <v>2267.2799999999997</v>
      </c>
      <c r="H131" s="20" t="str">
        <f t="shared" ca="1" si="2"/>
        <v>Valid</v>
      </c>
      <c r="I131" s="21">
        <f t="shared" si="3"/>
        <v>12821.460000000001</v>
      </c>
      <c r="J131" s="23">
        <f t="shared" ref="J131:J162" ca="1" si="11">IF(A131="","",ROUND(
IF(ROW(A131)-ROW($A$1)=1,I_ST_CASH,OFFSET(J131,-1,0))
+(IF(C131="Buy",-1,IF(C131="Sell",1,0))*I131)
+(IF(C131="Cash Deposit",1,IF(C131="Cash Withdrawal",-1,0))*I131)
+(IF(C131="Cash Dividend",1,IF(C131="Fees",-1,0))*I131),2))</f>
        <v>13501.72</v>
      </c>
      <c r="K131" s="14">
        <f ca="1">IFERROR(__xludf.DUMMYFUNCTION("iferror(index(GOOGLEFINANCE(B132,""all"",A132-10,A132+3),MATCH(A132+0.6458333333,index(GOOGLEFINANCE(B132,""all"",A132-10,A132+3),,1)),),"""")"),45352.6458333333)</f>
        <v>45352.645833333299</v>
      </c>
      <c r="L131" s="15">
        <f ca="1">IFERROR(__xludf.DUMMYFUNCTION("""COMPUTED_VALUE"""),2230)</f>
        <v>2230</v>
      </c>
      <c r="M131" s="15">
        <f ca="1">IFERROR(__xludf.DUMMYFUNCTION("""COMPUTED_VALUE"""),2256)</f>
        <v>2256</v>
      </c>
      <c r="N131" s="15">
        <f ca="1">IFERROR(__xludf.DUMMYFUNCTION("""COMPUTED_VALUE"""),2120.05)</f>
        <v>2120.0500000000002</v>
      </c>
      <c r="O131" s="15">
        <f ca="1">IFERROR(__xludf.DUMMYFUNCTION("""COMPUTED_VALUE"""),2215.35)</f>
        <v>2215.35</v>
      </c>
      <c r="P131" s="15">
        <f ca="1">IFERROR(__xludf.DUMMYFUNCTION("""COMPUTED_VALUE"""),314834)</f>
        <v>314834</v>
      </c>
      <c r="Q131" s="15">
        <f t="shared" si="5"/>
        <v>-5.82</v>
      </c>
      <c r="R131" s="15">
        <f t="shared" si="6"/>
        <v>12821.460000000001</v>
      </c>
      <c r="S131" s="16">
        <f t="shared" si="7"/>
        <v>45352</v>
      </c>
      <c r="T131" s="29"/>
      <c r="U131" s="18"/>
      <c r="V131" s="18"/>
      <c r="W131" s="18"/>
    </row>
    <row r="132" spans="1:23" ht="15.75">
      <c r="A132" s="35">
        <v>45352</v>
      </c>
      <c r="B132" s="36" t="s">
        <v>87</v>
      </c>
      <c r="C132" s="36" t="s">
        <v>0</v>
      </c>
      <c r="D132" s="37">
        <v>7.8</v>
      </c>
      <c r="E132" s="38">
        <v>1650</v>
      </c>
      <c r="F132" s="38">
        <f t="shared" ca="1" si="0"/>
        <v>1638.28045</v>
      </c>
      <c r="G132" s="38">
        <f t="shared" ca="1" si="1"/>
        <v>1687.5959999999998</v>
      </c>
      <c r="H132" s="20" t="str">
        <f t="shared" ca="1" si="2"/>
        <v>Valid</v>
      </c>
      <c r="I132" s="21">
        <f t="shared" si="3"/>
        <v>12870</v>
      </c>
      <c r="J132" s="23">
        <f t="shared" ca="1" si="11"/>
        <v>631.72</v>
      </c>
      <c r="K132" s="14">
        <f ca="1">IFERROR(__xludf.DUMMYFUNCTION("iferror(index(GOOGLEFINANCE(B133,""all"",A133-10,A133+3),MATCH(A133+0.6458333333,index(GOOGLEFINANCE(B133,""all"",A133-10,A133+3),,1)),),"""")"),45352.6458333333)</f>
        <v>45352.645833333299</v>
      </c>
      <c r="L132" s="15">
        <f ca="1">IFERROR(__xludf.DUMMYFUNCTION("""COMPUTED_VALUE"""),1675.45)</f>
        <v>1675.45</v>
      </c>
      <c r="M132" s="15">
        <f ca="1">IFERROR(__xludf.DUMMYFUNCTION("""COMPUTED_VALUE"""),1679.2)</f>
        <v>1679.2</v>
      </c>
      <c r="N132" s="15">
        <f ca="1">IFERROR(__xludf.DUMMYFUNCTION("""COMPUTED_VALUE"""),1639.1)</f>
        <v>1639.1</v>
      </c>
      <c r="O132" s="15">
        <f ca="1">IFERROR(__xludf.DUMMYFUNCTION("""COMPUTED_VALUE"""),1644.1)</f>
        <v>1644.1</v>
      </c>
      <c r="P132" s="15">
        <f ca="1">IFERROR(__xludf.DUMMYFUNCTION("""COMPUTED_VALUE"""),2371138)</f>
        <v>2371138</v>
      </c>
      <c r="Q132" s="15">
        <f t="shared" si="5"/>
        <v>7.8</v>
      </c>
      <c r="R132" s="15">
        <f t="shared" si="6"/>
        <v>-12870</v>
      </c>
      <c r="S132" s="16">
        <f t="shared" si="7"/>
        <v>45352</v>
      </c>
      <c r="T132" s="29"/>
      <c r="U132" s="18"/>
      <c r="V132" s="18"/>
      <c r="W132" s="18"/>
    </row>
    <row r="133" spans="1:23" ht="15.75">
      <c r="A133" s="35">
        <v>45394</v>
      </c>
      <c r="B133" s="36" t="s">
        <v>70</v>
      </c>
      <c r="C133" s="36" t="s">
        <v>1</v>
      </c>
      <c r="D133" s="37">
        <v>84.51</v>
      </c>
      <c r="E133" s="38">
        <v>267</v>
      </c>
      <c r="F133" s="38">
        <f t="shared" ca="1" si="0"/>
        <v>266.26679999999999</v>
      </c>
      <c r="G133" s="38">
        <f t="shared" ca="1" si="1"/>
        <v>273.61124999999998</v>
      </c>
      <c r="H133" s="20" t="str">
        <f t="shared" ca="1" si="2"/>
        <v>Valid</v>
      </c>
      <c r="I133" s="21">
        <f t="shared" si="3"/>
        <v>22564.170000000002</v>
      </c>
      <c r="J133" s="44">
        <f t="shared" ca="1" si="11"/>
        <v>23195.89</v>
      </c>
      <c r="K133" s="14">
        <f ca="1">IFERROR(__xludf.DUMMYFUNCTION("iferror(index(GOOGLEFINANCE(B134,""all"",A134-10,A134+3),MATCH(A134+0.6458333333,index(GOOGLEFINANCE(B134,""all"",A134-10,A134+3),,1)),),"""")"),45394.6458333333)</f>
        <v>45394.645833333299</v>
      </c>
      <c r="L133" s="15">
        <f ca="1">IFERROR(__xludf.DUMMYFUNCTION("""COMPUTED_VALUE"""),269.8)</f>
        <v>269.8</v>
      </c>
      <c r="M133" s="15">
        <f ca="1">IFERROR(__xludf.DUMMYFUNCTION("""COMPUTED_VALUE"""),272.25)</f>
        <v>272.25</v>
      </c>
      <c r="N133" s="15">
        <f ca="1">IFERROR(__xludf.DUMMYFUNCTION("""COMPUTED_VALUE"""),266.4)</f>
        <v>266.39999999999998</v>
      </c>
      <c r="O133" s="15">
        <f ca="1">IFERROR(__xludf.DUMMYFUNCTION("""COMPUTED_VALUE"""),267.95)</f>
        <v>267.95</v>
      </c>
      <c r="P133" s="15">
        <f ca="1">IFERROR(__xludf.DUMMYFUNCTION("""COMPUTED_VALUE"""),11496987)</f>
        <v>11496987</v>
      </c>
      <c r="Q133" s="15">
        <f t="shared" si="5"/>
        <v>-84.51</v>
      </c>
      <c r="R133" s="15">
        <f t="shared" si="6"/>
        <v>22564.170000000002</v>
      </c>
      <c r="S133" s="16">
        <f t="shared" si="7"/>
        <v>45394</v>
      </c>
      <c r="T133" s="29"/>
      <c r="U133" s="18"/>
      <c r="V133" s="18"/>
      <c r="W133" s="18"/>
    </row>
    <row r="134" spans="1:23" ht="15.75">
      <c r="A134" s="35">
        <v>45394</v>
      </c>
      <c r="B134" s="36" t="s">
        <v>72</v>
      </c>
      <c r="C134" s="36" t="s">
        <v>1</v>
      </c>
      <c r="D134" s="37">
        <v>29.86</v>
      </c>
      <c r="E134" s="38">
        <v>914</v>
      </c>
      <c r="F134" s="38">
        <f t="shared" ca="1" si="0"/>
        <v>905.34709999999995</v>
      </c>
      <c r="G134" s="38">
        <f t="shared" ca="1" si="1"/>
        <v>925.35374999999988</v>
      </c>
      <c r="H134" s="20" t="str">
        <f t="shared" ca="1" si="2"/>
        <v>Valid</v>
      </c>
      <c r="I134" s="21">
        <f t="shared" si="3"/>
        <v>27292.04</v>
      </c>
      <c r="J134" s="44">
        <f t="shared" ca="1" si="11"/>
        <v>50487.93</v>
      </c>
      <c r="K134" s="14">
        <f ca="1">IFERROR(__xludf.DUMMYFUNCTION("iferror(index(GOOGLEFINANCE(B135,""all"",A135-10,A135+3),MATCH(A135+0.6458333333,index(GOOGLEFINANCE(B135,""all"",A135-10,A135+3),,1)),),"""")"),45394.6458333333)</f>
        <v>45394.645833333299</v>
      </c>
      <c r="L134" s="15">
        <f ca="1">IFERROR(__xludf.DUMMYFUNCTION("""COMPUTED_VALUE"""),911.15)</f>
        <v>911.15</v>
      </c>
      <c r="M134" s="15">
        <f ca="1">IFERROR(__xludf.DUMMYFUNCTION("""COMPUTED_VALUE"""),920.75)</f>
        <v>920.75</v>
      </c>
      <c r="N134" s="15">
        <f ca="1">IFERROR(__xludf.DUMMYFUNCTION("""COMPUTED_VALUE"""),905.8)</f>
        <v>905.8</v>
      </c>
      <c r="O134" s="15">
        <f ca="1">IFERROR(__xludf.DUMMYFUNCTION("""COMPUTED_VALUE"""),908.6)</f>
        <v>908.6</v>
      </c>
      <c r="P134" s="15">
        <f ca="1">IFERROR(__xludf.DUMMYFUNCTION("""COMPUTED_VALUE"""),2340026)</f>
        <v>2340026</v>
      </c>
      <c r="Q134" s="15">
        <f t="shared" si="5"/>
        <v>-29.86</v>
      </c>
      <c r="R134" s="15">
        <f t="shared" si="6"/>
        <v>27292.04</v>
      </c>
      <c r="S134" s="16">
        <f t="shared" si="7"/>
        <v>45394</v>
      </c>
      <c r="T134" s="29"/>
      <c r="U134" s="18"/>
      <c r="V134" s="18"/>
      <c r="W134" s="18"/>
    </row>
    <row r="135" spans="1:23" ht="15.75">
      <c r="A135" s="35">
        <v>45394</v>
      </c>
      <c r="B135" s="36" t="s">
        <v>80</v>
      </c>
      <c r="C135" s="36" t="s">
        <v>1</v>
      </c>
      <c r="D135" s="37">
        <v>2.96</v>
      </c>
      <c r="E135" s="38">
        <v>7827</v>
      </c>
      <c r="F135" s="38">
        <f t="shared" ca="1" si="0"/>
        <v>7796.1</v>
      </c>
      <c r="G135" s="38">
        <f t="shared" ca="1" si="1"/>
        <v>8022.9149999999991</v>
      </c>
      <c r="H135" s="20" t="str">
        <f t="shared" ca="1" si="2"/>
        <v>Valid</v>
      </c>
      <c r="I135" s="21">
        <f t="shared" si="3"/>
        <v>23167.919999999998</v>
      </c>
      <c r="J135" s="44">
        <f t="shared" ca="1" si="11"/>
        <v>73655.850000000006</v>
      </c>
      <c r="K135" s="14">
        <f ca="1">IFERROR(__xludf.DUMMYFUNCTION("iferror(index(GOOGLEFINANCE(B136,""all"",A136-10,A136+3),MATCH(A136+0.6458333333,index(GOOGLEFINANCE(B136,""all"",A136-10,A136+3),,1)),),"""")"),45394.6458333333)</f>
        <v>45394.645833333299</v>
      </c>
      <c r="L135" s="15">
        <f ca="1">IFERROR(__xludf.DUMMYFUNCTION("""COMPUTED_VALUE"""),7839)</f>
        <v>7839</v>
      </c>
      <c r="M135" s="15">
        <f ca="1">IFERROR(__xludf.DUMMYFUNCTION("""COMPUTED_VALUE"""),7983)</f>
        <v>7983</v>
      </c>
      <c r="N135" s="15">
        <f ca="1">IFERROR(__xludf.DUMMYFUNCTION("""COMPUTED_VALUE"""),7800)</f>
        <v>7800</v>
      </c>
      <c r="O135" s="15">
        <f ca="1">IFERROR(__xludf.DUMMYFUNCTION("""COMPUTED_VALUE"""),7845.4)</f>
        <v>7845.4</v>
      </c>
      <c r="P135" s="15">
        <f ca="1">IFERROR(__xludf.DUMMYFUNCTION("""COMPUTED_VALUE"""),358563)</f>
        <v>358563</v>
      </c>
      <c r="Q135" s="15">
        <f t="shared" si="5"/>
        <v>-2.96</v>
      </c>
      <c r="R135" s="15">
        <f t="shared" si="6"/>
        <v>23167.919999999998</v>
      </c>
      <c r="S135" s="16">
        <f t="shared" si="7"/>
        <v>45394</v>
      </c>
      <c r="T135" s="29"/>
      <c r="U135" s="18"/>
      <c r="V135" s="18"/>
      <c r="W135" s="18"/>
    </row>
    <row r="136" spans="1:23" ht="15.75">
      <c r="A136" s="35">
        <v>45394</v>
      </c>
      <c r="B136" s="36" t="s">
        <v>65</v>
      </c>
      <c r="C136" s="36" t="s">
        <v>1</v>
      </c>
      <c r="D136" s="37">
        <v>14.08</v>
      </c>
      <c r="E136" s="38">
        <v>1594</v>
      </c>
      <c r="F136" s="38">
        <f t="shared" ca="1" si="0"/>
        <v>1574.2125000000001</v>
      </c>
      <c r="G136" s="38">
        <f t="shared" ca="1" si="1"/>
        <v>1630.11</v>
      </c>
      <c r="H136" s="20" t="str">
        <f t="shared" ca="1" si="2"/>
        <v>Valid</v>
      </c>
      <c r="I136" s="21">
        <f t="shared" si="3"/>
        <v>22443.52</v>
      </c>
      <c r="J136" s="44">
        <f t="shared" ca="1" si="11"/>
        <v>96099.37</v>
      </c>
      <c r="K136" s="14">
        <f ca="1">IFERROR(__xludf.DUMMYFUNCTION("iferror(index(GOOGLEFINANCE(B137,""all"",A137-10,A137+3),MATCH(A137+0.6458333333,index(GOOGLEFINANCE(B137,""all"",A137-10,A137+3),,1)),),"""")"),45394.6458333333)</f>
        <v>45394.645833333299</v>
      </c>
      <c r="L136" s="15">
        <f ca="1">IFERROR(__xludf.DUMMYFUNCTION("""COMPUTED_VALUE"""),1590)</f>
        <v>1590</v>
      </c>
      <c r="M136" s="15">
        <f ca="1">IFERROR(__xludf.DUMMYFUNCTION("""COMPUTED_VALUE"""),1622)</f>
        <v>1622</v>
      </c>
      <c r="N136" s="15">
        <f ca="1">IFERROR(__xludf.DUMMYFUNCTION("""COMPUTED_VALUE"""),1575)</f>
        <v>1575</v>
      </c>
      <c r="O136" s="15">
        <f ca="1">IFERROR(__xludf.DUMMYFUNCTION("""COMPUTED_VALUE"""),1594.55)</f>
        <v>1594.55</v>
      </c>
      <c r="P136" s="15">
        <f ca="1">IFERROR(__xludf.DUMMYFUNCTION("""COMPUTED_VALUE"""),66407)</f>
        <v>66407</v>
      </c>
      <c r="Q136" s="15">
        <f t="shared" si="5"/>
        <v>-14.08</v>
      </c>
      <c r="R136" s="15">
        <f t="shared" si="6"/>
        <v>22443.52</v>
      </c>
      <c r="S136" s="16">
        <f t="shared" si="7"/>
        <v>45394</v>
      </c>
      <c r="T136" s="29"/>
      <c r="U136" s="18"/>
      <c r="V136" s="18"/>
      <c r="W136" s="18"/>
    </row>
    <row r="137" spans="1:23" ht="15.75">
      <c r="A137" s="35">
        <v>45394</v>
      </c>
      <c r="B137" s="36" t="s">
        <v>53</v>
      </c>
      <c r="C137" s="36" t="s">
        <v>1</v>
      </c>
      <c r="D137" s="37">
        <v>1.06</v>
      </c>
      <c r="E137" s="38">
        <v>16080</v>
      </c>
      <c r="F137" s="38">
        <f t="shared" ca="1" si="0"/>
        <v>15812.09</v>
      </c>
      <c r="G137" s="38">
        <f t="shared" ca="1" si="1"/>
        <v>16178.489999999998</v>
      </c>
      <c r="H137" s="20" t="str">
        <f t="shared" ca="1" si="2"/>
        <v>Valid</v>
      </c>
      <c r="I137" s="21">
        <f t="shared" si="3"/>
        <v>17044.8</v>
      </c>
      <c r="J137" s="44">
        <f t="shared" ca="1" si="11"/>
        <v>113144.17</v>
      </c>
      <c r="K137" s="14">
        <f ca="1">IFERROR(__xludf.DUMMYFUNCTION("iferror(index(GOOGLEFINANCE(B138,""all"",A138-10,A138+3),MATCH(A138+0.6458333333,index(GOOGLEFINANCE(B138,""all"",A138-10,A138+3),,1)),),"""")"),45394.6458333333)</f>
        <v>45394.645833333299</v>
      </c>
      <c r="L137" s="15">
        <f ca="1">IFERROR(__xludf.DUMMYFUNCTION("""COMPUTED_VALUE"""),16060)</f>
        <v>16060</v>
      </c>
      <c r="M137" s="15">
        <f ca="1">IFERROR(__xludf.DUMMYFUNCTION("""COMPUTED_VALUE"""),16098)</f>
        <v>16098</v>
      </c>
      <c r="N137" s="15">
        <f ca="1">IFERROR(__xludf.DUMMYFUNCTION("""COMPUTED_VALUE"""),15820)</f>
        <v>15820</v>
      </c>
      <c r="O137" s="15">
        <f ca="1">IFERROR(__xludf.DUMMYFUNCTION("""COMPUTED_VALUE"""),15953.6)</f>
        <v>15953.6</v>
      </c>
      <c r="P137" s="15">
        <f ca="1">IFERROR(__xludf.DUMMYFUNCTION("""COMPUTED_VALUE"""),4449)</f>
        <v>4449</v>
      </c>
      <c r="Q137" s="15">
        <f t="shared" si="5"/>
        <v>-1.06</v>
      </c>
      <c r="R137" s="15">
        <f t="shared" si="6"/>
        <v>17044.8</v>
      </c>
      <c r="S137" s="16">
        <f t="shared" si="7"/>
        <v>45394</v>
      </c>
      <c r="T137" s="29"/>
      <c r="U137" s="18"/>
      <c r="V137" s="18"/>
      <c r="W137" s="18"/>
    </row>
    <row r="138" spans="1:23">
      <c r="A138" s="35">
        <v>45394</v>
      </c>
      <c r="B138" s="7" t="s">
        <v>83</v>
      </c>
      <c r="C138" s="36" t="s">
        <v>1</v>
      </c>
      <c r="D138" s="7">
        <v>4.74</v>
      </c>
      <c r="E138" s="7">
        <v>4497</v>
      </c>
      <c r="F138" s="7">
        <f t="shared" ca="1" si="0"/>
        <v>4428.7845000000007</v>
      </c>
      <c r="G138" s="7">
        <f t="shared" ca="1" si="1"/>
        <v>4545.4139999999998</v>
      </c>
      <c r="H138" s="20" t="str">
        <f t="shared" ca="1" si="2"/>
        <v>Valid</v>
      </c>
      <c r="I138" s="21">
        <f t="shared" si="3"/>
        <v>21315.780000000002</v>
      </c>
      <c r="J138" s="44">
        <f t="shared" ca="1" si="11"/>
        <v>134459.95000000001</v>
      </c>
      <c r="K138" s="14">
        <f ca="1">IFERROR(__xludf.DUMMYFUNCTION("iferror(index(GOOGLEFINANCE(B139,""all"",A139-10,A139+3),MATCH(A139+0.6458333333,index(GOOGLEFINANCE(B139,""all"",A139-10,A139+3),,1)),),"""")"),45394.6458333333)</f>
        <v>45394.645833333299</v>
      </c>
      <c r="L138" s="15">
        <f ca="1">IFERROR(__xludf.DUMMYFUNCTION("""COMPUTED_VALUE"""),4509)</f>
        <v>4509</v>
      </c>
      <c r="M138" s="15">
        <f ca="1">IFERROR(__xludf.DUMMYFUNCTION("""COMPUTED_VALUE"""),4522.8)</f>
        <v>4522.8</v>
      </c>
      <c r="N138" s="15">
        <f ca="1">IFERROR(__xludf.DUMMYFUNCTION("""COMPUTED_VALUE"""),4431)</f>
        <v>4431</v>
      </c>
      <c r="O138" s="15">
        <f ca="1">IFERROR(__xludf.DUMMYFUNCTION("""COMPUTED_VALUE"""),4440.8)</f>
        <v>4440.8</v>
      </c>
      <c r="P138" s="15">
        <f ca="1">IFERROR(__xludf.DUMMYFUNCTION("""COMPUTED_VALUE"""),438331)</f>
        <v>438331</v>
      </c>
      <c r="Q138" s="15">
        <f t="shared" si="5"/>
        <v>-4.74</v>
      </c>
      <c r="R138" s="15">
        <f t="shared" si="6"/>
        <v>21315.780000000002</v>
      </c>
      <c r="S138" s="16">
        <f t="shared" si="7"/>
        <v>45394</v>
      </c>
    </row>
    <row r="139" spans="1:23" ht="15.75">
      <c r="A139" s="35">
        <v>45394</v>
      </c>
      <c r="B139" s="36" t="s">
        <v>88</v>
      </c>
      <c r="C139" s="36" t="s">
        <v>0</v>
      </c>
      <c r="D139" s="37">
        <v>7.78</v>
      </c>
      <c r="E139" s="38">
        <v>2665</v>
      </c>
      <c r="F139" s="38">
        <f t="shared" ca="1" si="0"/>
        <v>2624.2372250000003</v>
      </c>
      <c r="G139" s="38">
        <f t="shared" ca="1" si="1"/>
        <v>2700.9374999999995</v>
      </c>
      <c r="H139" s="20" t="str">
        <f t="shared" ca="1" si="2"/>
        <v>Valid</v>
      </c>
      <c r="I139" s="21">
        <f t="shared" si="3"/>
        <v>20733.7</v>
      </c>
      <c r="J139" s="44">
        <f t="shared" ca="1" si="11"/>
        <v>113726.25</v>
      </c>
      <c r="K139" s="14">
        <f ca="1">IFERROR(__xludf.DUMMYFUNCTION("iferror(index(GOOGLEFINANCE(B140,""all"",A140-10,A140+3),MATCH(A140+0.6458333333,index(GOOGLEFINANCE(B140,""all"",A140-10,A140+3),,1)),),"""")"),45394.6458333333)</f>
        <v>45394.645833333299</v>
      </c>
      <c r="L139" s="15">
        <f ca="1">IFERROR(__xludf.DUMMYFUNCTION("""COMPUTED_VALUE"""),2645)</f>
        <v>2645</v>
      </c>
      <c r="M139" s="15">
        <f ca="1">IFERROR(__xludf.DUMMYFUNCTION("""COMPUTED_VALUE"""),2687.5)</f>
        <v>2687.5</v>
      </c>
      <c r="N139" s="15">
        <f ca="1">IFERROR(__xludf.DUMMYFUNCTION("""COMPUTED_VALUE"""),2625.55)</f>
        <v>2625.55</v>
      </c>
      <c r="O139" s="15">
        <f ca="1">IFERROR(__xludf.DUMMYFUNCTION("""COMPUTED_VALUE"""),2632.3)</f>
        <v>2632.3</v>
      </c>
      <c r="P139" s="15">
        <f ca="1">IFERROR(__xludf.DUMMYFUNCTION("""COMPUTED_VALUE"""),699830)</f>
        <v>699830</v>
      </c>
      <c r="Q139" s="15">
        <f t="shared" si="5"/>
        <v>7.78</v>
      </c>
      <c r="R139" s="15">
        <f t="shared" si="6"/>
        <v>-20733.7</v>
      </c>
      <c r="S139" s="16">
        <f t="shared" si="7"/>
        <v>45394</v>
      </c>
      <c r="T139" s="29"/>
      <c r="U139" s="18"/>
      <c r="V139" s="18"/>
      <c r="W139" s="18"/>
    </row>
    <row r="140" spans="1:23" ht="15.75">
      <c r="A140" s="35">
        <v>45394</v>
      </c>
      <c r="B140" s="36" t="s">
        <v>87</v>
      </c>
      <c r="C140" s="36" t="s">
        <v>0</v>
      </c>
      <c r="D140" s="37">
        <v>3</v>
      </c>
      <c r="E140" s="38">
        <v>1545</v>
      </c>
      <c r="F140" s="38">
        <f t="shared" ca="1" si="0"/>
        <v>1515.4419</v>
      </c>
      <c r="G140" s="38">
        <f t="shared" ca="1" si="1"/>
        <v>1550.6647499999999</v>
      </c>
      <c r="H140" s="20" t="str">
        <f t="shared" ca="1" si="2"/>
        <v>Valid</v>
      </c>
      <c r="I140" s="21">
        <f t="shared" si="3"/>
        <v>4635</v>
      </c>
      <c r="J140" s="44">
        <f t="shared" ca="1" si="11"/>
        <v>109091.25</v>
      </c>
      <c r="K140" s="14">
        <f ca="1">IFERROR(__xludf.DUMMYFUNCTION("iferror(index(GOOGLEFINANCE(B141,""all"",A141-10,A141+3),MATCH(A141+0.6458333333,index(GOOGLEFINANCE(B141,""all"",A141-10,A141+3),,1)),),"""")"),45394.6458333333)</f>
        <v>45394.645833333299</v>
      </c>
      <c r="L140" s="15">
        <f ca="1">IFERROR(__xludf.DUMMYFUNCTION("""COMPUTED_VALUE"""),1537)</f>
        <v>1537</v>
      </c>
      <c r="M140" s="15">
        <f ca="1">IFERROR(__xludf.DUMMYFUNCTION("""COMPUTED_VALUE"""),1542.95)</f>
        <v>1542.95</v>
      </c>
      <c r="N140" s="15">
        <f ca="1">IFERROR(__xludf.DUMMYFUNCTION("""COMPUTED_VALUE"""),1516.2)</f>
        <v>1516.2</v>
      </c>
      <c r="O140" s="15">
        <f ca="1">IFERROR(__xludf.DUMMYFUNCTION("""COMPUTED_VALUE"""),1521.5)</f>
        <v>1521.5</v>
      </c>
      <c r="P140" s="15">
        <f ca="1">IFERROR(__xludf.DUMMYFUNCTION("""COMPUTED_VALUE"""),4319991)</f>
        <v>4319991</v>
      </c>
      <c r="Q140" s="15">
        <f t="shared" si="5"/>
        <v>3</v>
      </c>
      <c r="R140" s="15">
        <f t="shared" si="6"/>
        <v>-4635</v>
      </c>
      <c r="S140" s="16">
        <f t="shared" si="7"/>
        <v>45394</v>
      </c>
      <c r="T140" s="29"/>
      <c r="U140" s="18"/>
      <c r="V140" s="18"/>
      <c r="W140" s="18"/>
    </row>
    <row r="141" spans="1:23" ht="15.75">
      <c r="A141" s="35">
        <v>45394</v>
      </c>
      <c r="B141" s="36" t="s">
        <v>69</v>
      </c>
      <c r="C141" s="36" t="s">
        <v>1</v>
      </c>
      <c r="D141" s="37">
        <v>17.149999999999999</v>
      </c>
      <c r="E141" s="38">
        <v>843</v>
      </c>
      <c r="F141" s="38">
        <f t="shared" ca="1" si="0"/>
        <v>839.58</v>
      </c>
      <c r="G141" s="38">
        <f t="shared" ca="1" si="1"/>
        <v>854.24999999999989</v>
      </c>
      <c r="H141" s="20" t="str">
        <f t="shared" ca="1" si="2"/>
        <v>Valid</v>
      </c>
      <c r="I141" s="21">
        <f t="shared" si="3"/>
        <v>14457.449999999999</v>
      </c>
      <c r="J141" s="44">
        <f t="shared" ca="1" si="11"/>
        <v>123548.7</v>
      </c>
      <c r="K141" s="14">
        <f ca="1">IFERROR(__xludf.DUMMYFUNCTION("iferror(index(GOOGLEFINANCE(B142,""all"",A142-10,A142+3),MATCH(A142+0.6458333333,index(GOOGLEFINANCE(B142,""all"",A142-10,A142+3),,1)),),"""")"),45394.6458333333)</f>
        <v>45394.645833333299</v>
      </c>
      <c r="L141" s="15">
        <f ca="1">IFERROR(__xludf.DUMMYFUNCTION("""COMPUTED_VALUE"""),843.9)</f>
        <v>843.9</v>
      </c>
      <c r="M141" s="15">
        <f ca="1">IFERROR(__xludf.DUMMYFUNCTION("""COMPUTED_VALUE"""),850)</f>
        <v>850</v>
      </c>
      <c r="N141" s="15">
        <f ca="1">IFERROR(__xludf.DUMMYFUNCTION("""COMPUTED_VALUE"""),840)</f>
        <v>840</v>
      </c>
      <c r="O141" s="15">
        <f ca="1">IFERROR(__xludf.DUMMYFUNCTION("""COMPUTED_VALUE"""),841.35)</f>
        <v>841.35</v>
      </c>
      <c r="P141" s="15">
        <f ca="1">IFERROR(__xludf.DUMMYFUNCTION("""COMPUTED_VALUE"""),27717)</f>
        <v>27717</v>
      </c>
      <c r="Q141" s="15">
        <f t="shared" si="5"/>
        <v>-17.149999999999999</v>
      </c>
      <c r="R141" s="15">
        <f t="shared" si="6"/>
        <v>14457.449999999999</v>
      </c>
      <c r="S141" s="16">
        <f t="shared" si="7"/>
        <v>45394</v>
      </c>
      <c r="T141" s="29"/>
      <c r="U141" s="18"/>
      <c r="V141" s="18"/>
      <c r="W141" s="18"/>
    </row>
    <row r="142" spans="1:23" ht="15.75">
      <c r="A142" s="35">
        <v>45398</v>
      </c>
      <c r="B142" s="36" t="s">
        <v>89</v>
      </c>
      <c r="C142" s="36" t="s">
        <v>0</v>
      </c>
      <c r="D142" s="37">
        <v>20.89</v>
      </c>
      <c r="E142" s="38">
        <v>817</v>
      </c>
      <c r="F142" s="38">
        <f t="shared" ca="1" si="0"/>
        <v>785.65697499999999</v>
      </c>
      <c r="G142" s="38">
        <f t="shared" ca="1" si="1"/>
        <v>949.47374999999988</v>
      </c>
      <c r="H142" s="20" t="str">
        <f t="shared" ca="1" si="2"/>
        <v>Valid</v>
      </c>
      <c r="I142" s="21">
        <f t="shared" si="3"/>
        <v>17067.13</v>
      </c>
      <c r="J142" s="44">
        <f t="shared" ca="1" si="11"/>
        <v>106481.57</v>
      </c>
      <c r="K142" s="14">
        <f ca="1">IFERROR(__xludf.DUMMYFUNCTION("iferror(index(GOOGLEFINANCE(B143,""all"",A143-10,A143+3),MATCH(A143+0.6458333333,index(GOOGLEFINANCE(B143,""all"",A143-10,A143+3),,1)),),"""")"),45398.6458333333)</f>
        <v>45398.645833333299</v>
      </c>
      <c r="L142" s="15">
        <f ca="1">IFERROR(__xludf.DUMMYFUNCTION("""COMPUTED_VALUE"""),799)</f>
        <v>799</v>
      </c>
      <c r="M142" s="15">
        <f ca="1">IFERROR(__xludf.DUMMYFUNCTION("""COMPUTED_VALUE"""),944.75)</f>
        <v>944.75</v>
      </c>
      <c r="N142" s="15">
        <f ca="1">IFERROR(__xludf.DUMMYFUNCTION("""COMPUTED_VALUE"""),786.05)</f>
        <v>786.05</v>
      </c>
      <c r="O142" s="15">
        <f ca="1">IFERROR(__xludf.DUMMYFUNCTION("""COMPUTED_VALUE"""),923.9)</f>
        <v>923.9</v>
      </c>
      <c r="P142" s="15">
        <f ca="1">IFERROR(__xludf.DUMMYFUNCTION("""COMPUTED_VALUE"""),4488933)</f>
        <v>4488933</v>
      </c>
      <c r="Q142" s="15">
        <f t="shared" si="5"/>
        <v>20.89</v>
      </c>
      <c r="R142" s="15">
        <f t="shared" si="6"/>
        <v>-17067.13</v>
      </c>
      <c r="S142" s="16">
        <f t="shared" si="7"/>
        <v>45398</v>
      </c>
      <c r="T142" s="29"/>
      <c r="U142" s="18"/>
      <c r="V142" s="18"/>
      <c r="W142" s="18"/>
    </row>
    <row r="143" spans="1:23" ht="15.75">
      <c r="A143" s="35">
        <v>45398</v>
      </c>
      <c r="B143" s="36" t="s">
        <v>90</v>
      </c>
      <c r="C143" s="36" t="s">
        <v>0</v>
      </c>
      <c r="D143" s="37">
        <v>92.52</v>
      </c>
      <c r="E143" s="38">
        <v>148</v>
      </c>
      <c r="F143" s="38">
        <f t="shared" ca="1" si="0"/>
        <v>144.87752499999999</v>
      </c>
      <c r="G143" s="38">
        <f t="shared" ca="1" si="1"/>
        <v>150.14699999999999</v>
      </c>
      <c r="H143" s="20" t="str">
        <f t="shared" ca="1" si="2"/>
        <v>Valid</v>
      </c>
      <c r="I143" s="21">
        <f t="shared" si="3"/>
        <v>13692.96</v>
      </c>
      <c r="J143" s="44">
        <f t="shared" ca="1" si="11"/>
        <v>92788.61</v>
      </c>
      <c r="K143" s="14">
        <f ca="1">IFERROR(__xludf.DUMMYFUNCTION("iferror(index(GOOGLEFINANCE(B144,""all"",A144-10,A144+3),MATCH(A144+0.6458333333,index(GOOGLEFINANCE(B144,""all"",A144-10,A144+3),,1)),),"""")"),45398.6458333333)</f>
        <v>45398.645833333299</v>
      </c>
      <c r="L143" s="15">
        <f ca="1">IFERROR(__xludf.DUMMYFUNCTION("""COMPUTED_VALUE"""),146)</f>
        <v>146</v>
      </c>
      <c r="M143" s="15">
        <f ca="1">IFERROR(__xludf.DUMMYFUNCTION("""COMPUTED_VALUE"""),149.4)</f>
        <v>149.4</v>
      </c>
      <c r="N143" s="15">
        <f ca="1">IFERROR(__xludf.DUMMYFUNCTION("""COMPUTED_VALUE"""),144.95)</f>
        <v>144.94999999999999</v>
      </c>
      <c r="O143" s="15">
        <f ca="1">IFERROR(__xludf.DUMMYFUNCTION("""COMPUTED_VALUE"""),148.2)</f>
        <v>148.19999999999999</v>
      </c>
      <c r="P143" s="15">
        <f ca="1">IFERROR(__xludf.DUMMYFUNCTION("""COMPUTED_VALUE"""),7918449)</f>
        <v>7918449</v>
      </c>
      <c r="Q143" s="15">
        <f t="shared" si="5"/>
        <v>92.52</v>
      </c>
      <c r="R143" s="15">
        <f t="shared" si="6"/>
        <v>-13692.96</v>
      </c>
      <c r="S143" s="16">
        <f t="shared" si="7"/>
        <v>45398</v>
      </c>
      <c r="T143" s="29"/>
      <c r="U143" s="18"/>
      <c r="V143" s="18"/>
      <c r="W143" s="18"/>
    </row>
    <row r="144" spans="1:23" ht="15.75">
      <c r="A144" s="35">
        <v>45407</v>
      </c>
      <c r="B144" s="36" t="s">
        <v>91</v>
      </c>
      <c r="C144" s="36" t="s">
        <v>0</v>
      </c>
      <c r="D144" s="37">
        <v>13.13</v>
      </c>
      <c r="E144" s="38">
        <v>808</v>
      </c>
      <c r="F144" s="38">
        <f t="shared" ca="1" si="0"/>
        <v>781.60900000000004</v>
      </c>
      <c r="G144" s="38">
        <f t="shared" ca="1" si="1"/>
        <v>849.22499999999991</v>
      </c>
      <c r="H144" s="20" t="str">
        <f t="shared" ca="1" si="2"/>
        <v>Valid</v>
      </c>
      <c r="I144" s="21">
        <f t="shared" si="3"/>
        <v>10609.04</v>
      </c>
      <c r="J144" s="44">
        <f t="shared" ca="1" si="11"/>
        <v>82179.570000000007</v>
      </c>
      <c r="K144" s="14">
        <f ca="1">IFERROR(__xludf.DUMMYFUNCTION("iferror(index(GOOGLEFINANCE(B145,""all"",A145-10,A145+3),MATCH(A145+0.6458333333,index(GOOGLEFINANCE(B145,""all"",A145-10,A145+3),,1)),),"""")"),45407.6458333333)</f>
        <v>45407.645833333299</v>
      </c>
      <c r="L144" s="15">
        <f ca="1">IFERROR(__xludf.DUMMYFUNCTION("""COMPUTED_VALUE"""),787.3)</f>
        <v>787.3</v>
      </c>
      <c r="M144" s="15">
        <f ca="1">IFERROR(__xludf.DUMMYFUNCTION("""COMPUTED_VALUE"""),845)</f>
        <v>845</v>
      </c>
      <c r="N144" s="15">
        <f ca="1">IFERROR(__xludf.DUMMYFUNCTION("""COMPUTED_VALUE"""),782)</f>
        <v>782</v>
      </c>
      <c r="O144" s="15">
        <f ca="1">IFERROR(__xludf.DUMMYFUNCTION("""COMPUTED_VALUE"""),841.1)</f>
        <v>841.1</v>
      </c>
      <c r="P144" s="15">
        <f ca="1">IFERROR(__xludf.DUMMYFUNCTION("""COMPUTED_VALUE"""),756551)</f>
        <v>756551</v>
      </c>
      <c r="Q144" s="15">
        <f t="shared" si="5"/>
        <v>13.13</v>
      </c>
      <c r="R144" s="15">
        <f t="shared" si="6"/>
        <v>-10609.04</v>
      </c>
      <c r="S144" s="16">
        <f t="shared" si="7"/>
        <v>45407</v>
      </c>
      <c r="T144" s="29"/>
      <c r="U144" s="18"/>
      <c r="V144" s="18"/>
      <c r="W144" s="18"/>
    </row>
    <row r="145" spans="1:23" ht="15.75">
      <c r="A145" s="35">
        <v>45408</v>
      </c>
      <c r="B145" s="36" t="s">
        <v>92</v>
      </c>
      <c r="C145" s="36" t="s">
        <v>0</v>
      </c>
      <c r="D145" s="37">
        <v>15.42</v>
      </c>
      <c r="E145" s="38">
        <v>1620</v>
      </c>
      <c r="F145" s="38">
        <f t="shared" ca="1" si="0"/>
        <v>1567.4658750000001</v>
      </c>
      <c r="G145" s="38">
        <f t="shared" ca="1" si="1"/>
        <v>1660.9634999999998</v>
      </c>
      <c r="H145" s="20" t="str">
        <f t="shared" ca="1" si="2"/>
        <v>Valid</v>
      </c>
      <c r="I145" s="21">
        <f t="shared" si="3"/>
        <v>24980.400000000001</v>
      </c>
      <c r="J145" s="44">
        <f t="shared" ca="1" si="11"/>
        <v>57199.17</v>
      </c>
      <c r="K145" s="14">
        <f ca="1">IFERROR(__xludf.DUMMYFUNCTION("iferror(index(GOOGLEFINANCE(B146,""all"",A146-10,A146+3),MATCH(A146+0.6458333333,index(GOOGLEFINANCE(B146,""all"",A146-10,A146+3),,1)),),"""")"),45408.6458333333)</f>
        <v>45408.645833333299</v>
      </c>
      <c r="L145" s="15">
        <f ca="1">IFERROR(__xludf.DUMMYFUNCTION("""COMPUTED_VALUE"""),1568.7)</f>
        <v>1568.7</v>
      </c>
      <c r="M145" s="15">
        <f ca="1">IFERROR(__xludf.DUMMYFUNCTION("""COMPUTED_VALUE"""),1652.7)</f>
        <v>1652.7</v>
      </c>
      <c r="N145" s="15">
        <f ca="1">IFERROR(__xludf.DUMMYFUNCTION("""COMPUTED_VALUE"""),1568.25)</f>
        <v>1568.25</v>
      </c>
      <c r="O145" s="15">
        <f ca="1">IFERROR(__xludf.DUMMYFUNCTION("""COMPUTED_VALUE"""),1640.05)</f>
        <v>1640.05</v>
      </c>
      <c r="P145" s="15">
        <f ca="1">IFERROR(__xludf.DUMMYFUNCTION("""COMPUTED_VALUE"""),4166048)</f>
        <v>4166048</v>
      </c>
      <c r="Q145" s="15">
        <f t="shared" si="5"/>
        <v>15.42</v>
      </c>
      <c r="R145" s="15">
        <f t="shared" si="6"/>
        <v>-24980.400000000001</v>
      </c>
      <c r="S145" s="16">
        <f t="shared" si="7"/>
        <v>45408</v>
      </c>
      <c r="T145" s="29"/>
      <c r="U145" s="18"/>
      <c r="V145" s="18"/>
      <c r="W145" s="18"/>
    </row>
    <row r="146" spans="1:23" ht="15.75">
      <c r="A146" s="35">
        <v>45420</v>
      </c>
      <c r="B146" s="36" t="s">
        <v>87</v>
      </c>
      <c r="C146" s="36" t="s">
        <v>0</v>
      </c>
      <c r="D146" s="37">
        <v>5</v>
      </c>
      <c r="E146" s="38">
        <v>1327</v>
      </c>
      <c r="F146" s="38">
        <f t="shared" ca="1" si="0"/>
        <v>1306.64635</v>
      </c>
      <c r="G146" s="38">
        <f t="shared" ca="1" si="1"/>
        <v>1340.6699999999998</v>
      </c>
      <c r="H146" s="20" t="str">
        <f t="shared" ca="1" si="2"/>
        <v>Valid</v>
      </c>
      <c r="I146" s="21">
        <f t="shared" si="3"/>
        <v>6635</v>
      </c>
      <c r="J146" s="44">
        <f t="shared" ca="1" si="11"/>
        <v>50564.17</v>
      </c>
      <c r="K146" s="14">
        <f ca="1">IFERROR(__xludf.DUMMYFUNCTION("iferror(index(GOOGLEFINANCE(B147,""all"",A147-10,A147+3),MATCH(A147+0.6458333333,index(GOOGLEFINANCE(B147,""all"",A147-10,A147+3),,1)),),"""")"),45420.6458333333)</f>
        <v>45420.645833333299</v>
      </c>
      <c r="L146" s="15">
        <f ca="1">IFERROR(__xludf.DUMMYFUNCTION("""COMPUTED_VALUE"""),1330.95)</f>
        <v>1330.95</v>
      </c>
      <c r="M146" s="15">
        <f ca="1">IFERROR(__xludf.DUMMYFUNCTION("""COMPUTED_VALUE"""),1334)</f>
        <v>1334</v>
      </c>
      <c r="N146" s="15">
        <f ca="1">IFERROR(__xludf.DUMMYFUNCTION("""COMPUTED_VALUE"""),1307.3)</f>
        <v>1307.3</v>
      </c>
      <c r="O146" s="15">
        <f ca="1">IFERROR(__xludf.DUMMYFUNCTION("""COMPUTED_VALUE"""),1313.65)</f>
        <v>1313.65</v>
      </c>
      <c r="P146" s="15">
        <f ca="1">IFERROR(__xludf.DUMMYFUNCTION("""COMPUTED_VALUE"""),6832455)</f>
        <v>6832455</v>
      </c>
      <c r="Q146" s="15">
        <f t="shared" si="5"/>
        <v>5</v>
      </c>
      <c r="R146" s="15">
        <f t="shared" si="6"/>
        <v>-6635</v>
      </c>
      <c r="S146" s="16">
        <f t="shared" si="7"/>
        <v>45420</v>
      </c>
      <c r="T146" s="29"/>
      <c r="U146" s="18"/>
      <c r="V146" s="18"/>
      <c r="W146" s="18"/>
    </row>
    <row r="147" spans="1:23" ht="15.75">
      <c r="A147" s="35">
        <v>45435</v>
      </c>
      <c r="B147" s="36" t="s">
        <v>93</v>
      </c>
      <c r="C147" s="36" t="s">
        <v>0</v>
      </c>
      <c r="D147" s="37">
        <v>3.6</v>
      </c>
      <c r="E147" s="38">
        <v>5972</v>
      </c>
      <c r="F147" s="38">
        <f t="shared" ca="1" si="0"/>
        <v>5857.6697000000004</v>
      </c>
      <c r="G147" s="38">
        <f t="shared" ca="1" si="1"/>
        <v>6021.4072499999993</v>
      </c>
      <c r="H147" s="20" t="str">
        <f t="shared" ca="1" si="2"/>
        <v>Valid</v>
      </c>
      <c r="I147" s="21">
        <f t="shared" si="3"/>
        <v>21499.200000000001</v>
      </c>
      <c r="J147" s="44">
        <f t="shared" ca="1" si="11"/>
        <v>29064.97</v>
      </c>
      <c r="K147" s="14">
        <f ca="1">IFERROR(__xludf.DUMMYFUNCTION("iferror(index(GOOGLEFINANCE(B148,""all"",A148-10,A148+3),MATCH(A148+0.6458333333,index(GOOGLEFINANCE(B148,""all"",A148-10,A148+3),,1)),),"""")"),45435.6458333333)</f>
        <v>45435.645833333299</v>
      </c>
      <c r="L147" s="15">
        <f ca="1">IFERROR(__xludf.DUMMYFUNCTION("""COMPUTED_VALUE"""),5878.45)</f>
        <v>5878.45</v>
      </c>
      <c r="M147" s="15">
        <f ca="1">IFERROR(__xludf.DUMMYFUNCTION("""COMPUTED_VALUE"""),5991.45)</f>
        <v>5991.45</v>
      </c>
      <c r="N147" s="15">
        <f ca="1">IFERROR(__xludf.DUMMYFUNCTION("""COMPUTED_VALUE"""),5860.6)</f>
        <v>5860.6</v>
      </c>
      <c r="O147" s="15">
        <f ca="1">IFERROR(__xludf.DUMMYFUNCTION("""COMPUTED_VALUE"""),5970.05)</f>
        <v>5970.05</v>
      </c>
      <c r="P147" s="15">
        <f ca="1">IFERROR(__xludf.DUMMYFUNCTION("""COMPUTED_VALUE"""),308200)</f>
        <v>308200</v>
      </c>
      <c r="Q147" s="15">
        <f t="shared" si="5"/>
        <v>3.6</v>
      </c>
      <c r="R147" s="15">
        <f t="shared" si="6"/>
        <v>-21499.200000000001</v>
      </c>
      <c r="S147" s="16">
        <f t="shared" si="7"/>
        <v>45435</v>
      </c>
      <c r="T147" s="29"/>
      <c r="U147" s="18"/>
      <c r="V147" s="18"/>
      <c r="W147" s="18"/>
    </row>
    <row r="148" spans="1:23" ht="15.75">
      <c r="A148" s="35">
        <v>45436</v>
      </c>
      <c r="B148" s="36" t="s">
        <v>86</v>
      </c>
      <c r="C148" s="36" t="s">
        <v>1</v>
      </c>
      <c r="D148" s="37">
        <v>22.5</v>
      </c>
      <c r="E148" s="38">
        <v>274</v>
      </c>
      <c r="F148" s="38">
        <f t="shared" ca="1" si="0"/>
        <v>266.81652500000001</v>
      </c>
      <c r="G148" s="38">
        <f t="shared" ca="1" si="1"/>
        <v>294.16349999999994</v>
      </c>
      <c r="H148" s="20" t="str">
        <f t="shared" ca="1" si="2"/>
        <v>Valid</v>
      </c>
      <c r="I148" s="21">
        <f t="shared" si="3"/>
        <v>6165</v>
      </c>
      <c r="J148" s="44">
        <f t="shared" ca="1" si="11"/>
        <v>35229.97</v>
      </c>
      <c r="K148" s="14">
        <f ca="1">IFERROR(__xludf.DUMMYFUNCTION("iferror(index(GOOGLEFINANCE(B149,""all"",A149-10,A149+3),MATCH(A149+0.6458333333,index(GOOGLEFINANCE(B149,""all"",A149-10,A149+3),,1)),),"""")"),45436.6458333333)</f>
        <v>45436.645833333299</v>
      </c>
      <c r="L148" s="15">
        <f ca="1">IFERROR(__xludf.DUMMYFUNCTION("""COMPUTED_VALUE"""),281.8)</f>
        <v>281.8</v>
      </c>
      <c r="M148" s="15">
        <f ca="1">IFERROR(__xludf.DUMMYFUNCTION("""COMPUTED_VALUE"""),292.7)</f>
        <v>292.7</v>
      </c>
      <c r="N148" s="15">
        <f ca="1">IFERROR(__xludf.DUMMYFUNCTION("""COMPUTED_VALUE"""),266.95)</f>
        <v>266.95</v>
      </c>
      <c r="O148" s="15">
        <f ca="1">IFERROR(__xludf.DUMMYFUNCTION("""COMPUTED_VALUE"""),268.4)</f>
        <v>268.39999999999998</v>
      </c>
      <c r="P148" s="15">
        <f ca="1">IFERROR(__xludf.DUMMYFUNCTION("""COMPUTED_VALUE"""),1623290)</f>
        <v>1623290</v>
      </c>
      <c r="Q148" s="15">
        <f t="shared" si="5"/>
        <v>-22.5</v>
      </c>
      <c r="R148" s="15">
        <f t="shared" si="6"/>
        <v>6165</v>
      </c>
      <c r="S148" s="16">
        <f t="shared" si="7"/>
        <v>45436</v>
      </c>
      <c r="T148" s="29"/>
      <c r="U148" s="18"/>
      <c r="V148" s="18"/>
      <c r="W148" s="18"/>
    </row>
    <row r="149" spans="1:23" ht="15.75">
      <c r="A149" s="35">
        <v>45436</v>
      </c>
      <c r="B149" s="36" t="s">
        <v>71</v>
      </c>
      <c r="C149" s="36" t="s">
        <v>1</v>
      </c>
      <c r="D149" s="37">
        <v>7.36</v>
      </c>
      <c r="E149" s="38">
        <v>557</v>
      </c>
      <c r="F149" s="38">
        <f t="shared" ca="1" si="0"/>
        <v>551.72400000000005</v>
      </c>
      <c r="G149" s="38">
        <f t="shared" ca="1" si="1"/>
        <v>587.62350000000004</v>
      </c>
      <c r="H149" s="20" t="str">
        <f t="shared" ca="1" si="2"/>
        <v>Valid</v>
      </c>
      <c r="I149" s="21">
        <f t="shared" si="3"/>
        <v>4099.5200000000004</v>
      </c>
      <c r="J149" s="44">
        <f t="shared" ca="1" si="11"/>
        <v>39329.49</v>
      </c>
      <c r="K149" s="14">
        <f ca="1">IFERROR(__xludf.DUMMYFUNCTION("iferror(index(GOOGLEFINANCE(B150,""all"",A150-10,A150+3),MATCH(A150+0.6458333333,index(GOOGLEFINANCE(B150,""all"",A150-10,A150+3),,1)),),"""")"),45436.6458333333)</f>
        <v>45436.645833333299</v>
      </c>
      <c r="L149" s="15">
        <f ca="1">IFERROR(__xludf.DUMMYFUNCTION("""COMPUTED_VALUE"""),574)</f>
        <v>574</v>
      </c>
      <c r="M149" s="15">
        <f ca="1">IFERROR(__xludf.DUMMYFUNCTION("""COMPUTED_VALUE"""),584.7)</f>
        <v>584.70000000000005</v>
      </c>
      <c r="N149" s="15">
        <f ca="1">IFERROR(__xludf.DUMMYFUNCTION("""COMPUTED_VALUE"""),552)</f>
        <v>552</v>
      </c>
      <c r="O149" s="15">
        <f ca="1">IFERROR(__xludf.DUMMYFUNCTION("""COMPUTED_VALUE"""),556.3)</f>
        <v>556.29999999999995</v>
      </c>
      <c r="P149" s="15">
        <f ca="1">IFERROR(__xludf.DUMMYFUNCTION("""COMPUTED_VALUE"""),2383378)</f>
        <v>2383378</v>
      </c>
      <c r="Q149" s="15">
        <f t="shared" si="5"/>
        <v>-7.36</v>
      </c>
      <c r="R149" s="15">
        <f t="shared" si="6"/>
        <v>4099.5200000000004</v>
      </c>
      <c r="S149" s="16">
        <f t="shared" si="7"/>
        <v>45436</v>
      </c>
      <c r="T149" s="29"/>
      <c r="U149" s="18"/>
      <c r="V149" s="18"/>
      <c r="W149" s="18"/>
    </row>
    <row r="150" spans="1:23" ht="15.75">
      <c r="A150" s="35">
        <v>45436</v>
      </c>
      <c r="B150" s="36" t="s">
        <v>78</v>
      </c>
      <c r="C150" s="36" t="s">
        <v>1</v>
      </c>
      <c r="D150" s="37">
        <v>5</v>
      </c>
      <c r="E150" s="38">
        <v>1965</v>
      </c>
      <c r="F150" s="38">
        <f t="shared" ca="1" si="0"/>
        <v>1889.0550000000001</v>
      </c>
      <c r="G150" s="38">
        <f t="shared" ca="1" si="1"/>
        <v>2011.0049999999999</v>
      </c>
      <c r="H150" s="20" t="str">
        <f t="shared" ca="1" si="2"/>
        <v>Valid</v>
      </c>
      <c r="I150" s="21">
        <f t="shared" si="3"/>
        <v>9825</v>
      </c>
      <c r="J150" s="44">
        <f t="shared" ca="1" si="11"/>
        <v>49154.49</v>
      </c>
      <c r="K150" s="14">
        <f ca="1">IFERROR(__xludf.DUMMYFUNCTION("iferror(index(GOOGLEFINANCE(B151,""all"",A151-10,A151+3),MATCH(A151+0.6458333333,index(GOOGLEFINANCE(B151,""all"",A151-10,A151+3),,1)),),"""")"),45436.6458333333)</f>
        <v>45436.645833333299</v>
      </c>
      <c r="L150" s="15">
        <f ca="1">IFERROR(__xludf.DUMMYFUNCTION("""COMPUTED_VALUE"""),1940)</f>
        <v>1940</v>
      </c>
      <c r="M150" s="15">
        <f ca="1">IFERROR(__xludf.DUMMYFUNCTION("""COMPUTED_VALUE"""),2001)</f>
        <v>2001</v>
      </c>
      <c r="N150" s="15">
        <f ca="1">IFERROR(__xludf.DUMMYFUNCTION("""COMPUTED_VALUE"""),1890)</f>
        <v>1890</v>
      </c>
      <c r="O150" s="15">
        <f ca="1">IFERROR(__xludf.DUMMYFUNCTION("""COMPUTED_VALUE"""),1970.75)</f>
        <v>1970.75</v>
      </c>
      <c r="P150" s="15">
        <f ca="1">IFERROR(__xludf.DUMMYFUNCTION("""COMPUTED_VALUE"""),475497)</f>
        <v>475497</v>
      </c>
      <c r="Q150" s="15">
        <f t="shared" si="5"/>
        <v>-5</v>
      </c>
      <c r="R150" s="15">
        <f t="shared" si="6"/>
        <v>9825</v>
      </c>
      <c r="S150" s="16">
        <f t="shared" si="7"/>
        <v>45436</v>
      </c>
      <c r="T150" s="29"/>
      <c r="U150" s="18"/>
      <c r="V150" s="18"/>
      <c r="W150" s="18"/>
    </row>
    <row r="151" spans="1:23" ht="15.75">
      <c r="A151" s="35">
        <v>45436</v>
      </c>
      <c r="B151" s="36" t="s">
        <v>74</v>
      </c>
      <c r="C151" s="36" t="s">
        <v>1</v>
      </c>
      <c r="D151" s="37">
        <v>68.47</v>
      </c>
      <c r="E151" s="38">
        <v>68</v>
      </c>
      <c r="F151" s="38">
        <f t="shared" ca="1" si="0"/>
        <v>67.766099999999994</v>
      </c>
      <c r="G151" s="38">
        <f t="shared" ca="1" si="1"/>
        <v>69.646499999999989</v>
      </c>
      <c r="H151" s="20" t="str">
        <f t="shared" ca="1" si="2"/>
        <v>Valid</v>
      </c>
      <c r="I151" s="21">
        <f t="shared" si="3"/>
        <v>4655.96</v>
      </c>
      <c r="J151" s="44">
        <f t="shared" ca="1" si="11"/>
        <v>53810.45</v>
      </c>
      <c r="K151" s="14">
        <f ca="1">IFERROR(__xludf.DUMMYFUNCTION("iferror(index(GOOGLEFINANCE(B152,""all"",A152-10,A152+3),MATCH(A152+0.6458333333,index(GOOGLEFINANCE(B152,""all"",A152-10,A152+3),,1)),),"""")"),45436.6458333333)</f>
        <v>45436.645833333299</v>
      </c>
      <c r="L151" s="15">
        <f ca="1">IFERROR(__xludf.DUMMYFUNCTION("""COMPUTED_VALUE"""),68.55)</f>
        <v>68.55</v>
      </c>
      <c r="M151" s="15">
        <f ca="1">IFERROR(__xludf.DUMMYFUNCTION("""COMPUTED_VALUE"""),69.3)</f>
        <v>69.3</v>
      </c>
      <c r="N151" s="15">
        <f ca="1">IFERROR(__xludf.DUMMYFUNCTION("""COMPUTED_VALUE"""),67.8)</f>
        <v>67.8</v>
      </c>
      <c r="O151" s="15">
        <f ca="1">IFERROR(__xludf.DUMMYFUNCTION("""COMPUTED_VALUE"""),68.05)</f>
        <v>68.05</v>
      </c>
      <c r="P151" s="15">
        <f ca="1">IFERROR(__xludf.DUMMYFUNCTION("""COMPUTED_VALUE"""),5932398)</f>
        <v>5932398</v>
      </c>
      <c r="Q151" s="15">
        <f t="shared" si="5"/>
        <v>-68.47</v>
      </c>
      <c r="R151" s="15">
        <f t="shared" si="6"/>
        <v>4655.96</v>
      </c>
      <c r="S151" s="16">
        <f t="shared" si="7"/>
        <v>45436</v>
      </c>
      <c r="T151" s="29"/>
      <c r="U151" s="18"/>
      <c r="V151" s="18"/>
      <c r="W151" s="18"/>
    </row>
    <row r="152" spans="1:23" ht="15.75">
      <c r="A152" s="35">
        <v>45436</v>
      </c>
      <c r="B152" s="36" t="s">
        <v>89</v>
      </c>
      <c r="C152" s="36" t="s">
        <v>1</v>
      </c>
      <c r="D152" s="37">
        <v>11.67</v>
      </c>
      <c r="E152" s="38">
        <v>938</v>
      </c>
      <c r="F152" s="38">
        <f t="shared" ca="1" si="0"/>
        <v>935.53200000000004</v>
      </c>
      <c r="G152" s="38">
        <f t="shared" ca="1" si="1"/>
        <v>967.76474999999994</v>
      </c>
      <c r="H152" s="20" t="str">
        <f t="shared" ca="1" si="2"/>
        <v>Valid</v>
      </c>
      <c r="I152" s="21">
        <f t="shared" si="3"/>
        <v>10946.46</v>
      </c>
      <c r="J152" s="44">
        <f t="shared" ca="1" si="11"/>
        <v>64756.91</v>
      </c>
      <c r="K152" s="14">
        <f ca="1">IFERROR(__xludf.DUMMYFUNCTION("iferror(index(GOOGLEFINANCE(B153,""all"",A153-10,A153+3),MATCH(A153+0.6458333333,index(GOOGLEFINANCE(B153,""all"",A153-10,A153+3),,1)),),"""")"),45436.6458333333)</f>
        <v>45436.645833333299</v>
      </c>
      <c r="L152" s="15">
        <f ca="1">IFERROR(__xludf.DUMMYFUNCTION("""COMPUTED_VALUE"""),945)</f>
        <v>945</v>
      </c>
      <c r="M152" s="15">
        <f ca="1">IFERROR(__xludf.DUMMYFUNCTION("""COMPUTED_VALUE"""),962.95)</f>
        <v>962.95</v>
      </c>
      <c r="N152" s="15">
        <f ca="1">IFERROR(__xludf.DUMMYFUNCTION("""COMPUTED_VALUE"""),936)</f>
        <v>936</v>
      </c>
      <c r="O152" s="15">
        <f ca="1">IFERROR(__xludf.DUMMYFUNCTION("""COMPUTED_VALUE"""),940.15)</f>
        <v>940.15</v>
      </c>
      <c r="P152" s="15">
        <f ca="1">IFERROR(__xludf.DUMMYFUNCTION("""COMPUTED_VALUE"""),451156)</f>
        <v>451156</v>
      </c>
      <c r="Q152" s="15">
        <f t="shared" si="5"/>
        <v>-11.67</v>
      </c>
      <c r="R152" s="15">
        <f t="shared" si="6"/>
        <v>10946.46</v>
      </c>
      <c r="S152" s="16">
        <f t="shared" si="7"/>
        <v>45436</v>
      </c>
      <c r="T152" s="29"/>
      <c r="U152" s="18"/>
      <c r="V152" s="18"/>
      <c r="W152" s="18"/>
    </row>
    <row r="153" spans="1:23" ht="15.75">
      <c r="A153" s="35">
        <v>45436</v>
      </c>
      <c r="B153" s="36" t="s">
        <v>75</v>
      </c>
      <c r="C153" s="36" t="s">
        <v>1</v>
      </c>
      <c r="D153" s="37">
        <v>10.69</v>
      </c>
      <c r="E153" s="38">
        <v>464</v>
      </c>
      <c r="F153" s="38">
        <f t="shared" ca="1" si="0"/>
        <v>461.76900000000001</v>
      </c>
      <c r="G153" s="38">
        <f t="shared" ca="1" si="1"/>
        <v>472.85249999999996</v>
      </c>
      <c r="H153" s="20" t="str">
        <f t="shared" ca="1" si="2"/>
        <v>Valid</v>
      </c>
      <c r="I153" s="21">
        <f t="shared" si="3"/>
        <v>4960.16</v>
      </c>
      <c r="J153" s="44">
        <f t="shared" ca="1" si="11"/>
        <v>69717.070000000007</v>
      </c>
      <c r="K153" s="14">
        <f ca="1">IFERROR(__xludf.DUMMYFUNCTION("iferror(index(GOOGLEFINANCE(B154,""all"",A154-10,A154+3),MATCH(A154+0.6458333333,index(GOOGLEFINANCE(B154,""all"",A154-10,A154+3),,1)),),"""")"),45436.6458333333)</f>
        <v>45436.645833333299</v>
      </c>
      <c r="L153" s="15">
        <f ca="1">IFERROR(__xludf.DUMMYFUNCTION("""COMPUTED_VALUE"""),467)</f>
        <v>467</v>
      </c>
      <c r="M153" s="15">
        <f ca="1">IFERROR(__xludf.DUMMYFUNCTION("""COMPUTED_VALUE"""),470.5)</f>
        <v>470.5</v>
      </c>
      <c r="N153" s="15">
        <f ca="1">IFERROR(__xludf.DUMMYFUNCTION("""COMPUTED_VALUE"""),462)</f>
        <v>462</v>
      </c>
      <c r="O153" s="15">
        <f ca="1">IFERROR(__xludf.DUMMYFUNCTION("""COMPUTED_VALUE"""),463.65)</f>
        <v>463.65</v>
      </c>
      <c r="P153" s="15">
        <f ca="1">IFERROR(__xludf.DUMMYFUNCTION("""COMPUTED_VALUE"""),4102763)</f>
        <v>4102763</v>
      </c>
      <c r="Q153" s="15">
        <f t="shared" si="5"/>
        <v>-10.69</v>
      </c>
      <c r="R153" s="15">
        <f t="shared" si="6"/>
        <v>4960.16</v>
      </c>
      <c r="S153" s="16">
        <f t="shared" si="7"/>
        <v>45436</v>
      </c>
      <c r="T153" s="29"/>
      <c r="U153" s="18"/>
      <c r="V153" s="18"/>
      <c r="W153" s="18"/>
    </row>
    <row r="154" spans="1:23" ht="15.75">
      <c r="A154" s="35">
        <v>45439</v>
      </c>
      <c r="B154" s="36" t="s">
        <v>94</v>
      </c>
      <c r="C154" s="36" t="s">
        <v>0</v>
      </c>
      <c r="D154" s="37">
        <v>0.87</v>
      </c>
      <c r="E154" s="38">
        <v>10262.200000000001</v>
      </c>
      <c r="F154" s="38">
        <f t="shared" ca="1" si="0"/>
        <v>10172.561175000001</v>
      </c>
      <c r="G154" s="38">
        <f t="shared" ca="1" si="1"/>
        <v>10405.71975</v>
      </c>
      <c r="H154" s="20" t="str">
        <f t="shared" ca="1" si="2"/>
        <v>Valid</v>
      </c>
      <c r="I154" s="21">
        <f t="shared" si="3"/>
        <v>8928.1140000000014</v>
      </c>
      <c r="J154" s="44">
        <f t="shared" ca="1" si="11"/>
        <v>60788.959999999999</v>
      </c>
      <c r="K154" s="14">
        <f ca="1">IFERROR(__xludf.DUMMYFUNCTION("iferror(index(GOOGLEFINANCE(B155,""all"",A155-10,A155+3),MATCH(A155+0.6458333333,index(GOOGLEFINANCE(B155,""all"",A155-10,A155+3),,1)),),"""")"),45439.6458333333)</f>
        <v>45439.645833333299</v>
      </c>
      <c r="L154" s="15">
        <f ca="1">IFERROR(__xludf.DUMMYFUNCTION("""COMPUTED_VALUE"""),10277.95)</f>
        <v>10277.950000000001</v>
      </c>
      <c r="M154" s="15">
        <f ca="1">IFERROR(__xludf.DUMMYFUNCTION("""COMPUTED_VALUE"""),10353.95)</f>
        <v>10353.950000000001</v>
      </c>
      <c r="N154" s="15">
        <f ca="1">IFERROR(__xludf.DUMMYFUNCTION("""COMPUTED_VALUE"""),10177.65)</f>
        <v>10177.65</v>
      </c>
      <c r="O154" s="15">
        <f ca="1">IFERROR(__xludf.DUMMYFUNCTION("""COMPUTED_VALUE"""),10225.5)</f>
        <v>10225.5</v>
      </c>
      <c r="P154" s="15">
        <f ca="1">IFERROR(__xludf.DUMMYFUNCTION("""COMPUTED_VALUE"""),389326)</f>
        <v>389326</v>
      </c>
      <c r="Q154" s="15">
        <f t="shared" si="5"/>
        <v>0.87</v>
      </c>
      <c r="R154" s="15">
        <f t="shared" si="6"/>
        <v>-8928.1140000000014</v>
      </c>
      <c r="S154" s="16">
        <f t="shared" si="7"/>
        <v>45439</v>
      </c>
      <c r="T154" s="29"/>
      <c r="U154" s="18"/>
      <c r="V154" s="18"/>
      <c r="W154" s="18"/>
    </row>
    <row r="155" spans="1:23" ht="15.75">
      <c r="A155" s="35">
        <v>45439</v>
      </c>
      <c r="B155" s="36" t="s">
        <v>95</v>
      </c>
      <c r="C155" s="36" t="s">
        <v>0</v>
      </c>
      <c r="D155" s="37">
        <v>0.7</v>
      </c>
      <c r="E155" s="38">
        <v>12960</v>
      </c>
      <c r="F155" s="38">
        <f t="shared" ca="1" si="0"/>
        <v>12770.611500000001</v>
      </c>
      <c r="G155" s="38">
        <f t="shared" ca="1" si="1"/>
        <v>13123.792499999998</v>
      </c>
      <c r="H155" s="20" t="str">
        <f t="shared" ca="1" si="2"/>
        <v>Valid</v>
      </c>
      <c r="I155" s="21">
        <f t="shared" si="3"/>
        <v>9072</v>
      </c>
      <c r="J155" s="44">
        <f t="shared" ca="1" si="11"/>
        <v>51716.959999999999</v>
      </c>
      <c r="K155" s="14">
        <f ca="1">IFERROR(__xludf.DUMMYFUNCTION("iferror(index(GOOGLEFINANCE(B156,""all"",A156-10,A156+3),MATCH(A156+0.6458333333,index(GOOGLEFINANCE(B156,""all"",A156-10,A156+3),,1)),),"""")"),45439.6458333333)</f>
        <v>45439.645833333299</v>
      </c>
      <c r="L155" s="15">
        <f ca="1">IFERROR(__xludf.DUMMYFUNCTION("""COMPUTED_VALUE"""),13023.45)</f>
        <v>13023.45</v>
      </c>
      <c r="M155" s="15">
        <f ca="1">IFERROR(__xludf.DUMMYFUNCTION("""COMPUTED_VALUE"""),13058.5)</f>
        <v>13058.5</v>
      </c>
      <c r="N155" s="15">
        <f ca="1">IFERROR(__xludf.DUMMYFUNCTION("""COMPUTED_VALUE"""),12777)</f>
        <v>12777</v>
      </c>
      <c r="O155" s="15">
        <f ca="1">IFERROR(__xludf.DUMMYFUNCTION("""COMPUTED_VALUE"""),12906.1)</f>
        <v>12906.1</v>
      </c>
      <c r="P155" s="15">
        <f ca="1">IFERROR(__xludf.DUMMYFUNCTION("""COMPUTED_VALUE"""),464953)</f>
        <v>464953</v>
      </c>
      <c r="Q155" s="15">
        <f t="shared" si="5"/>
        <v>0.7</v>
      </c>
      <c r="R155" s="15">
        <f t="shared" si="6"/>
        <v>-9072</v>
      </c>
      <c r="S155" s="16">
        <f t="shared" si="7"/>
        <v>45439</v>
      </c>
      <c r="T155" s="29"/>
      <c r="U155" s="18"/>
      <c r="V155" s="18"/>
      <c r="W155" s="18"/>
    </row>
    <row r="156" spans="1:23" ht="15.75">
      <c r="A156" s="35">
        <v>45439</v>
      </c>
      <c r="B156" s="36" t="s">
        <v>96</v>
      </c>
      <c r="C156" s="36" t="s">
        <v>0</v>
      </c>
      <c r="D156" s="37">
        <v>27.7</v>
      </c>
      <c r="E156" s="38">
        <v>221.75</v>
      </c>
      <c r="F156" s="38">
        <f t="shared" ca="1" si="0"/>
        <v>212.49370000000002</v>
      </c>
      <c r="G156" s="38">
        <f t="shared" ca="1" si="1"/>
        <v>229.44149999999999</v>
      </c>
      <c r="H156" s="20" t="str">
        <f t="shared" ca="1" si="2"/>
        <v>Valid</v>
      </c>
      <c r="I156" s="21">
        <f t="shared" si="3"/>
        <v>6142.4749999999995</v>
      </c>
      <c r="J156" s="44">
        <f t="shared" ca="1" si="11"/>
        <v>45574.49</v>
      </c>
      <c r="K156" s="14">
        <f ca="1">IFERROR(__xludf.DUMMYFUNCTION("iferror(index(GOOGLEFINANCE(B157,""all"",A157-10,A157+3),MATCH(A157+0.6458333333,index(GOOGLEFINANCE(B157,""all"",A157-10,A157+3),,1)),),"""")"),45439.6458333333)</f>
        <v>45439.645833333299</v>
      </c>
      <c r="L156" s="15">
        <f ca="1">IFERROR(__xludf.DUMMYFUNCTION("""COMPUTED_VALUE"""),216)</f>
        <v>216</v>
      </c>
      <c r="M156" s="15">
        <f ca="1">IFERROR(__xludf.DUMMYFUNCTION("""COMPUTED_VALUE"""),228.3)</f>
        <v>228.3</v>
      </c>
      <c r="N156" s="15">
        <f ca="1">IFERROR(__xludf.DUMMYFUNCTION("""COMPUTED_VALUE"""),212.6)</f>
        <v>212.6</v>
      </c>
      <c r="O156" s="15">
        <f ca="1">IFERROR(__xludf.DUMMYFUNCTION("""COMPUTED_VALUE"""),226.7)</f>
        <v>226.7</v>
      </c>
      <c r="P156" s="15">
        <f ca="1">IFERROR(__xludf.DUMMYFUNCTION("""COMPUTED_VALUE"""),82852947)</f>
        <v>82852947</v>
      </c>
      <c r="Q156" s="15">
        <f t="shared" si="5"/>
        <v>27.7</v>
      </c>
      <c r="R156" s="15">
        <f t="shared" si="6"/>
        <v>-6142.4749999999995</v>
      </c>
      <c r="S156" s="16">
        <f t="shared" si="7"/>
        <v>45439</v>
      </c>
      <c r="T156" s="29"/>
      <c r="U156" s="18"/>
      <c r="V156" s="18"/>
      <c r="W156" s="18"/>
    </row>
    <row r="157" spans="1:23" ht="15.75">
      <c r="A157" s="45">
        <v>45439</v>
      </c>
      <c r="B157" s="36" t="s">
        <v>21</v>
      </c>
      <c r="C157" s="36" t="s">
        <v>0</v>
      </c>
      <c r="D157" s="37">
        <v>0.28000000000000003</v>
      </c>
      <c r="E157" s="38">
        <v>26274</v>
      </c>
      <c r="F157" s="38">
        <f t="shared" ca="1" si="0"/>
        <v>26041.9725</v>
      </c>
      <c r="G157" s="38">
        <f t="shared" ca="1" si="1"/>
        <v>26687.774999999998</v>
      </c>
      <c r="H157" s="20" t="str">
        <f t="shared" ca="1" si="2"/>
        <v>Valid</v>
      </c>
      <c r="I157" s="21">
        <f t="shared" si="3"/>
        <v>7356.72</v>
      </c>
      <c r="J157" s="44">
        <f t="shared" ca="1" si="11"/>
        <v>38217.769999999997</v>
      </c>
      <c r="K157" s="14">
        <f ca="1">IFERROR(__xludf.DUMMYFUNCTION("iferror(index(GOOGLEFINANCE(B158,""all"",A158-10,A158+3),MATCH(A158+0.6458333333,index(GOOGLEFINANCE(B158,""all"",A158-10,A158+3),,1)),),"""")"),45439.6458333333)</f>
        <v>45439.645833333299</v>
      </c>
      <c r="L157" s="15">
        <f ca="1">IFERROR(__xludf.DUMMYFUNCTION("""COMPUTED_VALUE"""),26480)</f>
        <v>26480</v>
      </c>
      <c r="M157" s="15">
        <f ca="1">IFERROR(__xludf.DUMMYFUNCTION("""COMPUTED_VALUE"""),26555)</f>
        <v>26555</v>
      </c>
      <c r="N157" s="15">
        <f ca="1">IFERROR(__xludf.DUMMYFUNCTION("""COMPUTED_VALUE"""),26055)</f>
        <v>26055</v>
      </c>
      <c r="O157" s="15">
        <f ca="1">IFERROR(__xludf.DUMMYFUNCTION("""COMPUTED_VALUE"""),26244.15)</f>
        <v>26244.15</v>
      </c>
      <c r="P157" s="15">
        <f ca="1">IFERROR(__xludf.DUMMYFUNCTION("""COMPUTED_VALUE"""),10065)</f>
        <v>10065</v>
      </c>
      <c r="Q157" s="15">
        <f t="shared" si="5"/>
        <v>0.28000000000000003</v>
      </c>
      <c r="R157" s="15">
        <f t="shared" si="6"/>
        <v>-7356.72</v>
      </c>
      <c r="S157" s="16">
        <f t="shared" si="7"/>
        <v>45439</v>
      </c>
      <c r="T157" s="29"/>
      <c r="U157" s="18"/>
      <c r="V157" s="18"/>
      <c r="W157" s="18"/>
    </row>
    <row r="158" spans="1:23" ht="15.75">
      <c r="A158" s="35">
        <v>45439</v>
      </c>
      <c r="B158" s="36" t="s">
        <v>97</v>
      </c>
      <c r="C158" s="36" t="s">
        <v>0</v>
      </c>
      <c r="D158" s="37">
        <v>9.58</v>
      </c>
      <c r="E158" s="38">
        <v>837</v>
      </c>
      <c r="F158" s="38">
        <f t="shared" ca="1" si="0"/>
        <v>822.58850000000007</v>
      </c>
      <c r="G158" s="38">
        <f t="shared" ca="1" si="1"/>
        <v>843.59699999999987</v>
      </c>
      <c r="H158" s="20" t="str">
        <f t="shared" ca="1" si="2"/>
        <v>Valid</v>
      </c>
      <c r="I158" s="21">
        <f t="shared" si="3"/>
        <v>8018.46</v>
      </c>
      <c r="J158" s="44">
        <f t="shared" ca="1" si="11"/>
        <v>30199.31</v>
      </c>
      <c r="K158" s="14">
        <f ca="1">IFERROR(__xludf.DUMMYFUNCTION("iferror(index(GOOGLEFINANCE(B159,""all"",A159-10,A159+3),MATCH(A159+0.6458333333,index(GOOGLEFINANCE(B159,""all"",A159-10,A159+3),,1)),),"""")"),45439.6458333333)</f>
        <v>45439.645833333299</v>
      </c>
      <c r="L158" s="15">
        <f ca="1">IFERROR(__xludf.DUMMYFUNCTION("""COMPUTED_VALUE"""),832.6)</f>
        <v>832.6</v>
      </c>
      <c r="M158" s="15">
        <f ca="1">IFERROR(__xludf.DUMMYFUNCTION("""COMPUTED_VALUE"""),839.4)</f>
        <v>839.4</v>
      </c>
      <c r="N158" s="15">
        <f ca="1">IFERROR(__xludf.DUMMYFUNCTION("""COMPUTED_VALUE"""),823)</f>
        <v>823</v>
      </c>
      <c r="O158" s="15">
        <f ca="1">IFERROR(__xludf.DUMMYFUNCTION("""COMPUTED_VALUE"""),833.7)</f>
        <v>833.7</v>
      </c>
      <c r="P158" s="15">
        <f ca="1">IFERROR(__xludf.DUMMYFUNCTION("""COMPUTED_VALUE"""),12295193)</f>
        <v>12295193</v>
      </c>
      <c r="Q158" s="15">
        <f t="shared" si="5"/>
        <v>9.58</v>
      </c>
      <c r="R158" s="15">
        <f t="shared" si="6"/>
        <v>-8018.46</v>
      </c>
      <c r="S158" s="16">
        <f t="shared" si="7"/>
        <v>45439</v>
      </c>
      <c r="T158" s="29"/>
      <c r="U158" s="18"/>
      <c r="V158" s="18"/>
      <c r="W158" s="18"/>
    </row>
    <row r="159" spans="1:23" ht="15.75">
      <c r="A159" s="35">
        <v>45488</v>
      </c>
      <c r="B159" s="36" t="s">
        <v>95</v>
      </c>
      <c r="C159" s="36" t="s">
        <v>0</v>
      </c>
      <c r="D159" s="37">
        <v>1.08</v>
      </c>
      <c r="E159" s="22">
        <v>12685</v>
      </c>
      <c r="F159" s="38">
        <f t="shared" ca="1" si="0"/>
        <v>12583.705</v>
      </c>
      <c r="G159" s="38">
        <f t="shared" ca="1" si="1"/>
        <v>12832.342499999999</v>
      </c>
      <c r="H159" s="20" t="str">
        <f t="shared" ca="1" si="2"/>
        <v>Valid</v>
      </c>
      <c r="I159" s="21">
        <f t="shared" si="3"/>
        <v>13699.800000000001</v>
      </c>
      <c r="J159" s="44">
        <f t="shared" ca="1" si="11"/>
        <v>16499.509999999998</v>
      </c>
      <c r="K159" s="14">
        <f ca="1">IFERROR(__xludf.DUMMYFUNCTION("iferror(index(GOOGLEFINANCE(B160,""all"",A160-10,A160+3),MATCH(A160+0.6458333333,index(GOOGLEFINANCE(B160,""all"",A160-10,A160+3),,1)),),"""")"),45488.6458333333)</f>
        <v>45488.645833333299</v>
      </c>
      <c r="L159" s="15">
        <f ca="1">IFERROR(__xludf.DUMMYFUNCTION("""COMPUTED_VALUE"""),12600)</f>
        <v>12600</v>
      </c>
      <c r="M159" s="15">
        <f ca="1">IFERROR(__xludf.DUMMYFUNCTION("""COMPUTED_VALUE"""),12768.5)</f>
        <v>12768.5</v>
      </c>
      <c r="N159" s="15">
        <f ca="1">IFERROR(__xludf.DUMMYFUNCTION("""COMPUTED_VALUE"""),12590)</f>
        <v>12590</v>
      </c>
      <c r="O159" s="15">
        <f ca="1">IFERROR(__xludf.DUMMYFUNCTION("""COMPUTED_VALUE"""),12643.95)</f>
        <v>12643.95</v>
      </c>
      <c r="P159" s="15">
        <f ca="1">IFERROR(__xludf.DUMMYFUNCTION("""COMPUTED_VALUE"""),697186)</f>
        <v>697186</v>
      </c>
      <c r="Q159" s="15">
        <f t="shared" si="5"/>
        <v>1.08</v>
      </c>
      <c r="R159" s="15">
        <f t="shared" si="6"/>
        <v>-13699.800000000001</v>
      </c>
      <c r="S159" s="16">
        <f t="shared" si="7"/>
        <v>45488</v>
      </c>
      <c r="T159" s="29"/>
      <c r="U159" s="18"/>
      <c r="V159" s="18"/>
      <c r="W159" s="18"/>
    </row>
    <row r="160" spans="1:23" ht="15.75">
      <c r="A160" s="35">
        <v>45488</v>
      </c>
      <c r="B160" s="36" t="s">
        <v>97</v>
      </c>
      <c r="C160" s="36" t="s">
        <v>0</v>
      </c>
      <c r="D160" s="37">
        <v>7.73</v>
      </c>
      <c r="E160" s="22">
        <v>867</v>
      </c>
      <c r="F160" s="38">
        <f t="shared" ca="1" si="0"/>
        <v>859.27015000000006</v>
      </c>
      <c r="G160" s="38">
        <f t="shared" ca="1" si="1"/>
        <v>891.78674999999998</v>
      </c>
      <c r="H160" s="20" t="str">
        <f t="shared" ca="1" si="2"/>
        <v>Valid</v>
      </c>
      <c r="I160" s="21">
        <f t="shared" si="3"/>
        <v>6701.9100000000008</v>
      </c>
      <c r="J160" s="44">
        <f t="shared" ca="1" si="11"/>
        <v>9797.6</v>
      </c>
      <c r="K160" s="14">
        <f ca="1">IFERROR(__xludf.DUMMYFUNCTION("iferror(index(GOOGLEFINANCE(B161,""all"",A161-10,A161+3),MATCH(A161+0.6458333333,index(GOOGLEFINANCE(B161,""all"",A161-10,A161+3),,1)),),"""")"),45488.6458333333)</f>
        <v>45488.645833333299</v>
      </c>
      <c r="L160" s="15">
        <f ca="1">IFERROR(__xludf.DUMMYFUNCTION("""COMPUTED_VALUE"""),859.7)</f>
        <v>859.7</v>
      </c>
      <c r="M160" s="15">
        <f ca="1">IFERROR(__xludf.DUMMYFUNCTION("""COMPUTED_VALUE"""),887.35)</f>
        <v>887.35</v>
      </c>
      <c r="N160" s="15">
        <f ca="1">IFERROR(__xludf.DUMMYFUNCTION("""COMPUTED_VALUE"""),859.7)</f>
        <v>859.7</v>
      </c>
      <c r="O160" s="15">
        <f ca="1">IFERROR(__xludf.DUMMYFUNCTION("""COMPUTED_VALUE"""),881.35)</f>
        <v>881.35</v>
      </c>
      <c r="P160" s="15">
        <f ca="1">IFERROR(__xludf.DUMMYFUNCTION("""COMPUTED_VALUE"""),25392820)</f>
        <v>25392820</v>
      </c>
      <c r="Q160" s="15">
        <f t="shared" si="5"/>
        <v>7.73</v>
      </c>
      <c r="R160" s="15">
        <f t="shared" si="6"/>
        <v>-6701.9100000000008</v>
      </c>
      <c r="S160" s="16">
        <f t="shared" si="7"/>
        <v>45488</v>
      </c>
      <c r="T160" s="29"/>
      <c r="U160" s="18"/>
      <c r="V160" s="18"/>
      <c r="W160" s="18"/>
    </row>
    <row r="161" spans="1:23" ht="15.75">
      <c r="A161" s="35">
        <v>45488</v>
      </c>
      <c r="B161" s="36" t="s">
        <v>94</v>
      </c>
      <c r="C161" s="36" t="s">
        <v>0</v>
      </c>
      <c r="D161" s="37">
        <v>1.05</v>
      </c>
      <c r="E161" s="22">
        <v>11750</v>
      </c>
      <c r="F161" s="38">
        <f t="shared" ca="1" si="0"/>
        <v>11656.06905</v>
      </c>
      <c r="G161" s="38">
        <f t="shared" ca="1" si="1"/>
        <v>11957.489999999998</v>
      </c>
      <c r="H161" s="20" t="str">
        <f t="shared" ca="1" si="2"/>
        <v>Valid</v>
      </c>
      <c r="I161" s="21">
        <f t="shared" si="3"/>
        <v>12337.5</v>
      </c>
      <c r="J161" s="44">
        <f t="shared" ca="1" si="11"/>
        <v>-2539.9</v>
      </c>
      <c r="K161" s="14">
        <f ca="1">IFERROR(__xludf.DUMMYFUNCTION("iferror(index(GOOGLEFINANCE(B162,""all"",A162-10,A162+3),MATCH(A162+0.6458333333,index(GOOGLEFINANCE(B162,""all"",A162-10,A162+3),,1)),),"""")"),45488.6458333333)</f>
        <v>45488.645833333299</v>
      </c>
      <c r="L161" s="15">
        <f ca="1">IFERROR(__xludf.DUMMYFUNCTION("""COMPUTED_VALUE"""),11752.9)</f>
        <v>11752.9</v>
      </c>
      <c r="M161" s="15">
        <f ca="1">IFERROR(__xludf.DUMMYFUNCTION("""COMPUTED_VALUE"""),11898)</f>
        <v>11898</v>
      </c>
      <c r="N161" s="15">
        <f ca="1">IFERROR(__xludf.DUMMYFUNCTION("""COMPUTED_VALUE"""),11661.9)</f>
        <v>11661.9</v>
      </c>
      <c r="O161" s="15">
        <f ca="1">IFERROR(__xludf.DUMMYFUNCTION("""COMPUTED_VALUE"""),11833.65)</f>
        <v>11833.65</v>
      </c>
      <c r="P161" s="15">
        <f ca="1">IFERROR(__xludf.DUMMYFUNCTION("""COMPUTED_VALUE"""),394470)</f>
        <v>394470</v>
      </c>
      <c r="Q161" s="15">
        <f t="shared" si="5"/>
        <v>1.05</v>
      </c>
      <c r="R161" s="15">
        <f t="shared" si="6"/>
        <v>-12337.5</v>
      </c>
      <c r="S161" s="16">
        <f t="shared" si="7"/>
        <v>45488</v>
      </c>
      <c r="T161" s="29"/>
      <c r="U161" s="18"/>
      <c r="V161" s="18"/>
      <c r="W161" s="18"/>
    </row>
    <row r="162" spans="1:23" ht="15.75">
      <c r="A162" s="35">
        <v>45488</v>
      </c>
      <c r="B162" s="36" t="s">
        <v>87</v>
      </c>
      <c r="C162" s="36" t="s">
        <v>1</v>
      </c>
      <c r="D162" s="46">
        <v>1.76</v>
      </c>
      <c r="E162" s="27">
        <v>1590</v>
      </c>
      <c r="F162" s="38">
        <f t="shared" ca="1" si="0"/>
        <v>1566.6163000000001</v>
      </c>
      <c r="G162" s="38">
        <f t="shared" ca="1" si="1"/>
        <v>1644.5819999999999</v>
      </c>
      <c r="H162" s="20" t="str">
        <f t="shared" ca="1" si="2"/>
        <v>Valid</v>
      </c>
      <c r="I162" s="21">
        <f t="shared" si="3"/>
        <v>2798.4</v>
      </c>
      <c r="J162" s="44">
        <f t="shared" ca="1" si="11"/>
        <v>258.5</v>
      </c>
      <c r="K162" s="14">
        <f ca="1">IFERROR(__xludf.DUMMYFUNCTION("iferror(index(GOOGLEFINANCE(B163,""all"",A163-10,A163+3),MATCH(A163+0.6458333333,index(GOOGLEFINANCE(B163,""all"",A163-10,A163+3),,1)),),"""")"),45488.6458333333)</f>
        <v>45488.645833333299</v>
      </c>
      <c r="L162" s="15">
        <f ca="1">IFERROR(__xludf.DUMMYFUNCTION("""COMPUTED_VALUE"""),1580)</f>
        <v>1580</v>
      </c>
      <c r="M162" s="15">
        <f ca="1">IFERROR(__xludf.DUMMYFUNCTION("""COMPUTED_VALUE"""),1636.4)</f>
        <v>1636.4</v>
      </c>
      <c r="N162" s="15">
        <f ca="1">IFERROR(__xludf.DUMMYFUNCTION("""COMPUTED_VALUE"""),1567.4)</f>
        <v>1567.4</v>
      </c>
      <c r="O162" s="15">
        <f ca="1">IFERROR(__xludf.DUMMYFUNCTION("""COMPUTED_VALUE"""),1569.6)</f>
        <v>1569.6</v>
      </c>
      <c r="P162" s="15">
        <f ca="1">IFERROR(__xludf.DUMMYFUNCTION("""COMPUTED_VALUE"""),10337489)</f>
        <v>10337489</v>
      </c>
      <c r="Q162" s="47">
        <f t="shared" si="5"/>
        <v>-1.76</v>
      </c>
      <c r="R162" s="15">
        <f t="shared" si="6"/>
        <v>2798.4</v>
      </c>
      <c r="S162" s="16">
        <f t="shared" si="7"/>
        <v>45488</v>
      </c>
      <c r="T162" s="29"/>
      <c r="U162" s="18"/>
      <c r="V162" s="18"/>
      <c r="W162" s="18"/>
    </row>
    <row r="163" spans="1:23" ht="15.75">
      <c r="A163" s="35">
        <v>45488</v>
      </c>
      <c r="B163" s="36" t="s">
        <v>75</v>
      </c>
      <c r="C163" s="36" t="s">
        <v>1</v>
      </c>
      <c r="D163" s="37">
        <v>8.39</v>
      </c>
      <c r="E163" s="27">
        <v>556</v>
      </c>
      <c r="F163" s="38">
        <f t="shared" ca="1" si="0"/>
        <v>555.87192500000003</v>
      </c>
      <c r="G163" s="38">
        <f t="shared" ca="1" si="1"/>
        <v>569.73449999999991</v>
      </c>
      <c r="H163" s="20" t="str">
        <f t="shared" ca="1" si="2"/>
        <v>Valid</v>
      </c>
      <c r="I163" s="21">
        <f t="shared" si="3"/>
        <v>4664.84</v>
      </c>
      <c r="J163" s="44">
        <f t="shared" ref="J163:J176" ca="1" si="12">IF(A163="","",ROUND(
IF(ROW(A163)-ROW($A$1)=1,I_ST_CASH,OFFSET(J163,-1,0))
+(IF(C163="Buy",-1,IF(C163="Sell",1,0))*I163)
+(IF(C163="Cash Deposit",1,IF(C163="Cash Withdrawal",-1,0))*I163)
+(IF(C163="Cash Dividend",1,IF(C163="Fees",-1,0))*I163),2))</f>
        <v>4923.34</v>
      </c>
      <c r="K163" s="14">
        <f ca="1">IFERROR(__xludf.DUMMYFUNCTION("iferror(index(GOOGLEFINANCE(B164,""all"",A164-10,A164+3),MATCH(A164+0.6458333333,index(GOOGLEFINANCE(B164,""all"",A164-10,A164+3),,1)),),"""")"),45488.6458333333)</f>
        <v>45488.645833333299</v>
      </c>
      <c r="L163" s="15">
        <f ca="1">IFERROR(__xludf.DUMMYFUNCTION("""COMPUTED_VALUE"""),566.9)</f>
        <v>566.9</v>
      </c>
      <c r="M163" s="15">
        <f ca="1">IFERROR(__xludf.DUMMYFUNCTION("""COMPUTED_VALUE"""),566.9)</f>
        <v>566.9</v>
      </c>
      <c r="N163" s="15">
        <f ca="1">IFERROR(__xludf.DUMMYFUNCTION("""COMPUTED_VALUE"""),556.15)</f>
        <v>556.15</v>
      </c>
      <c r="O163" s="15">
        <f ca="1">IFERROR(__xludf.DUMMYFUNCTION("""COMPUTED_VALUE"""),559.7)</f>
        <v>559.70000000000005</v>
      </c>
      <c r="P163" s="15">
        <f ca="1">IFERROR(__xludf.DUMMYFUNCTION("""COMPUTED_VALUE"""),8049739)</f>
        <v>8049739</v>
      </c>
      <c r="Q163" s="15">
        <f t="shared" si="5"/>
        <v>-8.39</v>
      </c>
      <c r="R163" s="15">
        <f t="shared" si="6"/>
        <v>4664.84</v>
      </c>
      <c r="S163" s="16">
        <f t="shared" si="7"/>
        <v>45488</v>
      </c>
      <c r="T163" s="29"/>
      <c r="U163" s="18"/>
      <c r="V163" s="18"/>
      <c r="W163" s="18"/>
    </row>
    <row r="164" spans="1:23" ht="15.75">
      <c r="A164" s="35">
        <v>45488</v>
      </c>
      <c r="B164" s="36" t="s">
        <v>21</v>
      </c>
      <c r="C164" s="36" t="s">
        <v>0</v>
      </c>
      <c r="D164" s="37">
        <v>0.4</v>
      </c>
      <c r="E164" s="22">
        <v>28200</v>
      </c>
      <c r="F164" s="38">
        <f t="shared" ca="1" si="0"/>
        <v>27602.192000000003</v>
      </c>
      <c r="G164" s="38">
        <f t="shared" ca="1" si="1"/>
        <v>28893.749999999996</v>
      </c>
      <c r="H164" s="20" t="str">
        <f t="shared" ca="1" si="2"/>
        <v>Valid</v>
      </c>
      <c r="I164" s="21">
        <f t="shared" si="3"/>
        <v>11280</v>
      </c>
      <c r="J164" s="44">
        <f t="shared" ca="1" si="12"/>
        <v>-6356.66</v>
      </c>
      <c r="K164" s="14">
        <f ca="1">IFERROR(__xludf.DUMMYFUNCTION("iferror(index(GOOGLEFINANCE(B165,""all"",A165-10,A165+3),MATCH(A165+0.6458333333,index(GOOGLEFINANCE(B165,""all"",A165-10,A165+3),,1)),),"""")"),45488.6458333333)</f>
        <v>45488.645833333299</v>
      </c>
      <c r="L164" s="15">
        <f ca="1">IFERROR(__xludf.DUMMYFUNCTION("""COMPUTED_VALUE"""),27900)</f>
        <v>27900</v>
      </c>
      <c r="M164" s="15">
        <f ca="1">IFERROR(__xludf.DUMMYFUNCTION("""COMPUTED_VALUE"""),28750)</f>
        <v>28750</v>
      </c>
      <c r="N164" s="15">
        <f ca="1">IFERROR(__xludf.DUMMYFUNCTION("""COMPUTED_VALUE"""),27616)</f>
        <v>27616</v>
      </c>
      <c r="O164" s="15">
        <f ca="1">IFERROR(__xludf.DUMMYFUNCTION("""COMPUTED_VALUE"""),28596.8)</f>
        <v>28596.799999999999</v>
      </c>
      <c r="P164" s="15">
        <f ca="1">IFERROR(__xludf.DUMMYFUNCTION("""COMPUTED_VALUE"""),30368)</f>
        <v>30368</v>
      </c>
      <c r="Q164" s="15">
        <f t="shared" si="5"/>
        <v>0.4</v>
      </c>
      <c r="R164" s="15">
        <f t="shared" si="6"/>
        <v>-11280</v>
      </c>
      <c r="S164" s="16">
        <f t="shared" si="7"/>
        <v>45488</v>
      </c>
      <c r="T164" s="29"/>
      <c r="U164" s="18"/>
      <c r="V164" s="18"/>
      <c r="W164" s="18"/>
    </row>
    <row r="165" spans="1:23" ht="15.75">
      <c r="A165" s="35">
        <v>45488</v>
      </c>
      <c r="B165" s="36" t="s">
        <v>96</v>
      </c>
      <c r="C165" s="36" t="s">
        <v>0</v>
      </c>
      <c r="D165" s="37">
        <v>39.15</v>
      </c>
      <c r="E165" s="22">
        <v>226</v>
      </c>
      <c r="F165" s="38">
        <f t="shared" ca="1" si="0"/>
        <v>223.28830000000002</v>
      </c>
      <c r="G165" s="38">
        <f t="shared" ca="1" si="1"/>
        <v>229.83344999999997</v>
      </c>
      <c r="H165" s="20" t="str">
        <f t="shared" ca="1" si="2"/>
        <v>Valid</v>
      </c>
      <c r="I165" s="21">
        <f t="shared" si="3"/>
        <v>8847.9</v>
      </c>
      <c r="J165" s="44">
        <f t="shared" ca="1" si="12"/>
        <v>-15204.56</v>
      </c>
      <c r="K165" s="14">
        <f ca="1">IFERROR(__xludf.DUMMYFUNCTION("iferror(index(GOOGLEFINANCE(B166,""all"",A166-10,A166+3),MATCH(A166+0.6458333333,index(GOOGLEFINANCE(B166,""all"",A166-10,A166+3),,1)),),"""")"),45488.6458333333)</f>
        <v>45488.645833333299</v>
      </c>
      <c r="L165" s="15">
        <f ca="1">IFERROR(__xludf.DUMMYFUNCTION("""COMPUTED_VALUE"""),225)</f>
        <v>225</v>
      </c>
      <c r="M165" s="15">
        <f ca="1">IFERROR(__xludf.DUMMYFUNCTION("""COMPUTED_VALUE"""),228.69)</f>
        <v>228.69</v>
      </c>
      <c r="N165" s="15">
        <f ca="1">IFERROR(__xludf.DUMMYFUNCTION("""COMPUTED_VALUE"""),223.4)</f>
        <v>223.4</v>
      </c>
      <c r="O165" s="15">
        <f ca="1">IFERROR(__xludf.DUMMYFUNCTION("""COMPUTED_VALUE"""),228.2)</f>
        <v>228.2</v>
      </c>
      <c r="P165" s="15">
        <f ca="1">IFERROR(__xludf.DUMMYFUNCTION("""COMPUTED_VALUE"""),11695271)</f>
        <v>11695271</v>
      </c>
      <c r="Q165" s="15">
        <f t="shared" si="5"/>
        <v>39.15</v>
      </c>
      <c r="R165" s="15">
        <f t="shared" si="6"/>
        <v>-8847.9</v>
      </c>
      <c r="S165" s="16">
        <f t="shared" si="7"/>
        <v>45488</v>
      </c>
      <c r="T165" s="29"/>
      <c r="U165" s="18"/>
      <c r="V165" s="18"/>
      <c r="W165" s="18"/>
    </row>
    <row r="166" spans="1:23" ht="15.75">
      <c r="A166" s="35">
        <v>45488</v>
      </c>
      <c r="B166" s="36" t="s">
        <v>74</v>
      </c>
      <c r="C166" s="36" t="s">
        <v>1</v>
      </c>
      <c r="D166" s="37">
        <v>26.66</v>
      </c>
      <c r="E166" s="27">
        <v>75</v>
      </c>
      <c r="F166" s="38">
        <f t="shared" ca="1" si="0"/>
        <v>74.472745000000003</v>
      </c>
      <c r="G166" s="38">
        <f t="shared" ca="1" si="1"/>
        <v>76.400099999999995</v>
      </c>
      <c r="H166" s="20" t="str">
        <f t="shared" ca="1" si="2"/>
        <v>Valid</v>
      </c>
      <c r="I166" s="21">
        <f t="shared" si="3"/>
        <v>1999.5</v>
      </c>
      <c r="J166" s="44">
        <f t="shared" ca="1" si="12"/>
        <v>-13205.06</v>
      </c>
      <c r="K166" s="14">
        <f ca="1">IFERROR(__xludf.DUMMYFUNCTION("iferror(index(GOOGLEFINANCE(B167,""all"",A167-10,A167+3),MATCH(A167+0.6458333333,index(GOOGLEFINANCE(B167,""all"",A167-10,A167+3),,1)),),"""")"),45488.6458333333)</f>
        <v>45488.645833333299</v>
      </c>
      <c r="L166" s="15">
        <f ca="1">IFERROR(__xludf.DUMMYFUNCTION("""COMPUTED_VALUE"""),74.99)</f>
        <v>74.989999999999995</v>
      </c>
      <c r="M166" s="15">
        <f ca="1">IFERROR(__xludf.DUMMYFUNCTION("""COMPUTED_VALUE"""),76.02)</f>
        <v>76.02</v>
      </c>
      <c r="N166" s="15">
        <f ca="1">IFERROR(__xludf.DUMMYFUNCTION("""COMPUTED_VALUE"""),74.51)</f>
        <v>74.510000000000005</v>
      </c>
      <c r="O166" s="15">
        <f ca="1">IFERROR(__xludf.DUMMYFUNCTION("""COMPUTED_VALUE"""),75.75)</f>
        <v>75.75</v>
      </c>
      <c r="P166" s="15">
        <f ca="1">IFERROR(__xludf.DUMMYFUNCTION("""COMPUTED_VALUE"""),10940783)</f>
        <v>10940783</v>
      </c>
      <c r="Q166" s="15">
        <f t="shared" si="5"/>
        <v>-26.66</v>
      </c>
      <c r="R166" s="15">
        <f t="shared" si="6"/>
        <v>1999.5</v>
      </c>
      <c r="S166" s="16">
        <f t="shared" si="7"/>
        <v>45488</v>
      </c>
      <c r="T166" s="29"/>
      <c r="U166" s="18"/>
      <c r="V166" s="18"/>
      <c r="W166" s="18"/>
    </row>
    <row r="167" spans="1:23" ht="15.75">
      <c r="A167" s="35">
        <v>45488</v>
      </c>
      <c r="B167" s="36" t="s">
        <v>88</v>
      </c>
      <c r="C167" s="36" t="s">
        <v>1</v>
      </c>
      <c r="D167" s="37">
        <v>1.56</v>
      </c>
      <c r="E167" s="27">
        <v>2385</v>
      </c>
      <c r="F167" s="38">
        <f t="shared" ca="1" si="0"/>
        <v>2375.8115000000003</v>
      </c>
      <c r="G167" s="38">
        <f t="shared" ca="1" si="1"/>
        <v>2416.7234999999996</v>
      </c>
      <c r="H167" s="20" t="str">
        <f t="shared" ca="1" si="2"/>
        <v>Valid</v>
      </c>
      <c r="I167" s="21">
        <f t="shared" si="3"/>
        <v>3720.6</v>
      </c>
      <c r="J167" s="44">
        <f t="shared" ca="1" si="12"/>
        <v>-9484.4599999999991</v>
      </c>
      <c r="K167" s="14">
        <f ca="1">IFERROR(__xludf.DUMMYFUNCTION("iferror(index(GOOGLEFINANCE(B168,""all"",A168-10,A168+3),MATCH(A168+0.6458333333,index(GOOGLEFINANCE(B168,""all"",A168-10,A168+3),,1)),),"""")"),45488.6458333333)</f>
        <v>45488.645833333299</v>
      </c>
      <c r="L167" s="15">
        <f ca="1">IFERROR(__xludf.DUMMYFUNCTION("""COMPUTED_VALUE"""),2390.25)</f>
        <v>2390.25</v>
      </c>
      <c r="M167" s="15">
        <f ca="1">IFERROR(__xludf.DUMMYFUNCTION("""COMPUTED_VALUE"""),2404.7)</f>
        <v>2404.6999999999998</v>
      </c>
      <c r="N167" s="15">
        <f ca="1">IFERROR(__xludf.DUMMYFUNCTION("""COMPUTED_VALUE"""),2377)</f>
        <v>2377</v>
      </c>
      <c r="O167" s="15">
        <f ca="1">IFERROR(__xludf.DUMMYFUNCTION("""COMPUTED_VALUE"""),2395.7)</f>
        <v>2395.6999999999998</v>
      </c>
      <c r="P167" s="15">
        <f ca="1">IFERROR(__xludf.DUMMYFUNCTION("""COMPUTED_VALUE"""),305636)</f>
        <v>305636</v>
      </c>
      <c r="Q167" s="15">
        <f t="shared" si="5"/>
        <v>-1.56</v>
      </c>
      <c r="R167" s="15">
        <f t="shared" si="6"/>
        <v>3720.6</v>
      </c>
      <c r="S167" s="16">
        <f t="shared" si="7"/>
        <v>45488</v>
      </c>
      <c r="T167" s="29"/>
      <c r="U167" s="18"/>
      <c r="V167" s="18"/>
      <c r="W167" s="18"/>
    </row>
    <row r="168" spans="1:23" ht="15.75">
      <c r="A168" s="35">
        <v>45488</v>
      </c>
      <c r="B168" s="36" t="s">
        <v>84</v>
      </c>
      <c r="C168" s="36" t="s">
        <v>1</v>
      </c>
      <c r="D168" s="37">
        <v>218.75</v>
      </c>
      <c r="E168" s="27">
        <v>25</v>
      </c>
      <c r="F168" s="38">
        <f t="shared" ca="1" si="0"/>
        <v>25.087450000000004</v>
      </c>
      <c r="G168" s="38">
        <f t="shared" ca="1" si="1"/>
        <v>26.933999999999997</v>
      </c>
      <c r="H168" s="20" t="str">
        <f t="shared" ca="1" si="2"/>
        <v>Invalid</v>
      </c>
      <c r="I168" s="21">
        <f t="shared" si="3"/>
        <v>5468.75</v>
      </c>
      <c r="J168" s="44">
        <f t="shared" ca="1" si="12"/>
        <v>-4015.71</v>
      </c>
      <c r="K168" s="14">
        <f ca="1">IFERROR(__xludf.DUMMYFUNCTION("iferror(index(GOOGLEFINANCE(B169,""all"",A169-10,A169+3),MATCH(A169+0.6458333333,index(GOOGLEFINANCE(B169,""all"",A169-10,A169+3),,1)),),"""")"),45488.6458333333)</f>
        <v>45488.645833333299</v>
      </c>
      <c r="L168" s="15">
        <f ca="1">IFERROR(__xludf.DUMMYFUNCTION("""COMPUTED_VALUE"""),25.65)</f>
        <v>25.65</v>
      </c>
      <c r="M168" s="15">
        <f ca="1">IFERROR(__xludf.DUMMYFUNCTION("""COMPUTED_VALUE"""),26.8)</f>
        <v>26.8</v>
      </c>
      <c r="N168" s="15">
        <f ca="1">IFERROR(__xludf.DUMMYFUNCTION("""COMPUTED_VALUE"""),25.1)</f>
        <v>25.1</v>
      </c>
      <c r="O168" s="15">
        <f ca="1">IFERROR(__xludf.DUMMYFUNCTION("""COMPUTED_VALUE"""),26.38)</f>
        <v>26.38</v>
      </c>
      <c r="P168" s="15">
        <f ca="1">IFERROR(__xludf.DUMMYFUNCTION("""COMPUTED_VALUE"""),394428177)</f>
        <v>394428177</v>
      </c>
      <c r="Q168" s="15">
        <f t="shared" si="5"/>
        <v>-218.75</v>
      </c>
      <c r="R168" s="15">
        <f t="shared" si="6"/>
        <v>5468.75</v>
      </c>
      <c r="S168" s="16">
        <f t="shared" si="7"/>
        <v>45488</v>
      </c>
      <c r="T168" s="29"/>
      <c r="U168" s="18"/>
      <c r="V168" s="18"/>
      <c r="W168" s="18"/>
    </row>
    <row r="169" spans="1:23" ht="15.75">
      <c r="A169" s="35">
        <v>45488</v>
      </c>
      <c r="B169" s="36" t="s">
        <v>91</v>
      </c>
      <c r="C169" s="36" t="s">
        <v>0</v>
      </c>
      <c r="D169" s="37">
        <v>2.27</v>
      </c>
      <c r="E169" s="22">
        <v>972</v>
      </c>
      <c r="F169" s="38">
        <f t="shared" ca="1" si="0"/>
        <v>960.51950000000011</v>
      </c>
      <c r="G169" s="38">
        <f t="shared" ca="1" si="1"/>
        <v>991.78424999999993</v>
      </c>
      <c r="H169" s="20" t="str">
        <f t="shared" ca="1" si="2"/>
        <v>Valid</v>
      </c>
      <c r="I169" s="21">
        <f t="shared" si="3"/>
        <v>2206.44</v>
      </c>
      <c r="J169" s="44">
        <f t="shared" ca="1" si="12"/>
        <v>-6222.15</v>
      </c>
      <c r="K169" s="14">
        <f ca="1">IFERROR(__xludf.DUMMYFUNCTION("iferror(index(GOOGLEFINANCE(B170,""all"",A170-10,A170+3),MATCH(A170+0.6458333333,index(GOOGLEFINANCE(B170,""all"",A170-10,A170+3),,1)),),"""")"),45488.6458333333)</f>
        <v>45488.645833333299</v>
      </c>
      <c r="L169" s="15">
        <f ca="1">IFERROR(__xludf.DUMMYFUNCTION("""COMPUTED_VALUE"""),978.95)</f>
        <v>978.95</v>
      </c>
      <c r="M169" s="15">
        <f ca="1">IFERROR(__xludf.DUMMYFUNCTION("""COMPUTED_VALUE"""),986.85)</f>
        <v>986.85</v>
      </c>
      <c r="N169" s="15">
        <f ca="1">IFERROR(__xludf.DUMMYFUNCTION("""COMPUTED_VALUE"""),961)</f>
        <v>961</v>
      </c>
      <c r="O169" s="15">
        <f ca="1">IFERROR(__xludf.DUMMYFUNCTION("""COMPUTED_VALUE"""),969.4)</f>
        <v>969.4</v>
      </c>
      <c r="P169" s="15">
        <f ca="1">IFERROR(__xludf.DUMMYFUNCTION("""COMPUTED_VALUE"""),50244)</f>
        <v>50244</v>
      </c>
      <c r="Q169" s="15">
        <f t="shared" si="5"/>
        <v>2.27</v>
      </c>
      <c r="R169" s="15">
        <f t="shared" si="6"/>
        <v>-2206.44</v>
      </c>
      <c r="S169" s="16">
        <f t="shared" si="7"/>
        <v>45488</v>
      </c>
      <c r="T169" s="29"/>
      <c r="U169" s="18"/>
      <c r="V169" s="18"/>
      <c r="W169" s="18"/>
    </row>
    <row r="170" spans="1:23" ht="15.75">
      <c r="A170" s="35">
        <v>45488</v>
      </c>
      <c r="B170" s="20" t="s">
        <v>81</v>
      </c>
      <c r="C170" s="36" t="s">
        <v>0</v>
      </c>
      <c r="D170" s="37">
        <v>1.81</v>
      </c>
      <c r="E170" s="22">
        <v>1835</v>
      </c>
      <c r="F170" s="38">
        <f t="shared" ca="1" si="0"/>
        <v>1819.2399250000001</v>
      </c>
      <c r="G170" s="38">
        <f t="shared" ca="1" si="1"/>
        <v>1887.5407499999999</v>
      </c>
      <c r="H170" s="20" t="str">
        <f t="shared" ca="1" si="2"/>
        <v>Valid</v>
      </c>
      <c r="I170" s="21">
        <f t="shared" si="3"/>
        <v>3321.35</v>
      </c>
      <c r="J170" s="44">
        <f t="shared" ca="1" si="12"/>
        <v>-9543.5</v>
      </c>
      <c r="K170" s="14">
        <f ca="1">IFERROR(__xludf.DUMMYFUNCTION("iferror(index(GOOGLEFINANCE(B171,""all"",A171-10,A171+3),MATCH(A171+0.6458333333,index(GOOGLEFINANCE(B171,""all"",A171-10,A171+3),,1)),),"""")"),45488.6458333333)</f>
        <v>45488.645833333299</v>
      </c>
      <c r="L170" s="15">
        <f ca="1">IFERROR(__xludf.DUMMYFUNCTION("""COMPUTED_VALUE"""),1850)</f>
        <v>1850</v>
      </c>
      <c r="M170" s="15">
        <f ca="1">IFERROR(__xludf.DUMMYFUNCTION("""COMPUTED_VALUE"""),1878.15)</f>
        <v>1878.15</v>
      </c>
      <c r="N170" s="15">
        <f ca="1">IFERROR(__xludf.DUMMYFUNCTION("""COMPUTED_VALUE"""),1820.15)</f>
        <v>1820.15</v>
      </c>
      <c r="O170" s="15">
        <f ca="1">IFERROR(__xludf.DUMMYFUNCTION("""COMPUTED_VALUE"""),1847.5)</f>
        <v>1847.5</v>
      </c>
      <c r="P170" s="15">
        <f ca="1">IFERROR(__xludf.DUMMYFUNCTION("""COMPUTED_VALUE"""),11077)</f>
        <v>11077</v>
      </c>
      <c r="Q170" s="15">
        <f t="shared" si="5"/>
        <v>1.81</v>
      </c>
      <c r="R170" s="15">
        <f t="shared" si="6"/>
        <v>-3321.35</v>
      </c>
      <c r="S170" s="16">
        <f t="shared" si="7"/>
        <v>45488</v>
      </c>
      <c r="T170" s="29"/>
      <c r="U170" s="18"/>
      <c r="V170" s="18"/>
      <c r="W170" s="18"/>
    </row>
    <row r="171" spans="1:23" ht="15.75">
      <c r="A171" s="35">
        <v>45488</v>
      </c>
      <c r="B171" s="36" t="s">
        <v>86</v>
      </c>
      <c r="C171" s="36" t="s">
        <v>1</v>
      </c>
      <c r="D171" s="37">
        <v>4.3899999999999997</v>
      </c>
      <c r="E171" s="27">
        <v>290</v>
      </c>
      <c r="F171" s="38">
        <f t="shared" ca="1" si="0"/>
        <v>287.70607500000006</v>
      </c>
      <c r="G171" s="38">
        <f t="shared" ca="1" si="1"/>
        <v>298.68599999999998</v>
      </c>
      <c r="H171" s="20" t="str">
        <f t="shared" ca="1" si="2"/>
        <v>Valid</v>
      </c>
      <c r="I171" s="21">
        <f t="shared" si="3"/>
        <v>1273.0999999999999</v>
      </c>
      <c r="J171" s="44">
        <f t="shared" ca="1" si="12"/>
        <v>-8270.4</v>
      </c>
      <c r="K171" s="14">
        <f ca="1">IFERROR(__xludf.DUMMYFUNCTION("iferror(index(GOOGLEFINANCE(B172,""all"",A172-10,A172+3),MATCH(A172+0.6458333333,index(GOOGLEFINANCE(B172,""all"",A172-10,A172+3),,1)),),"""")"),45488.6458333333)</f>
        <v>45488.645833333299</v>
      </c>
      <c r="L171" s="15">
        <f ca="1">IFERROR(__xludf.DUMMYFUNCTION("""COMPUTED_VALUE"""),293.9)</f>
        <v>293.89999999999998</v>
      </c>
      <c r="M171" s="15">
        <f ca="1">IFERROR(__xludf.DUMMYFUNCTION("""COMPUTED_VALUE"""),297.2)</f>
        <v>297.2</v>
      </c>
      <c r="N171" s="15">
        <f ca="1">IFERROR(__xludf.DUMMYFUNCTION("""COMPUTED_VALUE"""),287.85)</f>
        <v>287.85000000000002</v>
      </c>
      <c r="O171" s="15">
        <f ca="1">IFERROR(__xludf.DUMMYFUNCTION("""COMPUTED_VALUE"""),291.1)</f>
        <v>291.10000000000002</v>
      </c>
      <c r="P171" s="15">
        <f ca="1">IFERROR(__xludf.DUMMYFUNCTION("""COMPUTED_VALUE"""),807204)</f>
        <v>807204</v>
      </c>
      <c r="Q171" s="15">
        <f t="shared" si="5"/>
        <v>-4.3899999999999997</v>
      </c>
      <c r="R171" s="15">
        <f t="shared" si="6"/>
        <v>1273.0999999999999</v>
      </c>
      <c r="S171" s="16">
        <f t="shared" si="7"/>
        <v>45488</v>
      </c>
      <c r="T171" s="29"/>
      <c r="U171" s="18"/>
      <c r="V171" s="18"/>
      <c r="W171" s="18"/>
    </row>
    <row r="172" spans="1:23" ht="15.75">
      <c r="A172" s="35">
        <v>45488</v>
      </c>
      <c r="B172" s="20" t="s">
        <v>71</v>
      </c>
      <c r="C172" s="36" t="s">
        <v>1</v>
      </c>
      <c r="D172" s="37">
        <v>4.3600000000000003</v>
      </c>
      <c r="E172" s="27">
        <v>700</v>
      </c>
      <c r="F172" s="38">
        <f t="shared" ca="1" si="0"/>
        <v>700.34965000000011</v>
      </c>
      <c r="G172" s="38">
        <f t="shared" ca="1" si="1"/>
        <v>718.57499999999993</v>
      </c>
      <c r="H172" s="20" t="str">
        <f t="shared" ca="1" si="2"/>
        <v>Invalid</v>
      </c>
      <c r="I172" s="21">
        <f t="shared" si="3"/>
        <v>3052</v>
      </c>
      <c r="J172" s="44">
        <f t="shared" ca="1" si="12"/>
        <v>-5218.3999999999996</v>
      </c>
      <c r="K172" s="14">
        <f ca="1">IFERROR(__xludf.DUMMYFUNCTION("iferror(index(GOOGLEFINANCE(B173,""all"",A173-10,A173+3),MATCH(A173+0.6458333333,index(GOOGLEFINANCE(B173,""all"",A173-10,A173+3),,1)),),"""")"),45488.6458333333)</f>
        <v>45488.645833333299</v>
      </c>
      <c r="L172" s="15">
        <f ca="1">IFERROR(__xludf.DUMMYFUNCTION("""COMPUTED_VALUE"""),709.9)</f>
        <v>709.9</v>
      </c>
      <c r="M172" s="15">
        <f ca="1">IFERROR(__xludf.DUMMYFUNCTION("""COMPUTED_VALUE"""),715)</f>
        <v>715</v>
      </c>
      <c r="N172" s="15">
        <f ca="1">IFERROR(__xludf.DUMMYFUNCTION("""COMPUTED_VALUE"""),700.7)</f>
        <v>700.7</v>
      </c>
      <c r="O172" s="15">
        <f ca="1">IFERROR(__xludf.DUMMYFUNCTION("""COMPUTED_VALUE"""),713.8)</f>
        <v>713.8</v>
      </c>
      <c r="P172" s="15">
        <f ca="1">IFERROR(__xludf.DUMMYFUNCTION("""COMPUTED_VALUE"""),232437)</f>
        <v>232437</v>
      </c>
      <c r="Q172" s="15">
        <f t="shared" si="5"/>
        <v>-4.3600000000000003</v>
      </c>
      <c r="R172" s="15">
        <f t="shared" si="6"/>
        <v>3052</v>
      </c>
      <c r="S172" s="16">
        <f t="shared" si="7"/>
        <v>45488</v>
      </c>
      <c r="T172" s="29"/>
      <c r="U172" s="18"/>
      <c r="V172" s="18"/>
      <c r="W172" s="18"/>
    </row>
    <row r="173" spans="1:23" ht="15.75">
      <c r="A173" s="35">
        <v>45488</v>
      </c>
      <c r="B173" s="20" t="s">
        <v>76</v>
      </c>
      <c r="C173" s="36" t="s">
        <v>1</v>
      </c>
      <c r="D173" s="37">
        <v>3.85</v>
      </c>
      <c r="E173" s="27">
        <v>612</v>
      </c>
      <c r="F173" s="38">
        <f t="shared" ca="1" si="0"/>
        <v>603.79795000000001</v>
      </c>
      <c r="G173" s="38">
        <f t="shared" ca="1" si="1"/>
        <v>631.14</v>
      </c>
      <c r="H173" s="20" t="str">
        <f t="shared" ca="1" si="2"/>
        <v>Valid</v>
      </c>
      <c r="I173" s="21">
        <f t="shared" si="3"/>
        <v>2356.2000000000003</v>
      </c>
      <c r="J173" s="44">
        <f t="shared" ca="1" si="12"/>
        <v>-2862.2</v>
      </c>
      <c r="K173" s="14">
        <f ca="1">IFERROR(__xludf.DUMMYFUNCTION("iferror(index(GOOGLEFINANCE(B174,""all"",A174-10,A174+3),MATCH(A174+0.6458333333,index(GOOGLEFINANCE(B174,""all"",A174-10,A174+3),,1)),),"""")"),45488.6458333333)</f>
        <v>45488.645833333299</v>
      </c>
      <c r="L173" s="15">
        <f ca="1">IFERROR(__xludf.DUMMYFUNCTION("""COMPUTED_VALUE"""),627.4)</f>
        <v>627.4</v>
      </c>
      <c r="M173" s="15">
        <f ca="1">IFERROR(__xludf.DUMMYFUNCTION("""COMPUTED_VALUE"""),628)</f>
        <v>628</v>
      </c>
      <c r="N173" s="15">
        <f ca="1">IFERROR(__xludf.DUMMYFUNCTION("""COMPUTED_VALUE"""),604.1)</f>
        <v>604.1</v>
      </c>
      <c r="O173" s="15">
        <f ca="1">IFERROR(__xludf.DUMMYFUNCTION("""COMPUTED_VALUE"""),607.2)</f>
        <v>607.20000000000005</v>
      </c>
      <c r="P173" s="15">
        <f ca="1">IFERROR(__xludf.DUMMYFUNCTION("""COMPUTED_VALUE"""),125027)</f>
        <v>125027</v>
      </c>
      <c r="Q173" s="15">
        <f t="shared" si="5"/>
        <v>-3.85</v>
      </c>
      <c r="R173" s="15">
        <f t="shared" si="6"/>
        <v>2356.2000000000003</v>
      </c>
      <c r="S173" s="16">
        <f t="shared" si="7"/>
        <v>45488</v>
      </c>
      <c r="T173" s="29"/>
      <c r="U173" s="18"/>
      <c r="V173" s="18"/>
      <c r="W173" s="18"/>
    </row>
    <row r="174" spans="1:23" ht="15.75">
      <c r="A174" s="35">
        <v>45488</v>
      </c>
      <c r="B174" s="20" t="s">
        <v>78</v>
      </c>
      <c r="C174" s="36" t="s">
        <v>1</v>
      </c>
      <c r="D174" s="37">
        <v>1.81</v>
      </c>
      <c r="E174" s="27">
        <v>2090</v>
      </c>
      <c r="F174" s="38">
        <f t="shared" ca="1" si="0"/>
        <v>2056.9210250000001</v>
      </c>
      <c r="G174" s="38">
        <f t="shared" ca="1" si="1"/>
        <v>2128.0874999999996</v>
      </c>
      <c r="H174" s="20" t="str">
        <f t="shared" ca="1" si="2"/>
        <v>Valid</v>
      </c>
      <c r="I174" s="21">
        <f t="shared" si="3"/>
        <v>3782.9</v>
      </c>
      <c r="J174" s="44">
        <f t="shared" ca="1" si="12"/>
        <v>920.7</v>
      </c>
      <c r="K174" s="14">
        <f ca="1">IFERROR(__xludf.DUMMYFUNCTION("iferror(index(GOOGLEFINANCE(B175,""all"",A175-10,A175+3),MATCH(A175+0.6458333333,index(GOOGLEFINANCE(B175,""all"",A175-10,A175+3),,1)),),"""")"),45488.6458333333)</f>
        <v>45488.645833333299</v>
      </c>
      <c r="L174" s="15">
        <f ca="1">IFERROR(__xludf.DUMMYFUNCTION("""COMPUTED_VALUE"""),2060.15)</f>
        <v>2060.15</v>
      </c>
      <c r="M174" s="15">
        <f ca="1">IFERROR(__xludf.DUMMYFUNCTION("""COMPUTED_VALUE"""),2117.5)</f>
        <v>2117.5</v>
      </c>
      <c r="N174" s="15">
        <f ca="1">IFERROR(__xludf.DUMMYFUNCTION("""COMPUTED_VALUE"""),2057.95)</f>
        <v>2057.9499999999998</v>
      </c>
      <c r="O174" s="15">
        <f ca="1">IFERROR(__xludf.DUMMYFUNCTION("""COMPUTED_VALUE"""),2073.75)</f>
        <v>2073.75</v>
      </c>
      <c r="P174" s="15">
        <f ca="1">IFERROR(__xludf.DUMMYFUNCTION("""COMPUTED_VALUE"""),402542)</f>
        <v>402542</v>
      </c>
      <c r="Q174" s="15">
        <f t="shared" si="5"/>
        <v>-1.81</v>
      </c>
      <c r="R174" s="15">
        <f t="shared" si="6"/>
        <v>3782.9</v>
      </c>
      <c r="S174" s="16">
        <f t="shared" si="7"/>
        <v>45488</v>
      </c>
      <c r="T174" s="29"/>
      <c r="U174" s="18"/>
      <c r="V174" s="18"/>
      <c r="W174" s="18"/>
    </row>
    <row r="175" spans="1:23" ht="15.75">
      <c r="A175" s="35">
        <v>45488</v>
      </c>
      <c r="B175" s="20" t="s">
        <v>77</v>
      </c>
      <c r="C175" s="36" t="s">
        <v>1</v>
      </c>
      <c r="D175" s="37">
        <v>5.44</v>
      </c>
      <c r="E175" s="27">
        <v>717</v>
      </c>
      <c r="F175" s="38">
        <f t="shared" ca="1" si="0"/>
        <v>712.19372499999997</v>
      </c>
      <c r="G175" s="38">
        <f t="shared" ca="1" si="1"/>
        <v>738.22274999999991</v>
      </c>
      <c r="H175" s="20" t="str">
        <f t="shared" ca="1" si="2"/>
        <v>Valid</v>
      </c>
      <c r="I175" s="21">
        <f t="shared" si="3"/>
        <v>3900.4800000000005</v>
      </c>
      <c r="J175" s="44">
        <f t="shared" ca="1" si="12"/>
        <v>4821.18</v>
      </c>
      <c r="K175" s="14">
        <f ca="1">IFERROR(__xludf.DUMMYFUNCTION("iferror(index(GOOGLEFINANCE(B176,""all"",A176-10,A176+3),MATCH(A176+0.6458333333,index(GOOGLEFINANCE(B176,""all"",A176-10,A176+3),,1)),),"""")"),45488.6458333333)</f>
        <v>45488.645833333299</v>
      </c>
      <c r="L175" s="15">
        <f ca="1">IFERROR(__xludf.DUMMYFUNCTION("""COMPUTED_VALUE"""),734.55)</f>
        <v>734.55</v>
      </c>
      <c r="M175" s="15">
        <f ca="1">IFERROR(__xludf.DUMMYFUNCTION("""COMPUTED_VALUE"""),734.55)</f>
        <v>734.55</v>
      </c>
      <c r="N175" s="15">
        <f ca="1">IFERROR(__xludf.DUMMYFUNCTION("""COMPUTED_VALUE"""),712.55)</f>
        <v>712.55</v>
      </c>
      <c r="O175" s="15">
        <f ca="1">IFERROR(__xludf.DUMMYFUNCTION("""COMPUTED_VALUE"""),722.7)</f>
        <v>722.7</v>
      </c>
      <c r="P175" s="15">
        <f ca="1">IFERROR(__xludf.DUMMYFUNCTION("""COMPUTED_VALUE"""),701400)</f>
        <v>701400</v>
      </c>
      <c r="Q175" s="15">
        <f t="shared" si="5"/>
        <v>-5.44</v>
      </c>
      <c r="R175" s="15">
        <f t="shared" si="6"/>
        <v>3900.4800000000005</v>
      </c>
      <c r="S175" s="16">
        <f t="shared" si="7"/>
        <v>45488</v>
      </c>
      <c r="T175" s="29"/>
      <c r="U175" s="18"/>
      <c r="V175" s="18"/>
      <c r="W175" s="18"/>
    </row>
    <row r="176" spans="1:23" ht="15.75">
      <c r="A176" s="35">
        <v>45488</v>
      </c>
      <c r="B176" s="36" t="s">
        <v>89</v>
      </c>
      <c r="C176" s="36" t="s">
        <v>1</v>
      </c>
      <c r="D176" s="37">
        <v>0.91</v>
      </c>
      <c r="E176" s="27">
        <v>1250</v>
      </c>
      <c r="F176" s="38">
        <f t="shared" ca="1" si="0"/>
        <v>1238.3805</v>
      </c>
      <c r="G176" s="38">
        <f t="shared" ca="1" si="1"/>
        <v>1301.4247499999999</v>
      </c>
      <c r="H176" s="20" t="str">
        <f t="shared" ca="1" si="2"/>
        <v>Valid</v>
      </c>
      <c r="I176" s="21">
        <f t="shared" si="3"/>
        <v>1137.5</v>
      </c>
      <c r="J176" s="44">
        <f t="shared" ca="1" si="12"/>
        <v>5958.68</v>
      </c>
      <c r="K176" s="14">
        <f ca="1">IFERROR(__xludf.DUMMYFUNCTION("iferror(index(GOOGLEFINANCE(B177,""all"",A177-10,A177+3),MATCH(A177+0.6458333333,index(GOOGLEFINANCE(B177,""all"",A177-10,A177+3),,1)),),"""")"),45488.6458333333)</f>
        <v>45488.645833333299</v>
      </c>
      <c r="L176" s="15">
        <f ca="1">IFERROR(__xludf.DUMMYFUNCTION("""COMPUTED_VALUE"""),1283.75)</f>
        <v>1283.75</v>
      </c>
      <c r="M176" s="15">
        <f ca="1">IFERROR(__xludf.DUMMYFUNCTION("""COMPUTED_VALUE"""),1294.95)</f>
        <v>1294.95</v>
      </c>
      <c r="N176" s="15">
        <f ca="1">IFERROR(__xludf.DUMMYFUNCTION("""COMPUTED_VALUE"""),1239)</f>
        <v>1239</v>
      </c>
      <c r="O176" s="15">
        <f ca="1">IFERROR(__xludf.DUMMYFUNCTION("""COMPUTED_VALUE"""),1255.25)</f>
        <v>1255.25</v>
      </c>
      <c r="P176" s="15">
        <f ca="1">IFERROR(__xludf.DUMMYFUNCTION("""COMPUTED_VALUE"""),493218)</f>
        <v>493218</v>
      </c>
      <c r="Q176" s="15">
        <f t="shared" si="5"/>
        <v>-0.91</v>
      </c>
      <c r="R176" s="15">
        <f t="shared" si="6"/>
        <v>1137.5</v>
      </c>
      <c r="S176" s="16">
        <f t="shared" si="7"/>
        <v>45488</v>
      </c>
      <c r="T176" s="29"/>
      <c r="U176" s="18"/>
      <c r="V176" s="18"/>
      <c r="W176" s="18"/>
    </row>
    <row r="177" spans="1:23" ht="15.75">
      <c r="A177" s="35"/>
      <c r="B177" s="36"/>
      <c r="C177" s="36"/>
      <c r="D177" s="37"/>
      <c r="E177" s="38"/>
      <c r="F177" s="11" t="str">
        <f t="shared" si="0"/>
        <v/>
      </c>
      <c r="G177" s="26" t="str">
        <f t="shared" si="1"/>
        <v/>
      </c>
      <c r="H177" s="1"/>
      <c r="I177" s="1"/>
      <c r="J177" s="44"/>
      <c r="K177" s="1"/>
      <c r="L177" s="1"/>
      <c r="M177" s="1"/>
      <c r="N177" s="1"/>
      <c r="O177" s="1"/>
      <c r="P177" s="1"/>
      <c r="Q177" s="1"/>
      <c r="R177" s="1"/>
      <c r="S177" s="1"/>
      <c r="T177" s="29"/>
      <c r="U177" s="18"/>
      <c r="V177" s="18"/>
      <c r="W177" s="18"/>
    </row>
    <row r="178" spans="1:23" ht="15.75">
      <c r="A178" s="35"/>
      <c r="B178" s="36"/>
      <c r="C178" s="36"/>
      <c r="D178" s="37"/>
      <c r="E178" s="38"/>
      <c r="F178" s="11" t="str">
        <f t="shared" si="0"/>
        <v/>
      </c>
      <c r="G178" s="26" t="str">
        <f t="shared" si="1"/>
        <v/>
      </c>
      <c r="H178" s="1"/>
      <c r="I178" s="1"/>
      <c r="J178" s="44"/>
      <c r="K178" s="1"/>
      <c r="L178" s="1"/>
      <c r="M178" s="1"/>
      <c r="N178" s="1"/>
      <c r="O178" s="1"/>
      <c r="P178" s="1"/>
      <c r="Q178" s="1"/>
      <c r="R178" s="1"/>
      <c r="S178" s="1"/>
      <c r="T178" s="29"/>
      <c r="U178" s="18"/>
      <c r="V178" s="18"/>
      <c r="W178" s="18"/>
    </row>
    <row r="179" spans="1:23" ht="15.75">
      <c r="A179" s="35"/>
      <c r="B179" s="36"/>
      <c r="C179" s="36"/>
      <c r="D179" s="37"/>
      <c r="E179" s="38"/>
      <c r="F179" s="11" t="str">
        <f t="shared" si="0"/>
        <v/>
      </c>
      <c r="G179" s="26" t="str">
        <f t="shared" si="1"/>
        <v/>
      </c>
      <c r="H179" s="1"/>
      <c r="I179" s="1"/>
      <c r="J179" s="44"/>
      <c r="K179" s="1"/>
      <c r="L179" s="1"/>
      <c r="M179" s="1"/>
      <c r="N179" s="1"/>
      <c r="O179" s="1"/>
      <c r="P179" s="1"/>
      <c r="Q179" s="1"/>
      <c r="R179" s="1"/>
      <c r="S179" s="1"/>
      <c r="T179" s="29"/>
      <c r="U179" s="18"/>
      <c r="V179" s="18"/>
      <c r="W179" s="18"/>
    </row>
    <row r="180" spans="1:23" ht="15.75">
      <c r="A180" s="35"/>
      <c r="B180" s="36"/>
      <c r="C180" s="36"/>
      <c r="D180" s="37"/>
      <c r="E180" s="38"/>
      <c r="F180" s="11" t="str">
        <f t="shared" si="0"/>
        <v/>
      </c>
      <c r="G180" s="26" t="str">
        <f t="shared" si="1"/>
        <v/>
      </c>
      <c r="H180" s="1"/>
      <c r="I180" s="1"/>
      <c r="J180" s="44"/>
      <c r="K180" s="1"/>
      <c r="L180" s="1"/>
      <c r="M180" s="1"/>
      <c r="N180" s="1"/>
      <c r="O180" s="1"/>
      <c r="P180" s="1"/>
      <c r="Q180" s="1"/>
      <c r="R180" s="1"/>
      <c r="S180" s="1"/>
      <c r="T180" s="29"/>
      <c r="U180" s="18"/>
      <c r="V180" s="18"/>
      <c r="W180" s="18"/>
    </row>
    <row r="181" spans="1:23" ht="15.75">
      <c r="A181" s="35"/>
      <c r="B181" s="36"/>
      <c r="C181" s="36"/>
      <c r="D181" s="37"/>
      <c r="E181" s="38"/>
      <c r="F181" s="11" t="str">
        <f t="shared" si="0"/>
        <v/>
      </c>
      <c r="G181" s="26" t="str">
        <f t="shared" si="1"/>
        <v/>
      </c>
      <c r="H181" s="1"/>
      <c r="I181" s="1"/>
      <c r="J181" s="44"/>
      <c r="K181" s="1"/>
      <c r="L181" s="1"/>
      <c r="M181" s="1"/>
      <c r="N181" s="1"/>
      <c r="O181" s="1"/>
      <c r="P181" s="1"/>
      <c r="Q181" s="1"/>
      <c r="R181" s="1"/>
      <c r="S181" s="1"/>
      <c r="T181" s="29"/>
      <c r="U181" s="18"/>
      <c r="V181" s="18"/>
      <c r="W181" s="18"/>
    </row>
    <row r="182" spans="1:23" ht="15.75">
      <c r="A182" s="35"/>
      <c r="B182" s="36"/>
      <c r="C182" s="36"/>
      <c r="D182" s="37"/>
      <c r="E182" s="38"/>
      <c r="F182" s="11" t="str">
        <f t="shared" si="0"/>
        <v/>
      </c>
      <c r="G182" s="26" t="str">
        <f t="shared" si="1"/>
        <v/>
      </c>
      <c r="H182" s="1"/>
      <c r="I182" s="1"/>
      <c r="J182" s="44"/>
      <c r="K182" s="1"/>
      <c r="L182" s="1"/>
      <c r="M182" s="1"/>
      <c r="N182" s="1"/>
      <c r="O182" s="1"/>
      <c r="P182" s="1"/>
      <c r="Q182" s="1"/>
      <c r="R182" s="1"/>
      <c r="S182" s="1"/>
      <c r="T182" s="29"/>
      <c r="U182" s="18"/>
      <c r="V182" s="18"/>
      <c r="W182" s="18"/>
    </row>
    <row r="183" spans="1:23" ht="15.75">
      <c r="A183" s="35"/>
      <c r="B183" s="36"/>
      <c r="C183" s="36"/>
      <c r="D183" s="37"/>
      <c r="E183" s="38"/>
      <c r="F183" s="11" t="str">
        <f t="shared" si="0"/>
        <v/>
      </c>
      <c r="G183" s="26" t="str">
        <f t="shared" si="1"/>
        <v/>
      </c>
      <c r="H183" s="1"/>
      <c r="I183" s="1"/>
      <c r="J183" s="44"/>
      <c r="K183" s="1"/>
      <c r="L183" s="1"/>
      <c r="M183" s="1"/>
      <c r="N183" s="1"/>
      <c r="O183" s="1"/>
      <c r="P183" s="1"/>
      <c r="Q183" s="1"/>
      <c r="R183" s="1"/>
      <c r="S183" s="1"/>
      <c r="T183" s="29"/>
      <c r="U183" s="18"/>
      <c r="V183" s="18"/>
      <c r="W183" s="18"/>
    </row>
    <row r="184" spans="1:23" ht="15.75">
      <c r="A184" s="35"/>
      <c r="B184" s="36"/>
      <c r="C184" s="36"/>
      <c r="D184" s="37"/>
      <c r="E184" s="38"/>
      <c r="F184" s="11" t="str">
        <f t="shared" si="0"/>
        <v/>
      </c>
      <c r="G184" s="26" t="str">
        <f t="shared" si="1"/>
        <v/>
      </c>
      <c r="H184" s="1"/>
      <c r="I184" s="1"/>
      <c r="J184" s="44"/>
      <c r="K184" s="1"/>
      <c r="L184" s="1"/>
      <c r="M184" s="1"/>
      <c r="N184" s="1"/>
      <c r="O184" s="1"/>
      <c r="P184" s="1"/>
      <c r="Q184" s="1"/>
      <c r="R184" s="1"/>
      <c r="S184" s="1"/>
      <c r="T184" s="29"/>
      <c r="U184" s="18"/>
      <c r="V184" s="18"/>
      <c r="W184" s="18"/>
    </row>
    <row r="185" spans="1:23" ht="15.75">
      <c r="A185" s="35"/>
      <c r="B185" s="36"/>
      <c r="C185" s="36"/>
      <c r="D185" s="37"/>
      <c r="E185" s="38"/>
      <c r="F185" s="11" t="str">
        <f t="shared" si="0"/>
        <v/>
      </c>
      <c r="G185" s="26" t="str">
        <f t="shared" si="1"/>
        <v/>
      </c>
      <c r="H185" s="1"/>
      <c r="I185" s="1"/>
      <c r="J185" s="44"/>
      <c r="K185" s="1"/>
      <c r="L185" s="1"/>
      <c r="M185" s="1"/>
      <c r="N185" s="1"/>
      <c r="O185" s="1"/>
      <c r="P185" s="1"/>
      <c r="Q185" s="1"/>
      <c r="R185" s="1"/>
      <c r="S185" s="1"/>
      <c r="T185" s="29"/>
      <c r="U185" s="18"/>
      <c r="V185" s="18"/>
      <c r="W185" s="18"/>
    </row>
    <row r="186" spans="1:23" ht="15.75">
      <c r="A186" s="35"/>
      <c r="B186" s="36"/>
      <c r="C186" s="36"/>
      <c r="D186" s="37"/>
      <c r="E186" s="38"/>
      <c r="F186" s="11" t="str">
        <f t="shared" si="0"/>
        <v/>
      </c>
      <c r="G186" s="26" t="str">
        <f t="shared" si="1"/>
        <v/>
      </c>
      <c r="H186" s="1"/>
      <c r="I186" s="1"/>
      <c r="J186" s="44"/>
      <c r="K186" s="1"/>
      <c r="L186" s="1"/>
      <c r="M186" s="1"/>
      <c r="N186" s="1"/>
      <c r="O186" s="1"/>
      <c r="P186" s="1"/>
      <c r="Q186" s="1"/>
      <c r="R186" s="1"/>
      <c r="S186" s="1"/>
      <c r="T186" s="29"/>
      <c r="U186" s="18"/>
      <c r="V186" s="18"/>
      <c r="W186" s="18"/>
    </row>
    <row r="187" spans="1:23" ht="15.75">
      <c r="A187" s="35"/>
      <c r="B187" s="36"/>
      <c r="C187" s="36"/>
      <c r="D187" s="37"/>
      <c r="E187" s="38"/>
      <c r="F187" s="11" t="str">
        <f t="shared" si="0"/>
        <v/>
      </c>
      <c r="G187" s="26" t="str">
        <f t="shared" si="1"/>
        <v/>
      </c>
      <c r="H187" s="1"/>
      <c r="I187" s="1"/>
      <c r="J187" s="44"/>
      <c r="K187" s="1"/>
      <c r="L187" s="1"/>
      <c r="M187" s="1"/>
      <c r="N187" s="1"/>
      <c r="O187" s="1"/>
      <c r="P187" s="1"/>
      <c r="Q187" s="1"/>
      <c r="R187" s="1"/>
      <c r="S187" s="1"/>
      <c r="T187" s="29"/>
      <c r="U187" s="18"/>
      <c r="V187" s="18"/>
      <c r="W187" s="18"/>
    </row>
    <row r="188" spans="1:23" ht="15.75">
      <c r="A188" s="35"/>
      <c r="B188" s="36"/>
      <c r="C188" s="36"/>
      <c r="D188" s="37"/>
      <c r="E188" s="38"/>
      <c r="F188" s="11" t="str">
        <f t="shared" si="0"/>
        <v/>
      </c>
      <c r="G188" s="26" t="str">
        <f t="shared" si="1"/>
        <v/>
      </c>
      <c r="H188" s="1"/>
      <c r="I188" s="1"/>
      <c r="J188" s="44"/>
      <c r="K188" s="1"/>
      <c r="L188" s="1"/>
      <c r="M188" s="1"/>
      <c r="N188" s="1"/>
      <c r="O188" s="1"/>
      <c r="P188" s="1"/>
      <c r="Q188" s="1"/>
      <c r="R188" s="1"/>
      <c r="S188" s="1"/>
      <c r="T188" s="29"/>
      <c r="U188" s="18"/>
      <c r="V188" s="18"/>
      <c r="W188" s="18"/>
    </row>
    <row r="189" spans="1:23" ht="15.75">
      <c r="A189" s="35"/>
      <c r="B189" s="36"/>
      <c r="C189" s="36"/>
      <c r="D189" s="37"/>
      <c r="E189" s="38"/>
      <c r="F189" s="11" t="str">
        <f t="shared" si="0"/>
        <v/>
      </c>
      <c r="G189" s="26" t="str">
        <f t="shared" si="1"/>
        <v/>
      </c>
      <c r="H189" s="1"/>
      <c r="I189" s="1"/>
      <c r="J189" s="44"/>
      <c r="K189" s="1"/>
      <c r="L189" s="1"/>
      <c r="M189" s="1"/>
      <c r="N189" s="1"/>
      <c r="O189" s="1"/>
      <c r="P189" s="1"/>
      <c r="Q189" s="1"/>
      <c r="R189" s="1"/>
      <c r="S189" s="1"/>
      <c r="T189" s="29"/>
      <c r="U189" s="18"/>
      <c r="V189" s="18"/>
      <c r="W189" s="18"/>
    </row>
    <row r="190" spans="1:23" ht="15.75">
      <c r="A190" s="35"/>
      <c r="B190" s="36"/>
      <c r="C190" s="36"/>
      <c r="D190" s="37"/>
      <c r="E190" s="38"/>
      <c r="F190" s="11" t="str">
        <f t="shared" si="0"/>
        <v/>
      </c>
      <c r="G190" s="26" t="str">
        <f t="shared" si="1"/>
        <v/>
      </c>
      <c r="H190" s="1"/>
      <c r="I190" s="1"/>
      <c r="J190" s="44"/>
      <c r="K190" s="1"/>
      <c r="L190" s="1"/>
      <c r="M190" s="1"/>
      <c r="N190" s="1"/>
      <c r="O190" s="1"/>
      <c r="P190" s="1"/>
      <c r="Q190" s="1"/>
      <c r="R190" s="1"/>
      <c r="S190" s="1"/>
      <c r="T190" s="29"/>
      <c r="U190" s="18"/>
      <c r="V190" s="18"/>
      <c r="W190" s="18"/>
    </row>
    <row r="191" spans="1:23" ht="15.75">
      <c r="A191" s="35"/>
      <c r="B191" s="36"/>
      <c r="C191" s="36"/>
      <c r="D191" s="37"/>
      <c r="E191" s="38"/>
      <c r="F191" s="11" t="str">
        <f t="shared" si="0"/>
        <v/>
      </c>
      <c r="G191" s="26" t="str">
        <f t="shared" si="1"/>
        <v/>
      </c>
      <c r="H191" s="1"/>
      <c r="I191" s="1"/>
      <c r="J191" s="44"/>
      <c r="K191" s="1"/>
      <c r="L191" s="1"/>
      <c r="M191" s="1"/>
      <c r="N191" s="1"/>
      <c r="O191" s="1"/>
      <c r="P191" s="1"/>
      <c r="Q191" s="1"/>
      <c r="R191" s="1"/>
      <c r="S191" s="1"/>
      <c r="T191" s="29"/>
      <c r="U191" s="18"/>
      <c r="V191" s="18"/>
      <c r="W191" s="18"/>
    </row>
    <row r="192" spans="1:23" ht="15.75">
      <c r="A192" s="35"/>
      <c r="B192" s="36"/>
      <c r="C192" s="36"/>
      <c r="D192" s="37"/>
      <c r="E192" s="38"/>
      <c r="F192" s="11" t="str">
        <f t="shared" si="0"/>
        <v/>
      </c>
      <c r="G192" s="26" t="str">
        <f t="shared" si="1"/>
        <v/>
      </c>
      <c r="H192" s="1"/>
      <c r="I192" s="1"/>
      <c r="J192" s="44"/>
      <c r="K192" s="1"/>
      <c r="L192" s="1"/>
      <c r="M192" s="1"/>
      <c r="N192" s="1"/>
      <c r="O192" s="1"/>
      <c r="P192" s="1"/>
      <c r="Q192" s="1"/>
      <c r="R192" s="1"/>
      <c r="S192" s="1"/>
      <c r="T192" s="29"/>
      <c r="U192" s="18"/>
      <c r="V192" s="18"/>
      <c r="W192" s="18"/>
    </row>
    <row r="193" spans="1:23" ht="15.75">
      <c r="A193" s="35"/>
      <c r="B193" s="36"/>
      <c r="C193" s="36"/>
      <c r="D193" s="37"/>
      <c r="E193" s="38"/>
      <c r="F193" s="11" t="str">
        <f t="shared" si="0"/>
        <v/>
      </c>
      <c r="G193" s="26" t="str">
        <f t="shared" si="1"/>
        <v/>
      </c>
      <c r="H193" s="1"/>
      <c r="I193" s="1"/>
      <c r="J193" s="44"/>
      <c r="K193" s="1"/>
      <c r="L193" s="1"/>
      <c r="M193" s="1"/>
      <c r="N193" s="1"/>
      <c r="O193" s="1"/>
      <c r="P193" s="1"/>
      <c r="Q193" s="1"/>
      <c r="R193" s="1"/>
      <c r="S193" s="1"/>
      <c r="T193" s="29"/>
      <c r="U193" s="18"/>
      <c r="V193" s="18"/>
      <c r="W193" s="18"/>
    </row>
    <row r="194" spans="1:23" ht="15.75">
      <c r="A194" s="35"/>
      <c r="B194" s="36"/>
      <c r="C194" s="36"/>
      <c r="D194" s="37"/>
      <c r="E194" s="38"/>
      <c r="F194" s="11" t="str">
        <f t="shared" si="0"/>
        <v/>
      </c>
      <c r="G194" s="26" t="str">
        <f t="shared" si="1"/>
        <v/>
      </c>
      <c r="H194" s="1"/>
      <c r="I194" s="1"/>
      <c r="J194" s="44"/>
      <c r="K194" s="1"/>
      <c r="L194" s="1"/>
      <c r="M194" s="1"/>
      <c r="N194" s="1"/>
      <c r="O194" s="1"/>
      <c r="P194" s="1"/>
      <c r="Q194" s="1"/>
      <c r="R194" s="1"/>
      <c r="S194" s="1"/>
      <c r="T194" s="29"/>
      <c r="U194" s="18"/>
      <c r="V194" s="18"/>
      <c r="W194" s="18"/>
    </row>
    <row r="195" spans="1:23" ht="15.75">
      <c r="A195" s="35"/>
      <c r="B195" s="36"/>
      <c r="C195" s="36"/>
      <c r="D195" s="37"/>
      <c r="E195" s="38"/>
      <c r="F195" s="11" t="str">
        <f t="shared" si="0"/>
        <v/>
      </c>
      <c r="G195" s="26" t="str">
        <f t="shared" si="1"/>
        <v/>
      </c>
      <c r="H195" s="1"/>
      <c r="I195" s="1"/>
      <c r="J195" s="44"/>
      <c r="K195" s="1"/>
      <c r="L195" s="1"/>
      <c r="M195" s="1"/>
      <c r="N195" s="1"/>
      <c r="O195" s="1"/>
      <c r="P195" s="1"/>
      <c r="Q195" s="1"/>
      <c r="R195" s="1"/>
      <c r="S195" s="1"/>
      <c r="T195" s="29"/>
      <c r="U195" s="18"/>
      <c r="V195" s="18"/>
      <c r="W195" s="18"/>
    </row>
    <row r="196" spans="1:23" ht="15.75">
      <c r="A196" s="48"/>
      <c r="B196" s="1"/>
      <c r="C196" s="1"/>
      <c r="D196" s="1"/>
      <c r="E196" s="1"/>
      <c r="F196" s="11" t="str">
        <f t="shared" si="0"/>
        <v/>
      </c>
      <c r="G196" s="26" t="str">
        <f t="shared" si="1"/>
        <v/>
      </c>
      <c r="H196" s="1"/>
      <c r="I196" s="1"/>
      <c r="J196" s="44"/>
      <c r="K196" s="1"/>
      <c r="L196" s="1"/>
      <c r="M196" s="1"/>
      <c r="N196" s="1"/>
      <c r="O196" s="1"/>
      <c r="P196" s="1"/>
      <c r="Q196" s="1"/>
      <c r="R196" s="1"/>
      <c r="S196" s="1"/>
      <c r="T196" s="29"/>
      <c r="U196" s="18"/>
      <c r="V196" s="18"/>
      <c r="W196" s="18"/>
    </row>
    <row r="197" spans="1:23" ht="15.75">
      <c r="A197" s="48"/>
      <c r="B197" s="1"/>
      <c r="C197" s="1"/>
      <c r="D197" s="1"/>
      <c r="E197" s="1"/>
      <c r="F197" s="11" t="str">
        <f t="shared" si="0"/>
        <v/>
      </c>
      <c r="G197" s="26" t="str">
        <f t="shared" si="1"/>
        <v/>
      </c>
      <c r="H197" s="1"/>
      <c r="I197" s="1"/>
      <c r="J197" s="44"/>
      <c r="K197" s="1"/>
      <c r="L197" s="1"/>
      <c r="M197" s="1"/>
      <c r="N197" s="1"/>
      <c r="O197" s="1"/>
      <c r="P197" s="1"/>
      <c r="Q197" s="1"/>
      <c r="R197" s="1"/>
      <c r="S197" s="1"/>
      <c r="T197" s="29"/>
      <c r="U197" s="18"/>
      <c r="V197" s="18"/>
      <c r="W197" s="18"/>
    </row>
    <row r="198" spans="1:23" ht="15.75">
      <c r="A198" s="48"/>
      <c r="B198" s="1"/>
      <c r="C198" s="1"/>
      <c r="D198" s="1"/>
      <c r="E198" s="1"/>
      <c r="F198" s="11" t="str">
        <f t="shared" si="0"/>
        <v/>
      </c>
      <c r="G198" s="26" t="str">
        <f t="shared" si="1"/>
        <v/>
      </c>
      <c r="H198" s="1"/>
      <c r="I198" s="1"/>
      <c r="J198" s="44"/>
      <c r="K198" s="1"/>
      <c r="L198" s="1"/>
      <c r="M198" s="1"/>
      <c r="N198" s="1"/>
      <c r="O198" s="1"/>
      <c r="P198" s="1"/>
      <c r="Q198" s="1"/>
      <c r="R198" s="1"/>
      <c r="S198" s="1"/>
      <c r="T198" s="29"/>
      <c r="U198" s="18"/>
      <c r="V198" s="18"/>
      <c r="W198" s="18"/>
    </row>
    <row r="199" spans="1:23" ht="15.75">
      <c r="A199" s="48"/>
      <c r="B199" s="1"/>
      <c r="C199" s="1"/>
      <c r="D199" s="1"/>
      <c r="E199" s="1"/>
      <c r="F199" s="11" t="str">
        <f t="shared" si="0"/>
        <v/>
      </c>
      <c r="G199" s="26" t="str">
        <f t="shared" si="1"/>
        <v/>
      </c>
      <c r="H199" s="1"/>
      <c r="I199" s="1"/>
      <c r="J199" s="44"/>
      <c r="K199" s="1"/>
      <c r="L199" s="1"/>
      <c r="M199" s="1"/>
      <c r="N199" s="1"/>
      <c r="O199" s="1"/>
      <c r="P199" s="1"/>
      <c r="Q199" s="1"/>
      <c r="R199" s="1"/>
      <c r="S199" s="1"/>
      <c r="T199" s="29"/>
      <c r="U199" s="18"/>
      <c r="V199" s="18"/>
      <c r="W199" s="18"/>
    </row>
    <row r="200" spans="1:23" ht="15.75">
      <c r="A200" s="48"/>
      <c r="B200" s="1"/>
      <c r="C200" s="1"/>
      <c r="D200" s="1"/>
      <c r="E200" s="1"/>
      <c r="F200" s="11" t="str">
        <f t="shared" si="0"/>
        <v/>
      </c>
      <c r="G200" s="26" t="str">
        <f t="shared" si="1"/>
        <v/>
      </c>
      <c r="H200" s="1"/>
      <c r="I200" s="1"/>
      <c r="J200" s="44"/>
      <c r="K200" s="1"/>
      <c r="L200" s="1"/>
      <c r="M200" s="1"/>
      <c r="N200" s="1"/>
      <c r="O200" s="1"/>
      <c r="P200" s="1"/>
      <c r="Q200" s="1"/>
      <c r="R200" s="1"/>
      <c r="S200" s="1"/>
      <c r="T200" s="29"/>
      <c r="U200" s="18"/>
      <c r="V200" s="18"/>
      <c r="W200" s="18"/>
    </row>
    <row r="201" spans="1:23" ht="15.75">
      <c r="A201" s="48"/>
      <c r="B201" s="1"/>
      <c r="C201" s="1"/>
      <c r="D201" s="1"/>
      <c r="E201" s="1"/>
      <c r="F201" s="11" t="str">
        <f t="shared" si="0"/>
        <v/>
      </c>
      <c r="G201" s="26" t="str">
        <f t="shared" si="1"/>
        <v/>
      </c>
      <c r="H201" s="1"/>
      <c r="I201" s="1"/>
      <c r="J201" s="44"/>
      <c r="K201" s="1"/>
      <c r="L201" s="1"/>
      <c r="M201" s="1"/>
      <c r="N201" s="1"/>
      <c r="O201" s="1"/>
      <c r="P201" s="1"/>
      <c r="Q201" s="1"/>
      <c r="R201" s="1"/>
      <c r="S201" s="1"/>
      <c r="T201" s="29"/>
      <c r="U201" s="18"/>
      <c r="V201" s="18"/>
      <c r="W201" s="18"/>
    </row>
    <row r="202" spans="1:23" ht="15.75">
      <c r="A202" s="48"/>
      <c r="B202" s="1"/>
      <c r="C202" s="1"/>
      <c r="D202" s="1"/>
      <c r="E202" s="1"/>
      <c r="F202" s="11" t="str">
        <f t="shared" si="0"/>
        <v/>
      </c>
      <c r="G202" s="26" t="str">
        <f t="shared" si="1"/>
        <v/>
      </c>
      <c r="H202" s="1"/>
      <c r="I202" s="1"/>
      <c r="J202" s="44"/>
      <c r="K202" s="1"/>
      <c r="L202" s="1"/>
      <c r="M202" s="1"/>
      <c r="N202" s="1"/>
      <c r="O202" s="1"/>
      <c r="P202" s="1"/>
      <c r="Q202" s="1"/>
      <c r="R202" s="1"/>
      <c r="S202" s="1"/>
      <c r="T202" s="29"/>
      <c r="U202" s="18"/>
      <c r="V202" s="18"/>
      <c r="W202" s="18"/>
    </row>
    <row r="203" spans="1:23" ht="15.75">
      <c r="A203" s="48"/>
      <c r="B203" s="1"/>
      <c r="C203" s="1"/>
      <c r="D203" s="1"/>
      <c r="E203" s="1"/>
      <c r="F203" s="11" t="str">
        <f t="shared" si="0"/>
        <v/>
      </c>
      <c r="G203" s="26" t="str">
        <f t="shared" si="1"/>
        <v/>
      </c>
      <c r="H203" s="1"/>
      <c r="I203" s="1"/>
      <c r="J203" s="44"/>
      <c r="K203" s="1"/>
      <c r="L203" s="1"/>
      <c r="M203" s="1"/>
      <c r="N203" s="1"/>
      <c r="O203" s="1"/>
      <c r="P203" s="1"/>
      <c r="Q203" s="1"/>
      <c r="R203" s="1"/>
      <c r="S203" s="1"/>
      <c r="T203" s="29"/>
      <c r="U203" s="18"/>
      <c r="V203" s="18"/>
      <c r="W203" s="18"/>
    </row>
    <row r="204" spans="1:23" ht="15.75">
      <c r="A204" s="48"/>
      <c r="B204" s="1"/>
      <c r="C204" s="1"/>
      <c r="D204" s="1"/>
      <c r="E204" s="1"/>
      <c r="F204" s="11" t="str">
        <f t="shared" si="0"/>
        <v/>
      </c>
      <c r="G204" s="26" t="str">
        <f t="shared" si="1"/>
        <v/>
      </c>
      <c r="H204" s="1"/>
      <c r="I204" s="1"/>
      <c r="J204" s="44"/>
      <c r="K204" s="1"/>
      <c r="L204" s="1"/>
      <c r="M204" s="1"/>
      <c r="N204" s="1"/>
      <c r="O204" s="1"/>
      <c r="P204" s="1"/>
      <c r="Q204" s="1"/>
      <c r="R204" s="1"/>
      <c r="S204" s="1"/>
      <c r="T204" s="29"/>
      <c r="U204" s="18"/>
      <c r="V204" s="18"/>
      <c r="W204" s="18"/>
    </row>
    <row r="205" spans="1:23" ht="15.75">
      <c r="A205" s="48"/>
      <c r="B205" s="1"/>
      <c r="C205" s="1"/>
      <c r="D205" s="1"/>
      <c r="E205" s="1"/>
      <c r="F205" s="11" t="str">
        <f t="shared" si="0"/>
        <v/>
      </c>
      <c r="G205" s="26" t="str">
        <f t="shared" si="1"/>
        <v/>
      </c>
      <c r="H205" s="1"/>
      <c r="I205" s="1"/>
      <c r="J205" s="44"/>
      <c r="K205" s="1"/>
      <c r="L205" s="1"/>
      <c r="M205" s="1"/>
      <c r="N205" s="1"/>
      <c r="O205" s="1"/>
      <c r="P205" s="1"/>
      <c r="Q205" s="1"/>
      <c r="R205" s="1"/>
      <c r="S205" s="1"/>
      <c r="T205" s="29"/>
      <c r="U205" s="18"/>
      <c r="V205" s="18"/>
      <c r="W205" s="18"/>
    </row>
    <row r="206" spans="1:23" ht="15.75">
      <c r="A206" s="48"/>
      <c r="B206" s="1"/>
      <c r="C206" s="1"/>
      <c r="D206" s="1"/>
      <c r="E206" s="1"/>
      <c r="F206" s="11" t="str">
        <f t="shared" si="0"/>
        <v/>
      </c>
      <c r="G206" s="26" t="str">
        <f t="shared" si="1"/>
        <v/>
      </c>
      <c r="H206" s="1"/>
      <c r="I206" s="1"/>
      <c r="J206" s="44"/>
      <c r="K206" s="1"/>
      <c r="L206" s="1"/>
      <c r="M206" s="1"/>
      <c r="N206" s="1"/>
      <c r="O206" s="1"/>
      <c r="P206" s="1"/>
      <c r="Q206" s="1"/>
      <c r="R206" s="1"/>
      <c r="S206" s="1"/>
      <c r="T206" s="29"/>
      <c r="U206" s="18"/>
      <c r="V206" s="18"/>
      <c r="W206" s="18"/>
    </row>
    <row r="207" spans="1:23" ht="15.75">
      <c r="A207" s="48"/>
      <c r="B207" s="1"/>
      <c r="C207" s="1"/>
      <c r="D207" s="1"/>
      <c r="E207" s="1"/>
      <c r="F207" s="11" t="str">
        <f t="shared" si="0"/>
        <v/>
      </c>
      <c r="G207" s="26" t="str">
        <f t="shared" si="1"/>
        <v/>
      </c>
      <c r="H207" s="1"/>
      <c r="I207" s="1"/>
      <c r="J207" s="44"/>
      <c r="K207" s="1"/>
      <c r="L207" s="1"/>
      <c r="M207" s="1"/>
      <c r="N207" s="1"/>
      <c r="O207" s="1"/>
      <c r="P207" s="1"/>
      <c r="Q207" s="1"/>
      <c r="R207" s="1"/>
      <c r="S207" s="1"/>
      <c r="T207" s="29"/>
      <c r="U207" s="18"/>
      <c r="V207" s="18"/>
      <c r="W207" s="18"/>
    </row>
    <row r="208" spans="1:23" ht="15.75">
      <c r="A208" s="48"/>
      <c r="B208" s="1"/>
      <c r="C208" s="1"/>
      <c r="D208" s="1"/>
      <c r="E208" s="1"/>
      <c r="F208" s="11" t="str">
        <f t="shared" si="0"/>
        <v/>
      </c>
      <c r="G208" s="26" t="str">
        <f t="shared" si="1"/>
        <v/>
      </c>
      <c r="H208" s="1"/>
      <c r="I208" s="1"/>
      <c r="J208" s="44"/>
      <c r="K208" s="1"/>
      <c r="L208" s="1"/>
      <c r="M208" s="1"/>
      <c r="N208" s="1"/>
      <c r="O208" s="1"/>
      <c r="P208" s="1"/>
      <c r="Q208" s="1"/>
      <c r="R208" s="1"/>
      <c r="S208" s="1"/>
      <c r="T208" s="29"/>
      <c r="U208" s="18"/>
      <c r="V208" s="18"/>
      <c r="W208" s="18"/>
    </row>
    <row r="209" spans="1:23" ht="15.75">
      <c r="A209" s="48"/>
      <c r="B209" s="1"/>
      <c r="C209" s="1"/>
      <c r="D209" s="1"/>
      <c r="E209" s="1"/>
      <c r="F209" s="11" t="str">
        <f t="shared" si="0"/>
        <v/>
      </c>
      <c r="G209" s="26" t="str">
        <f t="shared" si="1"/>
        <v/>
      </c>
      <c r="H209" s="1"/>
      <c r="I209" s="1"/>
      <c r="J209" s="44"/>
      <c r="K209" s="1"/>
      <c r="L209" s="1"/>
      <c r="M209" s="1"/>
      <c r="N209" s="1"/>
      <c r="O209" s="1"/>
      <c r="P209" s="1"/>
      <c r="Q209" s="1"/>
      <c r="R209" s="1"/>
      <c r="S209" s="1"/>
      <c r="T209" s="29"/>
      <c r="U209" s="18"/>
      <c r="V209" s="18"/>
      <c r="W209" s="18"/>
    </row>
    <row r="210" spans="1:23" ht="15.75">
      <c r="A210" s="48"/>
      <c r="B210" s="1"/>
      <c r="C210" s="1"/>
      <c r="D210" s="1"/>
      <c r="E210" s="1"/>
      <c r="F210" s="11" t="str">
        <f t="shared" si="0"/>
        <v/>
      </c>
      <c r="G210" s="26" t="str">
        <f t="shared" si="1"/>
        <v/>
      </c>
      <c r="H210" s="1"/>
      <c r="I210" s="1"/>
      <c r="J210" s="44"/>
      <c r="K210" s="1"/>
      <c r="L210" s="1"/>
      <c r="M210" s="1"/>
      <c r="N210" s="1"/>
      <c r="O210" s="1"/>
      <c r="P210" s="1"/>
      <c r="Q210" s="1"/>
      <c r="R210" s="1"/>
      <c r="S210" s="1"/>
      <c r="T210" s="29"/>
      <c r="U210" s="18"/>
      <c r="V210" s="18"/>
      <c r="W210" s="18"/>
    </row>
    <row r="211" spans="1:23" ht="15.75">
      <c r="A211" s="48"/>
      <c r="B211" s="1"/>
      <c r="C211" s="1"/>
      <c r="D211" s="1"/>
      <c r="E211" s="1"/>
      <c r="F211" s="11" t="str">
        <f t="shared" si="0"/>
        <v/>
      </c>
      <c r="G211" s="26" t="str">
        <f t="shared" si="1"/>
        <v/>
      </c>
      <c r="H211" s="1"/>
      <c r="I211" s="1"/>
      <c r="J211" s="44"/>
      <c r="K211" s="1"/>
      <c r="L211" s="1"/>
      <c r="M211" s="1"/>
      <c r="N211" s="1"/>
      <c r="O211" s="1"/>
      <c r="P211" s="1"/>
      <c r="Q211" s="1"/>
      <c r="R211" s="1"/>
      <c r="S211" s="1"/>
      <c r="T211" s="29"/>
      <c r="U211" s="18"/>
      <c r="V211" s="18"/>
      <c r="W211" s="18"/>
    </row>
    <row r="212" spans="1:23" ht="15.75">
      <c r="A212" s="48"/>
      <c r="B212" s="1"/>
      <c r="C212" s="1"/>
      <c r="D212" s="1"/>
      <c r="E212" s="1"/>
      <c r="F212" s="11" t="str">
        <f t="shared" si="0"/>
        <v/>
      </c>
      <c r="G212" s="26" t="str">
        <f t="shared" si="1"/>
        <v/>
      </c>
      <c r="H212" s="1"/>
      <c r="I212" s="1"/>
      <c r="J212" s="44"/>
      <c r="K212" s="1"/>
      <c r="L212" s="1"/>
      <c r="M212" s="1"/>
      <c r="N212" s="1"/>
      <c r="O212" s="1"/>
      <c r="P212" s="1"/>
      <c r="Q212" s="1"/>
      <c r="R212" s="1"/>
      <c r="S212" s="1"/>
      <c r="T212" s="29"/>
      <c r="U212" s="18"/>
      <c r="V212" s="18"/>
      <c r="W212" s="18"/>
    </row>
    <row r="213" spans="1:23" ht="15.75">
      <c r="A213" s="48"/>
      <c r="B213" s="1"/>
      <c r="C213" s="1"/>
      <c r="D213" s="1"/>
      <c r="E213" s="1"/>
      <c r="F213" s="11" t="str">
        <f t="shared" si="0"/>
        <v/>
      </c>
      <c r="G213" s="26" t="str">
        <f t="shared" si="1"/>
        <v/>
      </c>
      <c r="H213" s="1"/>
      <c r="I213" s="1"/>
      <c r="J213" s="44"/>
      <c r="K213" s="1"/>
      <c r="L213" s="1"/>
      <c r="M213" s="1"/>
      <c r="N213" s="1"/>
      <c r="O213" s="1"/>
      <c r="P213" s="1"/>
      <c r="Q213" s="1"/>
      <c r="R213" s="1"/>
      <c r="S213" s="1"/>
      <c r="T213" s="29"/>
      <c r="U213" s="18"/>
      <c r="V213" s="18"/>
      <c r="W213" s="18"/>
    </row>
    <row r="214" spans="1:23" ht="15.75">
      <c r="A214" s="48"/>
      <c r="B214" s="1"/>
      <c r="C214" s="1"/>
      <c r="D214" s="1"/>
      <c r="E214" s="1"/>
      <c r="F214" s="11" t="str">
        <f t="shared" si="0"/>
        <v/>
      </c>
      <c r="G214" s="26" t="str">
        <f t="shared" si="1"/>
        <v/>
      </c>
      <c r="H214" s="1"/>
      <c r="I214" s="1"/>
      <c r="J214" s="44"/>
      <c r="K214" s="1"/>
      <c r="L214" s="1"/>
      <c r="M214" s="1"/>
      <c r="N214" s="1"/>
      <c r="O214" s="1"/>
      <c r="P214" s="1"/>
      <c r="Q214" s="1"/>
      <c r="R214" s="1"/>
      <c r="S214" s="1"/>
      <c r="T214" s="29"/>
      <c r="U214" s="18"/>
      <c r="V214" s="18"/>
      <c r="W214" s="18"/>
    </row>
    <row r="215" spans="1:23" ht="15.75">
      <c r="A215" s="48"/>
      <c r="B215" s="1"/>
      <c r="C215" s="1"/>
      <c r="D215" s="1"/>
      <c r="E215" s="1"/>
      <c r="F215" s="11" t="str">
        <f t="shared" si="0"/>
        <v/>
      </c>
      <c r="G215" s="26" t="str">
        <f t="shared" si="1"/>
        <v/>
      </c>
      <c r="H215" s="1"/>
      <c r="I215" s="1"/>
      <c r="J215" s="44"/>
      <c r="K215" s="1"/>
      <c r="L215" s="1"/>
      <c r="M215" s="1"/>
      <c r="N215" s="1"/>
      <c r="O215" s="1"/>
      <c r="P215" s="1"/>
      <c r="Q215" s="1"/>
      <c r="R215" s="1"/>
      <c r="S215" s="1"/>
      <c r="T215" s="29"/>
      <c r="U215" s="18"/>
      <c r="V215" s="18"/>
      <c r="W215" s="18"/>
    </row>
    <row r="216" spans="1:23" ht="15.75">
      <c r="A216" s="48"/>
      <c r="B216" s="1"/>
      <c r="C216" s="1"/>
      <c r="D216" s="1"/>
      <c r="E216" s="1"/>
      <c r="F216" s="11" t="str">
        <f t="shared" si="0"/>
        <v/>
      </c>
      <c r="G216" s="26" t="str">
        <f t="shared" si="1"/>
        <v/>
      </c>
      <c r="H216" s="1"/>
      <c r="I216" s="1"/>
      <c r="J216" s="44"/>
      <c r="K216" s="1"/>
      <c r="L216" s="1"/>
      <c r="M216" s="1"/>
      <c r="N216" s="1"/>
      <c r="O216" s="1"/>
      <c r="P216" s="1"/>
      <c r="Q216" s="1"/>
      <c r="R216" s="1"/>
      <c r="S216" s="1"/>
      <c r="T216" s="29"/>
      <c r="U216" s="18"/>
      <c r="V216" s="18"/>
      <c r="W216" s="18"/>
    </row>
    <row r="217" spans="1:23" ht="15.75">
      <c r="A217" s="48"/>
      <c r="B217" s="1"/>
      <c r="C217" s="1"/>
      <c r="D217" s="1"/>
      <c r="E217" s="1"/>
      <c r="F217" s="11" t="str">
        <f t="shared" si="0"/>
        <v/>
      </c>
      <c r="G217" s="26" t="str">
        <f t="shared" si="1"/>
        <v/>
      </c>
      <c r="H217" s="1"/>
      <c r="I217" s="1"/>
      <c r="J217" s="44"/>
      <c r="K217" s="1"/>
      <c r="L217" s="1"/>
      <c r="M217" s="1"/>
      <c r="N217" s="1"/>
      <c r="O217" s="1"/>
      <c r="P217" s="1"/>
      <c r="Q217" s="1"/>
      <c r="R217" s="1"/>
      <c r="S217" s="1"/>
      <c r="T217" s="29"/>
      <c r="U217" s="18"/>
      <c r="V217" s="18"/>
      <c r="W217" s="18"/>
    </row>
    <row r="218" spans="1:23" ht="15.75">
      <c r="A218" s="48"/>
      <c r="B218" s="1"/>
      <c r="C218" s="1"/>
      <c r="D218" s="1"/>
      <c r="E218" s="1"/>
      <c r="F218" s="11" t="str">
        <f t="shared" si="0"/>
        <v/>
      </c>
      <c r="G218" s="26" t="str">
        <f t="shared" si="1"/>
        <v/>
      </c>
      <c r="H218" s="1"/>
      <c r="I218" s="1"/>
      <c r="J218" s="44"/>
      <c r="K218" s="1"/>
      <c r="L218" s="1"/>
      <c r="M218" s="1"/>
      <c r="N218" s="1"/>
      <c r="O218" s="1"/>
      <c r="P218" s="1"/>
      <c r="Q218" s="1"/>
      <c r="R218" s="1"/>
      <c r="S218" s="1"/>
      <c r="T218" s="29"/>
      <c r="U218" s="18"/>
      <c r="V218" s="18"/>
      <c r="W218" s="18"/>
    </row>
    <row r="219" spans="1:23" ht="15.75">
      <c r="A219" s="48"/>
      <c r="B219" s="1"/>
      <c r="C219" s="1"/>
      <c r="D219" s="1"/>
      <c r="E219" s="1"/>
      <c r="F219" s="11" t="str">
        <f t="shared" si="0"/>
        <v/>
      </c>
      <c r="G219" s="26" t="str">
        <f t="shared" si="1"/>
        <v/>
      </c>
      <c r="H219" s="1"/>
      <c r="I219" s="1"/>
      <c r="J219" s="44"/>
      <c r="K219" s="1"/>
      <c r="L219" s="1"/>
      <c r="M219" s="1"/>
      <c r="N219" s="1"/>
      <c r="O219" s="1"/>
      <c r="P219" s="1"/>
      <c r="Q219" s="1"/>
      <c r="R219" s="1"/>
      <c r="S219" s="1"/>
      <c r="T219" s="29"/>
      <c r="U219" s="18"/>
      <c r="V219" s="18"/>
      <c r="W219" s="18"/>
    </row>
    <row r="220" spans="1:23" ht="15.75">
      <c r="A220" s="48"/>
      <c r="B220" s="1"/>
      <c r="C220" s="1"/>
      <c r="D220" s="1"/>
      <c r="E220" s="1"/>
      <c r="F220" s="11" t="str">
        <f t="shared" si="0"/>
        <v/>
      </c>
      <c r="G220" s="26" t="str">
        <f t="shared" si="1"/>
        <v/>
      </c>
      <c r="H220" s="1"/>
      <c r="I220" s="1"/>
      <c r="J220" s="44"/>
      <c r="K220" s="1"/>
      <c r="L220" s="1"/>
      <c r="M220" s="1"/>
      <c r="N220" s="1"/>
      <c r="O220" s="1"/>
      <c r="P220" s="1"/>
      <c r="Q220" s="1"/>
      <c r="R220" s="1"/>
      <c r="S220" s="1"/>
      <c r="T220" s="29"/>
      <c r="U220" s="18"/>
      <c r="V220" s="18"/>
      <c r="W220" s="18"/>
    </row>
    <row r="221" spans="1:23" ht="15.75">
      <c r="A221" s="48"/>
      <c r="B221" s="1"/>
      <c r="C221" s="1"/>
      <c r="D221" s="1"/>
      <c r="E221" s="1"/>
      <c r="F221" s="11" t="str">
        <f t="shared" si="0"/>
        <v/>
      </c>
      <c r="G221" s="26" t="str">
        <f t="shared" si="1"/>
        <v/>
      </c>
      <c r="H221" s="1"/>
      <c r="I221" s="1"/>
      <c r="J221" s="44"/>
      <c r="K221" s="1"/>
      <c r="L221" s="1"/>
      <c r="M221" s="1"/>
      <c r="N221" s="1"/>
      <c r="O221" s="1"/>
      <c r="P221" s="1"/>
      <c r="Q221" s="1"/>
      <c r="R221" s="1"/>
      <c r="S221" s="1"/>
      <c r="T221" s="29"/>
      <c r="U221" s="18"/>
      <c r="V221" s="18"/>
      <c r="W221" s="18"/>
    </row>
    <row r="222" spans="1:23" ht="15.75">
      <c r="A222" s="48"/>
      <c r="B222" s="1"/>
      <c r="C222" s="1"/>
      <c r="D222" s="1"/>
      <c r="E222" s="1"/>
      <c r="F222" s="11" t="str">
        <f t="shared" si="0"/>
        <v/>
      </c>
      <c r="G222" s="26" t="str">
        <f t="shared" si="1"/>
        <v/>
      </c>
      <c r="H222" s="1"/>
      <c r="I222" s="1"/>
      <c r="J222" s="44"/>
      <c r="K222" s="1"/>
      <c r="L222" s="1"/>
      <c r="M222" s="1"/>
      <c r="N222" s="1"/>
      <c r="O222" s="1"/>
      <c r="P222" s="1"/>
      <c r="Q222" s="1"/>
      <c r="R222" s="1"/>
      <c r="S222" s="1"/>
      <c r="T222" s="29"/>
      <c r="U222" s="18"/>
      <c r="V222" s="18"/>
      <c r="W222" s="18"/>
    </row>
    <row r="223" spans="1:23" ht="15.75">
      <c r="A223" s="48"/>
      <c r="B223" s="1"/>
      <c r="C223" s="1"/>
      <c r="D223" s="1"/>
      <c r="E223" s="1"/>
      <c r="F223" s="11" t="str">
        <f t="shared" si="0"/>
        <v/>
      </c>
      <c r="G223" s="26" t="str">
        <f t="shared" si="1"/>
        <v/>
      </c>
      <c r="H223" s="1"/>
      <c r="I223" s="1"/>
      <c r="J223" s="44"/>
      <c r="K223" s="1"/>
      <c r="L223" s="1"/>
      <c r="M223" s="1"/>
      <c r="N223" s="1"/>
      <c r="O223" s="1"/>
      <c r="P223" s="1"/>
      <c r="Q223" s="1"/>
      <c r="R223" s="1"/>
      <c r="S223" s="1"/>
      <c r="T223" s="29"/>
      <c r="U223" s="18"/>
      <c r="V223" s="18"/>
      <c r="W223" s="18"/>
    </row>
    <row r="224" spans="1:23" ht="15.75">
      <c r="A224" s="48"/>
      <c r="B224" s="1"/>
      <c r="C224" s="1"/>
      <c r="D224" s="1"/>
      <c r="E224" s="1"/>
      <c r="F224" s="11" t="str">
        <f t="shared" si="0"/>
        <v/>
      </c>
      <c r="G224" s="26" t="str">
        <f t="shared" si="1"/>
        <v/>
      </c>
      <c r="H224" s="1"/>
      <c r="I224" s="1"/>
      <c r="J224" s="44"/>
      <c r="K224" s="1"/>
      <c r="L224" s="1"/>
      <c r="M224" s="1"/>
      <c r="N224" s="1"/>
      <c r="O224" s="1"/>
      <c r="P224" s="1"/>
      <c r="Q224" s="1"/>
      <c r="R224" s="1"/>
      <c r="S224" s="1"/>
      <c r="T224" s="29"/>
      <c r="U224" s="18"/>
      <c r="V224" s="18"/>
      <c r="W224" s="18"/>
    </row>
    <row r="225" spans="1:23" ht="15.75">
      <c r="A225" s="48"/>
      <c r="B225" s="1"/>
      <c r="C225" s="1"/>
      <c r="D225" s="1"/>
      <c r="E225" s="1"/>
      <c r="F225" s="11" t="str">
        <f t="shared" si="0"/>
        <v/>
      </c>
      <c r="G225" s="26" t="str">
        <f t="shared" si="1"/>
        <v/>
      </c>
      <c r="H225" s="1"/>
      <c r="I225" s="1"/>
      <c r="J225" s="44"/>
      <c r="K225" s="1"/>
      <c r="L225" s="1"/>
      <c r="M225" s="1"/>
      <c r="N225" s="1"/>
      <c r="O225" s="1"/>
      <c r="P225" s="1"/>
      <c r="Q225" s="1"/>
      <c r="R225" s="1"/>
      <c r="S225" s="1"/>
      <c r="T225" s="29"/>
      <c r="U225" s="18"/>
      <c r="V225" s="18"/>
      <c r="W225" s="18"/>
    </row>
    <row r="226" spans="1:23" ht="15.75">
      <c r="A226" s="48"/>
      <c r="B226" s="1"/>
      <c r="C226" s="1"/>
      <c r="D226" s="1"/>
      <c r="E226" s="1"/>
      <c r="F226" s="11" t="str">
        <f t="shared" si="0"/>
        <v/>
      </c>
      <c r="G226" s="26" t="str">
        <f t="shared" si="1"/>
        <v/>
      </c>
      <c r="H226" s="1"/>
      <c r="I226" s="1"/>
      <c r="J226" s="44"/>
      <c r="K226" s="1"/>
      <c r="L226" s="1"/>
      <c r="M226" s="1"/>
      <c r="N226" s="1"/>
      <c r="O226" s="1"/>
      <c r="P226" s="1"/>
      <c r="Q226" s="1"/>
      <c r="R226" s="1"/>
      <c r="S226" s="1"/>
      <c r="T226" s="29"/>
      <c r="U226" s="18"/>
      <c r="V226" s="18"/>
      <c r="W226" s="18"/>
    </row>
    <row r="227" spans="1:23" ht="15.75">
      <c r="A227" s="48"/>
      <c r="B227" s="1"/>
      <c r="C227" s="1"/>
      <c r="D227" s="1"/>
      <c r="E227" s="1"/>
      <c r="F227" s="11" t="str">
        <f t="shared" si="0"/>
        <v/>
      </c>
      <c r="G227" s="26" t="str">
        <f t="shared" si="1"/>
        <v/>
      </c>
      <c r="H227" s="1"/>
      <c r="I227" s="1"/>
      <c r="J227" s="44"/>
      <c r="K227" s="1"/>
      <c r="L227" s="1"/>
      <c r="M227" s="1"/>
      <c r="N227" s="1"/>
      <c r="O227" s="1"/>
      <c r="P227" s="1"/>
      <c r="Q227" s="1"/>
      <c r="R227" s="1"/>
      <c r="S227" s="1"/>
      <c r="T227" s="29"/>
      <c r="U227" s="18"/>
      <c r="V227" s="18"/>
      <c r="W227" s="18"/>
    </row>
    <row r="228" spans="1:23" ht="15.75">
      <c r="A228" s="48"/>
      <c r="B228" s="1"/>
      <c r="C228" s="1"/>
      <c r="D228" s="1"/>
      <c r="E228" s="1"/>
      <c r="F228" s="11" t="str">
        <f t="shared" si="0"/>
        <v/>
      </c>
      <c r="G228" s="26" t="str">
        <f t="shared" si="1"/>
        <v/>
      </c>
      <c r="H228" s="1"/>
      <c r="I228" s="1"/>
      <c r="J228" s="44"/>
      <c r="K228" s="1"/>
      <c r="L228" s="1"/>
      <c r="M228" s="1"/>
      <c r="N228" s="1"/>
      <c r="O228" s="1"/>
      <c r="P228" s="1"/>
      <c r="Q228" s="1"/>
      <c r="R228" s="1"/>
      <c r="S228" s="1"/>
      <c r="T228" s="29"/>
      <c r="U228" s="18"/>
      <c r="V228" s="18"/>
      <c r="W228" s="18"/>
    </row>
    <row r="229" spans="1:23" ht="15.75">
      <c r="A229" s="48"/>
      <c r="B229" s="1"/>
      <c r="C229" s="1"/>
      <c r="D229" s="1"/>
      <c r="E229" s="1"/>
      <c r="F229" s="11" t="str">
        <f t="shared" si="0"/>
        <v/>
      </c>
      <c r="G229" s="26" t="str">
        <f t="shared" si="1"/>
        <v/>
      </c>
      <c r="H229" s="1"/>
      <c r="I229" s="1"/>
      <c r="J229" s="44"/>
      <c r="K229" s="1"/>
      <c r="L229" s="1"/>
      <c r="M229" s="1"/>
      <c r="N229" s="1"/>
      <c r="O229" s="1"/>
      <c r="P229" s="1"/>
      <c r="Q229" s="1"/>
      <c r="R229" s="1"/>
      <c r="S229" s="1"/>
      <c r="T229" s="29"/>
      <c r="U229" s="18"/>
      <c r="V229" s="18"/>
      <c r="W229" s="18"/>
    </row>
    <row r="230" spans="1:23" ht="15.75">
      <c r="A230" s="48"/>
      <c r="B230" s="1"/>
      <c r="C230" s="1"/>
      <c r="D230" s="1"/>
      <c r="E230" s="1"/>
      <c r="F230" s="11" t="str">
        <f t="shared" si="0"/>
        <v/>
      </c>
      <c r="G230" s="26" t="str">
        <f t="shared" si="1"/>
        <v/>
      </c>
      <c r="H230" s="1"/>
      <c r="I230" s="1"/>
      <c r="J230" s="44"/>
      <c r="K230" s="1"/>
      <c r="L230" s="1"/>
      <c r="M230" s="1"/>
      <c r="N230" s="1"/>
      <c r="O230" s="1"/>
      <c r="P230" s="1"/>
      <c r="Q230" s="1"/>
      <c r="R230" s="1"/>
      <c r="S230" s="1"/>
      <c r="T230" s="29"/>
      <c r="U230" s="18"/>
      <c r="V230" s="18"/>
      <c r="W230" s="18"/>
    </row>
    <row r="231" spans="1:23" ht="15.75">
      <c r="A231" s="48"/>
      <c r="B231" s="1"/>
      <c r="C231" s="1"/>
      <c r="D231" s="1"/>
      <c r="E231" s="1"/>
      <c r="F231" s="11" t="str">
        <f t="shared" si="0"/>
        <v/>
      </c>
      <c r="G231" s="26" t="str">
        <f t="shared" si="1"/>
        <v/>
      </c>
      <c r="H231" s="1"/>
      <c r="I231" s="1"/>
      <c r="J231" s="44"/>
      <c r="K231" s="1"/>
      <c r="L231" s="1"/>
      <c r="M231" s="1"/>
      <c r="N231" s="1"/>
      <c r="O231" s="1"/>
      <c r="P231" s="1"/>
      <c r="Q231" s="1"/>
      <c r="R231" s="1"/>
      <c r="S231" s="1"/>
      <c r="T231" s="29"/>
      <c r="U231" s="18"/>
      <c r="V231" s="18"/>
      <c r="W231" s="18"/>
    </row>
    <row r="232" spans="1:23" ht="15.75">
      <c r="A232" s="48"/>
      <c r="B232" s="1"/>
      <c r="C232" s="1"/>
      <c r="D232" s="1"/>
      <c r="E232" s="1"/>
      <c r="F232" s="11" t="str">
        <f t="shared" si="0"/>
        <v/>
      </c>
      <c r="G232" s="26" t="str">
        <f t="shared" si="1"/>
        <v/>
      </c>
      <c r="H232" s="1"/>
      <c r="I232" s="1"/>
      <c r="J232" s="44"/>
      <c r="K232" s="1"/>
      <c r="L232" s="1"/>
      <c r="M232" s="1"/>
      <c r="N232" s="1"/>
      <c r="O232" s="1"/>
      <c r="P232" s="1"/>
      <c r="Q232" s="1"/>
      <c r="R232" s="1"/>
      <c r="S232" s="1"/>
      <c r="T232" s="29"/>
      <c r="U232" s="18"/>
      <c r="V232" s="18"/>
      <c r="W232" s="18"/>
    </row>
    <row r="233" spans="1:23" ht="15.75">
      <c r="A233" s="48"/>
      <c r="B233" s="1"/>
      <c r="C233" s="1"/>
      <c r="D233" s="1"/>
      <c r="E233" s="1"/>
      <c r="F233" s="11" t="str">
        <f t="shared" si="0"/>
        <v/>
      </c>
      <c r="G233" s="26" t="str">
        <f t="shared" si="1"/>
        <v/>
      </c>
      <c r="H233" s="1"/>
      <c r="I233" s="1"/>
      <c r="J233" s="44"/>
      <c r="K233" s="1"/>
      <c r="L233" s="1"/>
      <c r="M233" s="1"/>
      <c r="N233" s="1"/>
      <c r="O233" s="1"/>
      <c r="P233" s="1"/>
      <c r="Q233" s="1"/>
      <c r="R233" s="1"/>
      <c r="S233" s="1"/>
      <c r="T233" s="29"/>
      <c r="U233" s="18"/>
      <c r="V233" s="18"/>
      <c r="W233" s="18"/>
    </row>
    <row r="234" spans="1:23" ht="15.75">
      <c r="A234" s="48"/>
      <c r="B234" s="1"/>
      <c r="C234" s="1"/>
      <c r="D234" s="1"/>
      <c r="E234" s="1"/>
      <c r="F234" s="11" t="str">
        <f t="shared" si="0"/>
        <v/>
      </c>
      <c r="G234" s="26" t="str">
        <f t="shared" si="1"/>
        <v/>
      </c>
      <c r="H234" s="1"/>
      <c r="I234" s="1"/>
      <c r="J234" s="44"/>
      <c r="K234" s="1"/>
      <c r="L234" s="1"/>
      <c r="M234" s="1"/>
      <c r="N234" s="1"/>
      <c r="O234" s="1"/>
      <c r="P234" s="1"/>
      <c r="Q234" s="1"/>
      <c r="R234" s="1"/>
      <c r="S234" s="1"/>
      <c r="T234" s="29"/>
      <c r="U234" s="18"/>
      <c r="V234" s="18"/>
      <c r="W234" s="18"/>
    </row>
    <row r="235" spans="1:23" ht="15.75">
      <c r="A235" s="48"/>
      <c r="B235" s="1"/>
      <c r="C235" s="1"/>
      <c r="D235" s="1"/>
      <c r="E235" s="1"/>
      <c r="F235" s="11" t="str">
        <f t="shared" si="0"/>
        <v/>
      </c>
      <c r="G235" s="26" t="str">
        <f t="shared" si="1"/>
        <v/>
      </c>
      <c r="H235" s="1"/>
      <c r="I235" s="1"/>
      <c r="J235" s="44"/>
      <c r="K235" s="1"/>
      <c r="L235" s="1"/>
      <c r="M235" s="1"/>
      <c r="N235" s="1"/>
      <c r="O235" s="1"/>
      <c r="P235" s="1"/>
      <c r="Q235" s="1"/>
      <c r="R235" s="1"/>
      <c r="S235" s="1"/>
      <c r="T235" s="29"/>
      <c r="U235" s="18"/>
      <c r="V235" s="18"/>
      <c r="W235" s="18"/>
    </row>
    <row r="236" spans="1:23" ht="15.75">
      <c r="A236" s="48"/>
      <c r="B236" s="1"/>
      <c r="C236" s="1"/>
      <c r="D236" s="1"/>
      <c r="E236" s="1"/>
      <c r="F236" s="11" t="str">
        <f t="shared" si="0"/>
        <v/>
      </c>
      <c r="G236" s="26" t="str">
        <f t="shared" si="1"/>
        <v/>
      </c>
      <c r="H236" s="1"/>
      <c r="I236" s="1"/>
      <c r="J236" s="44"/>
      <c r="K236" s="1"/>
      <c r="L236" s="1"/>
      <c r="M236" s="1"/>
      <c r="N236" s="1"/>
      <c r="O236" s="1"/>
      <c r="P236" s="1"/>
      <c r="Q236" s="1"/>
      <c r="R236" s="1"/>
      <c r="S236" s="1"/>
      <c r="T236" s="29"/>
      <c r="U236" s="18"/>
      <c r="V236" s="18"/>
      <c r="W236" s="18"/>
    </row>
    <row r="237" spans="1:23" ht="15.75">
      <c r="A237" s="48"/>
      <c r="B237" s="1"/>
      <c r="C237" s="1"/>
      <c r="D237" s="1"/>
      <c r="E237" s="1"/>
      <c r="F237" s="11" t="str">
        <f t="shared" si="0"/>
        <v/>
      </c>
      <c r="G237" s="26" t="str">
        <f t="shared" si="1"/>
        <v/>
      </c>
      <c r="H237" s="1"/>
      <c r="I237" s="1"/>
      <c r="J237" s="44"/>
      <c r="K237" s="1"/>
      <c r="L237" s="1"/>
      <c r="M237" s="1"/>
      <c r="N237" s="1"/>
      <c r="O237" s="1"/>
      <c r="P237" s="1"/>
      <c r="Q237" s="1"/>
      <c r="R237" s="1"/>
      <c r="S237" s="1"/>
      <c r="T237" s="29"/>
      <c r="U237" s="18"/>
      <c r="V237" s="18"/>
      <c r="W237" s="18"/>
    </row>
    <row r="238" spans="1:23" ht="15.75">
      <c r="A238" s="48"/>
      <c r="B238" s="1"/>
      <c r="C238" s="1"/>
      <c r="D238" s="1"/>
      <c r="E238" s="1"/>
      <c r="F238" s="11" t="str">
        <f t="shared" si="0"/>
        <v/>
      </c>
      <c r="G238" s="26" t="str">
        <f t="shared" si="1"/>
        <v/>
      </c>
      <c r="H238" s="1"/>
      <c r="I238" s="1"/>
      <c r="J238" s="44"/>
      <c r="K238" s="1"/>
      <c r="L238" s="1"/>
      <c r="M238" s="1"/>
      <c r="N238" s="1"/>
      <c r="O238" s="1"/>
      <c r="P238" s="1"/>
      <c r="Q238" s="1"/>
      <c r="R238" s="1"/>
      <c r="S238" s="1"/>
      <c r="T238" s="29"/>
      <c r="U238" s="18"/>
      <c r="V238" s="18"/>
      <c r="W238" s="18"/>
    </row>
    <row r="239" spans="1:23" ht="15.75">
      <c r="A239" s="48"/>
      <c r="B239" s="1"/>
      <c r="C239" s="1"/>
      <c r="D239" s="1"/>
      <c r="E239" s="1"/>
      <c r="F239" s="11" t="str">
        <f t="shared" si="0"/>
        <v/>
      </c>
      <c r="G239" s="26" t="str">
        <f t="shared" si="1"/>
        <v/>
      </c>
      <c r="H239" s="1"/>
      <c r="I239" s="1"/>
      <c r="J239" s="44"/>
      <c r="K239" s="1"/>
      <c r="L239" s="1"/>
      <c r="M239" s="1"/>
      <c r="N239" s="1"/>
      <c r="O239" s="1"/>
      <c r="P239" s="1"/>
      <c r="Q239" s="1"/>
      <c r="R239" s="1"/>
      <c r="S239" s="1"/>
      <c r="T239" s="29"/>
      <c r="U239" s="18"/>
      <c r="V239" s="18"/>
      <c r="W239" s="18"/>
    </row>
    <row r="240" spans="1:23" ht="15.75">
      <c r="A240" s="48"/>
      <c r="B240" s="1"/>
      <c r="C240" s="1"/>
      <c r="D240" s="1"/>
      <c r="E240" s="1"/>
      <c r="F240" s="11" t="str">
        <f t="shared" si="0"/>
        <v/>
      </c>
      <c r="G240" s="26" t="str">
        <f t="shared" si="1"/>
        <v/>
      </c>
      <c r="H240" s="1"/>
      <c r="I240" s="1"/>
      <c r="J240" s="44"/>
      <c r="K240" s="1"/>
      <c r="L240" s="1"/>
      <c r="M240" s="1"/>
      <c r="N240" s="1"/>
      <c r="O240" s="1"/>
      <c r="P240" s="1"/>
      <c r="Q240" s="1"/>
      <c r="R240" s="1"/>
      <c r="S240" s="1"/>
      <c r="T240" s="29"/>
      <c r="U240" s="18"/>
      <c r="V240" s="18"/>
      <c r="W240" s="18"/>
    </row>
    <row r="241" spans="1:23" ht="15.75">
      <c r="A241" s="48"/>
      <c r="B241" s="1"/>
      <c r="C241" s="1"/>
      <c r="D241" s="1"/>
      <c r="E241" s="1"/>
      <c r="F241" s="11" t="str">
        <f t="shared" si="0"/>
        <v/>
      </c>
      <c r="G241" s="26" t="str">
        <f t="shared" si="1"/>
        <v/>
      </c>
      <c r="H241" s="1"/>
      <c r="I241" s="1"/>
      <c r="J241" s="44"/>
      <c r="K241" s="1"/>
      <c r="L241" s="1"/>
      <c r="M241" s="1"/>
      <c r="N241" s="1"/>
      <c r="O241" s="1"/>
      <c r="P241" s="1"/>
      <c r="Q241" s="1"/>
      <c r="R241" s="1"/>
      <c r="S241" s="1"/>
      <c r="T241" s="29"/>
      <c r="U241" s="18"/>
      <c r="V241" s="18"/>
      <c r="W241" s="18"/>
    </row>
    <row r="242" spans="1:23" ht="15.75">
      <c r="A242" s="48"/>
      <c r="B242" s="1"/>
      <c r="C242" s="1"/>
      <c r="D242" s="1"/>
      <c r="E242" s="1"/>
      <c r="F242" s="11" t="str">
        <f t="shared" si="0"/>
        <v/>
      </c>
      <c r="G242" s="26" t="str">
        <f t="shared" si="1"/>
        <v/>
      </c>
      <c r="H242" s="1"/>
      <c r="I242" s="1"/>
      <c r="J242" s="44"/>
      <c r="K242" s="1"/>
      <c r="L242" s="1"/>
      <c r="M242" s="1"/>
      <c r="N242" s="1"/>
      <c r="O242" s="1"/>
      <c r="P242" s="1"/>
      <c r="Q242" s="1"/>
      <c r="R242" s="1"/>
      <c r="S242" s="1"/>
      <c r="T242" s="29"/>
      <c r="U242" s="18"/>
      <c r="V242" s="18"/>
      <c r="W242" s="18"/>
    </row>
    <row r="243" spans="1:23" ht="15.75">
      <c r="A243" s="48"/>
      <c r="B243" s="1"/>
      <c r="C243" s="1"/>
      <c r="D243" s="1"/>
      <c r="E243" s="1"/>
      <c r="F243" s="11" t="str">
        <f t="shared" si="0"/>
        <v/>
      </c>
      <c r="G243" s="26" t="str">
        <f t="shared" si="1"/>
        <v/>
      </c>
      <c r="H243" s="1"/>
      <c r="I243" s="1"/>
      <c r="J243" s="44"/>
      <c r="K243" s="1"/>
      <c r="L243" s="1"/>
      <c r="M243" s="1"/>
      <c r="N243" s="1"/>
      <c r="O243" s="1"/>
      <c r="P243" s="1"/>
      <c r="Q243" s="1"/>
      <c r="R243" s="1"/>
      <c r="S243" s="1"/>
      <c r="T243" s="29"/>
      <c r="U243" s="18"/>
      <c r="V243" s="18"/>
      <c r="W243" s="18"/>
    </row>
    <row r="244" spans="1:23" ht="15.75">
      <c r="A244" s="48"/>
      <c r="B244" s="1"/>
      <c r="C244" s="1"/>
      <c r="D244" s="1"/>
      <c r="E244" s="1"/>
      <c r="F244" s="11" t="str">
        <f t="shared" si="0"/>
        <v/>
      </c>
      <c r="G244" s="26" t="str">
        <f t="shared" si="1"/>
        <v/>
      </c>
      <c r="H244" s="1"/>
      <c r="I244" s="1"/>
      <c r="J244" s="44"/>
      <c r="K244" s="1"/>
      <c r="L244" s="1"/>
      <c r="M244" s="1"/>
      <c r="N244" s="1"/>
      <c r="O244" s="1"/>
      <c r="P244" s="1"/>
      <c r="Q244" s="1"/>
      <c r="R244" s="1"/>
      <c r="S244" s="1"/>
      <c r="T244" s="29"/>
      <c r="U244" s="18"/>
      <c r="V244" s="18"/>
      <c r="W244" s="18"/>
    </row>
    <row r="245" spans="1:23" ht="15.75">
      <c r="A245" s="48"/>
      <c r="B245" s="1"/>
      <c r="C245" s="1"/>
      <c r="D245" s="1"/>
      <c r="E245" s="1"/>
      <c r="F245" s="11" t="str">
        <f t="shared" si="0"/>
        <v/>
      </c>
      <c r="G245" s="26" t="str">
        <f t="shared" si="1"/>
        <v/>
      </c>
      <c r="H245" s="1"/>
      <c r="I245" s="1"/>
      <c r="J245" s="44"/>
      <c r="K245" s="1"/>
      <c r="L245" s="1"/>
      <c r="M245" s="1"/>
      <c r="N245" s="1"/>
      <c r="O245" s="1"/>
      <c r="P245" s="1"/>
      <c r="Q245" s="1"/>
      <c r="R245" s="1"/>
      <c r="S245" s="1"/>
      <c r="T245" s="29"/>
      <c r="U245" s="18"/>
      <c r="V245" s="18"/>
      <c r="W245" s="18"/>
    </row>
    <row r="246" spans="1:23" ht="15.75">
      <c r="A246" s="48"/>
      <c r="B246" s="1"/>
      <c r="C246" s="1"/>
      <c r="D246" s="1"/>
      <c r="E246" s="1"/>
      <c r="F246" s="11" t="str">
        <f t="shared" si="0"/>
        <v/>
      </c>
      <c r="G246" s="26" t="str">
        <f t="shared" si="1"/>
        <v/>
      </c>
      <c r="H246" s="1"/>
      <c r="I246" s="1"/>
      <c r="J246" s="44"/>
      <c r="K246" s="1"/>
      <c r="L246" s="1"/>
      <c r="M246" s="1"/>
      <c r="N246" s="1"/>
      <c r="O246" s="1"/>
      <c r="P246" s="1"/>
      <c r="Q246" s="1"/>
      <c r="R246" s="1"/>
      <c r="S246" s="1"/>
      <c r="T246" s="29"/>
      <c r="U246" s="18"/>
      <c r="V246" s="18"/>
      <c r="W246" s="18"/>
    </row>
    <row r="247" spans="1:23" ht="15.75">
      <c r="A247" s="48"/>
      <c r="B247" s="1"/>
      <c r="C247" s="1"/>
      <c r="D247" s="1"/>
      <c r="E247" s="1"/>
      <c r="F247" s="11" t="str">
        <f t="shared" si="0"/>
        <v/>
      </c>
      <c r="G247" s="26" t="str">
        <f t="shared" si="1"/>
        <v/>
      </c>
      <c r="H247" s="1"/>
      <c r="I247" s="1"/>
      <c r="J247" s="44"/>
      <c r="K247" s="1"/>
      <c r="L247" s="1"/>
      <c r="M247" s="1"/>
      <c r="N247" s="1"/>
      <c r="O247" s="1"/>
      <c r="P247" s="1"/>
      <c r="Q247" s="1"/>
      <c r="R247" s="1"/>
      <c r="S247" s="1"/>
      <c r="T247" s="29"/>
      <c r="U247" s="18"/>
      <c r="V247" s="18"/>
      <c r="W247" s="18"/>
    </row>
    <row r="248" spans="1:23" ht="15.75">
      <c r="A248" s="48"/>
      <c r="B248" s="1"/>
      <c r="C248" s="1"/>
      <c r="D248" s="1"/>
      <c r="E248" s="1"/>
      <c r="F248" s="11" t="str">
        <f t="shared" si="0"/>
        <v/>
      </c>
      <c r="G248" s="26" t="str">
        <f t="shared" si="1"/>
        <v/>
      </c>
      <c r="H248" s="1"/>
      <c r="I248" s="1"/>
      <c r="J248" s="44"/>
      <c r="K248" s="1"/>
      <c r="L248" s="1"/>
      <c r="M248" s="1"/>
      <c r="N248" s="1"/>
      <c r="O248" s="1"/>
      <c r="P248" s="1"/>
      <c r="Q248" s="1"/>
      <c r="R248" s="1"/>
      <c r="S248" s="1"/>
      <c r="T248" s="29"/>
      <c r="U248" s="18"/>
      <c r="V248" s="18"/>
      <c r="W248" s="18"/>
    </row>
    <row r="249" spans="1:23" ht="15.75">
      <c r="A249" s="48"/>
      <c r="B249" s="1"/>
      <c r="C249" s="1"/>
      <c r="D249" s="1"/>
      <c r="E249" s="1"/>
      <c r="F249" s="11" t="str">
        <f t="shared" si="0"/>
        <v/>
      </c>
      <c r="G249" s="26" t="str">
        <f t="shared" si="1"/>
        <v/>
      </c>
      <c r="H249" s="1"/>
      <c r="I249" s="1"/>
      <c r="J249" s="44"/>
      <c r="K249" s="1"/>
      <c r="L249" s="1"/>
      <c r="M249" s="1"/>
      <c r="N249" s="1"/>
      <c r="O249" s="1"/>
      <c r="P249" s="1"/>
      <c r="Q249" s="1"/>
      <c r="R249" s="1"/>
      <c r="S249" s="1"/>
      <c r="T249" s="29"/>
      <c r="U249" s="18"/>
      <c r="V249" s="18"/>
      <c r="W249" s="18"/>
    </row>
    <row r="250" spans="1:23" ht="15.75">
      <c r="A250" s="48"/>
      <c r="B250" s="1"/>
      <c r="C250" s="1"/>
      <c r="D250" s="1"/>
      <c r="E250" s="1"/>
      <c r="F250" s="11" t="str">
        <f t="shared" si="0"/>
        <v/>
      </c>
      <c r="G250" s="26" t="str">
        <f t="shared" si="1"/>
        <v/>
      </c>
      <c r="H250" s="1"/>
      <c r="I250" s="1"/>
      <c r="J250" s="44"/>
      <c r="K250" s="1"/>
      <c r="L250" s="1"/>
      <c r="M250" s="1"/>
      <c r="N250" s="1"/>
      <c r="O250" s="1"/>
      <c r="P250" s="1"/>
      <c r="Q250" s="1"/>
      <c r="R250" s="1"/>
      <c r="S250" s="1"/>
      <c r="T250" s="29"/>
      <c r="U250" s="18"/>
      <c r="V250" s="18"/>
      <c r="W250" s="18"/>
    </row>
    <row r="251" spans="1:23" ht="15.75">
      <c r="A251" s="48"/>
      <c r="B251" s="1"/>
      <c r="C251" s="1"/>
      <c r="D251" s="1"/>
      <c r="E251" s="1"/>
      <c r="F251" s="11" t="str">
        <f t="shared" si="0"/>
        <v/>
      </c>
      <c r="G251" s="26" t="str">
        <f t="shared" si="1"/>
        <v/>
      </c>
      <c r="H251" s="1"/>
      <c r="I251" s="1"/>
      <c r="J251" s="44"/>
      <c r="K251" s="1"/>
      <c r="L251" s="1"/>
      <c r="M251" s="1"/>
      <c r="N251" s="1"/>
      <c r="O251" s="1"/>
      <c r="P251" s="1"/>
      <c r="Q251" s="1"/>
      <c r="R251" s="1"/>
      <c r="S251" s="1"/>
      <c r="T251" s="29"/>
      <c r="U251" s="18"/>
      <c r="V251" s="18"/>
      <c r="W251" s="18"/>
    </row>
    <row r="252" spans="1:23" ht="15.75">
      <c r="A252" s="48"/>
      <c r="B252" s="1"/>
      <c r="C252" s="1"/>
      <c r="D252" s="1"/>
      <c r="E252" s="1"/>
      <c r="F252" s="11" t="str">
        <f t="shared" si="0"/>
        <v/>
      </c>
      <c r="G252" s="26" t="str">
        <f t="shared" si="1"/>
        <v/>
      </c>
      <c r="H252" s="1"/>
      <c r="I252" s="1"/>
      <c r="J252" s="44"/>
      <c r="K252" s="1"/>
      <c r="L252" s="1"/>
      <c r="M252" s="1"/>
      <c r="N252" s="1"/>
      <c r="O252" s="1"/>
      <c r="P252" s="1"/>
      <c r="Q252" s="1"/>
      <c r="R252" s="1"/>
      <c r="S252" s="1"/>
      <c r="T252" s="29"/>
      <c r="U252" s="18"/>
      <c r="V252" s="18"/>
      <c r="W252" s="18"/>
    </row>
    <row r="253" spans="1:23" ht="15.75">
      <c r="A253" s="48"/>
      <c r="B253" s="1"/>
      <c r="C253" s="1"/>
      <c r="D253" s="1"/>
      <c r="E253" s="1"/>
      <c r="F253" s="11" t="str">
        <f t="shared" si="0"/>
        <v/>
      </c>
      <c r="G253" s="26" t="str">
        <f t="shared" si="1"/>
        <v/>
      </c>
      <c r="H253" s="1"/>
      <c r="I253" s="1"/>
      <c r="J253" s="44"/>
      <c r="K253" s="1"/>
      <c r="L253" s="1"/>
      <c r="M253" s="1"/>
      <c r="N253" s="1"/>
      <c r="O253" s="1"/>
      <c r="P253" s="1"/>
      <c r="Q253" s="1"/>
      <c r="R253" s="1"/>
      <c r="S253" s="1"/>
      <c r="T253" s="29"/>
      <c r="U253" s="18"/>
      <c r="V253" s="18"/>
      <c r="W253" s="18"/>
    </row>
    <row r="254" spans="1:23" ht="15.75">
      <c r="A254" s="48"/>
      <c r="B254" s="1"/>
      <c r="C254" s="1"/>
      <c r="D254" s="1"/>
      <c r="E254" s="1"/>
      <c r="F254" s="11" t="str">
        <f t="shared" si="0"/>
        <v/>
      </c>
      <c r="G254" s="26" t="str">
        <f t="shared" si="1"/>
        <v/>
      </c>
      <c r="H254" s="1"/>
      <c r="I254" s="1"/>
      <c r="J254" s="44"/>
      <c r="K254" s="1"/>
      <c r="L254" s="1"/>
      <c r="M254" s="1"/>
      <c r="N254" s="1"/>
      <c r="O254" s="1"/>
      <c r="P254" s="1"/>
      <c r="Q254" s="1"/>
      <c r="R254" s="1"/>
      <c r="S254" s="1"/>
      <c r="T254" s="29"/>
      <c r="U254" s="18"/>
      <c r="V254" s="18"/>
      <c r="W254" s="18"/>
    </row>
    <row r="255" spans="1:23" ht="15.75">
      <c r="A255" s="48"/>
      <c r="B255" s="1"/>
      <c r="C255" s="1"/>
      <c r="D255" s="1"/>
      <c r="E255" s="1"/>
      <c r="F255" s="11" t="str">
        <f t="shared" si="0"/>
        <v/>
      </c>
      <c r="G255" s="26" t="str">
        <f t="shared" si="1"/>
        <v/>
      </c>
      <c r="H255" s="1"/>
      <c r="I255" s="1"/>
      <c r="J255" s="44"/>
      <c r="K255" s="1"/>
      <c r="L255" s="1"/>
      <c r="M255" s="1"/>
      <c r="N255" s="1"/>
      <c r="O255" s="1"/>
      <c r="P255" s="1"/>
      <c r="Q255" s="1"/>
      <c r="R255" s="1"/>
      <c r="S255" s="1"/>
      <c r="T255" s="29"/>
      <c r="U255" s="18"/>
      <c r="V255" s="18"/>
      <c r="W255" s="18"/>
    </row>
    <row r="256" spans="1:23" ht="15.75">
      <c r="A256" s="48"/>
      <c r="B256" s="1"/>
      <c r="C256" s="1"/>
      <c r="D256" s="1"/>
      <c r="E256" s="1"/>
      <c r="F256" s="11" t="str">
        <f t="shared" si="0"/>
        <v/>
      </c>
      <c r="G256" s="26" t="str">
        <f t="shared" si="1"/>
        <v/>
      </c>
      <c r="H256" s="1"/>
      <c r="I256" s="1"/>
      <c r="J256" s="44"/>
      <c r="K256" s="1"/>
      <c r="L256" s="1"/>
      <c r="M256" s="1"/>
      <c r="N256" s="1"/>
      <c r="O256" s="1"/>
      <c r="P256" s="1"/>
      <c r="Q256" s="1"/>
      <c r="R256" s="1"/>
      <c r="S256" s="1"/>
      <c r="T256" s="29"/>
      <c r="U256" s="18"/>
      <c r="V256" s="18"/>
      <c r="W256" s="18"/>
    </row>
    <row r="257" spans="1:23" ht="15.75">
      <c r="A257" s="48"/>
      <c r="B257" s="1"/>
      <c r="C257" s="1"/>
      <c r="D257" s="1"/>
      <c r="E257" s="1"/>
      <c r="F257" s="11" t="str">
        <f t="shared" si="0"/>
        <v/>
      </c>
      <c r="G257" s="26" t="str">
        <f t="shared" si="1"/>
        <v/>
      </c>
      <c r="H257" s="1"/>
      <c r="I257" s="1"/>
      <c r="J257" s="44"/>
      <c r="K257" s="1"/>
      <c r="L257" s="1"/>
      <c r="M257" s="1"/>
      <c r="N257" s="1"/>
      <c r="O257" s="1"/>
      <c r="P257" s="1"/>
      <c r="Q257" s="1"/>
      <c r="R257" s="1"/>
      <c r="S257" s="1"/>
      <c r="T257" s="29"/>
      <c r="U257" s="18"/>
      <c r="V257" s="18"/>
      <c r="W257" s="18"/>
    </row>
    <row r="258" spans="1:23" ht="15.75">
      <c r="A258" s="48"/>
      <c r="B258" s="1"/>
      <c r="C258" s="1"/>
      <c r="D258" s="1"/>
      <c r="E258" s="1"/>
      <c r="F258" s="11" t="str">
        <f t="shared" ref="F258:F316" si="13">IF(OR(C258 ="Buy",C258 ="Sell" ),N258*0.9995,"")</f>
        <v/>
      </c>
      <c r="G258" s="26" t="str">
        <f t="shared" ref="G258:G512" si="14">IF(OR(C258 ="Buy",C258 ="Sell" ),M258*1.005,"")</f>
        <v/>
      </c>
      <c r="H258" s="1"/>
      <c r="I258" s="1"/>
      <c r="J258" s="44"/>
      <c r="K258" s="1"/>
      <c r="L258" s="1"/>
      <c r="M258" s="1"/>
      <c r="N258" s="1"/>
      <c r="O258" s="1"/>
      <c r="P258" s="1"/>
      <c r="Q258" s="1"/>
      <c r="R258" s="1"/>
      <c r="S258" s="1"/>
      <c r="T258" s="29"/>
      <c r="U258" s="18"/>
      <c r="V258" s="18"/>
      <c r="W258" s="18"/>
    </row>
    <row r="259" spans="1:23" ht="15.75">
      <c r="A259" s="48"/>
      <c r="B259" s="1"/>
      <c r="C259" s="1"/>
      <c r="D259" s="1"/>
      <c r="E259" s="1"/>
      <c r="F259" s="11" t="str">
        <f t="shared" si="13"/>
        <v/>
      </c>
      <c r="G259" s="26" t="str">
        <f t="shared" si="14"/>
        <v/>
      </c>
      <c r="H259" s="1"/>
      <c r="I259" s="1"/>
      <c r="J259" s="44"/>
      <c r="K259" s="1"/>
      <c r="L259" s="1"/>
      <c r="M259" s="1"/>
      <c r="N259" s="1"/>
      <c r="O259" s="1"/>
      <c r="P259" s="1"/>
      <c r="Q259" s="1"/>
      <c r="R259" s="1"/>
      <c r="S259" s="1"/>
      <c r="T259" s="29"/>
      <c r="U259" s="18"/>
      <c r="V259" s="18"/>
      <c r="W259" s="18"/>
    </row>
    <row r="260" spans="1:23" ht="15.75">
      <c r="A260" s="48"/>
      <c r="B260" s="1"/>
      <c r="C260" s="1"/>
      <c r="D260" s="1"/>
      <c r="E260" s="1"/>
      <c r="F260" s="11" t="str">
        <f t="shared" si="13"/>
        <v/>
      </c>
      <c r="G260" s="26" t="str">
        <f t="shared" si="14"/>
        <v/>
      </c>
      <c r="H260" s="1"/>
      <c r="I260" s="1"/>
      <c r="J260" s="44"/>
      <c r="K260" s="1"/>
      <c r="L260" s="1"/>
      <c r="M260" s="1"/>
      <c r="N260" s="1"/>
      <c r="O260" s="1"/>
      <c r="P260" s="1"/>
      <c r="Q260" s="1"/>
      <c r="R260" s="1"/>
      <c r="S260" s="1"/>
      <c r="T260" s="29"/>
      <c r="U260" s="18"/>
      <c r="V260" s="18"/>
      <c r="W260" s="18"/>
    </row>
    <row r="261" spans="1:23" ht="15.75">
      <c r="A261" s="48"/>
      <c r="B261" s="1"/>
      <c r="C261" s="1"/>
      <c r="D261" s="1"/>
      <c r="E261" s="1"/>
      <c r="F261" s="11" t="str">
        <f t="shared" si="13"/>
        <v/>
      </c>
      <c r="G261" s="26" t="str">
        <f t="shared" si="14"/>
        <v/>
      </c>
      <c r="H261" s="1"/>
      <c r="I261" s="1"/>
      <c r="J261" s="44"/>
      <c r="K261" s="1"/>
      <c r="L261" s="1"/>
      <c r="M261" s="1"/>
      <c r="N261" s="1"/>
      <c r="O261" s="1"/>
      <c r="P261" s="1"/>
      <c r="Q261" s="1"/>
      <c r="R261" s="1"/>
      <c r="S261" s="1"/>
      <c r="T261" s="29"/>
      <c r="U261" s="18"/>
      <c r="V261" s="18"/>
      <c r="W261" s="18"/>
    </row>
    <row r="262" spans="1:23" ht="15.75">
      <c r="A262" s="48"/>
      <c r="B262" s="1"/>
      <c r="C262" s="1"/>
      <c r="D262" s="1"/>
      <c r="E262" s="1"/>
      <c r="F262" s="11" t="str">
        <f t="shared" si="13"/>
        <v/>
      </c>
      <c r="G262" s="26" t="str">
        <f t="shared" si="14"/>
        <v/>
      </c>
      <c r="H262" s="1"/>
      <c r="I262" s="1"/>
      <c r="J262" s="44"/>
      <c r="K262" s="1"/>
      <c r="L262" s="1"/>
      <c r="M262" s="1"/>
      <c r="N262" s="1"/>
      <c r="O262" s="1"/>
      <c r="P262" s="1"/>
      <c r="Q262" s="1"/>
      <c r="R262" s="1"/>
      <c r="S262" s="1"/>
      <c r="T262" s="29"/>
      <c r="U262" s="18"/>
      <c r="V262" s="18"/>
      <c r="W262" s="18"/>
    </row>
    <row r="263" spans="1:23" ht="15.75">
      <c r="A263" s="48"/>
      <c r="B263" s="1"/>
      <c r="C263" s="1"/>
      <c r="D263" s="1"/>
      <c r="E263" s="1"/>
      <c r="F263" s="11" t="str">
        <f t="shared" si="13"/>
        <v/>
      </c>
      <c r="G263" s="26" t="str">
        <f t="shared" si="14"/>
        <v/>
      </c>
      <c r="H263" s="1"/>
      <c r="I263" s="1"/>
      <c r="J263" s="44"/>
      <c r="K263" s="1"/>
      <c r="L263" s="1"/>
      <c r="M263" s="1"/>
      <c r="N263" s="1"/>
      <c r="O263" s="1"/>
      <c r="P263" s="1"/>
      <c r="Q263" s="1"/>
      <c r="R263" s="1"/>
      <c r="S263" s="1"/>
      <c r="T263" s="29"/>
      <c r="U263" s="18"/>
      <c r="V263" s="18"/>
      <c r="W263" s="18"/>
    </row>
    <row r="264" spans="1:23" ht="15.75">
      <c r="A264" s="48"/>
      <c r="B264" s="1"/>
      <c r="C264" s="1"/>
      <c r="D264" s="1"/>
      <c r="E264" s="1"/>
      <c r="F264" s="11" t="str">
        <f t="shared" si="13"/>
        <v/>
      </c>
      <c r="G264" s="26" t="str">
        <f t="shared" si="14"/>
        <v/>
      </c>
      <c r="H264" s="1"/>
      <c r="I264" s="1"/>
      <c r="J264" s="44"/>
      <c r="K264" s="1"/>
      <c r="L264" s="1"/>
      <c r="M264" s="1"/>
      <c r="N264" s="1"/>
      <c r="O264" s="1"/>
      <c r="P264" s="1"/>
      <c r="Q264" s="1"/>
      <c r="R264" s="1"/>
      <c r="S264" s="1"/>
      <c r="T264" s="29"/>
      <c r="U264" s="18"/>
      <c r="V264" s="18"/>
      <c r="W264" s="18"/>
    </row>
    <row r="265" spans="1:23" ht="15.75">
      <c r="A265" s="48"/>
      <c r="B265" s="1"/>
      <c r="C265" s="1"/>
      <c r="D265" s="1"/>
      <c r="E265" s="1"/>
      <c r="F265" s="11" t="str">
        <f t="shared" si="13"/>
        <v/>
      </c>
      <c r="G265" s="26" t="str">
        <f t="shared" si="14"/>
        <v/>
      </c>
      <c r="H265" s="1"/>
      <c r="I265" s="1"/>
      <c r="J265" s="44"/>
      <c r="K265" s="1"/>
      <c r="L265" s="1"/>
      <c r="M265" s="1"/>
      <c r="N265" s="1"/>
      <c r="O265" s="1"/>
      <c r="P265" s="1"/>
      <c r="Q265" s="1"/>
      <c r="R265" s="1"/>
      <c r="S265" s="1"/>
      <c r="T265" s="29"/>
      <c r="U265" s="18"/>
      <c r="V265" s="18"/>
      <c r="W265" s="18"/>
    </row>
    <row r="266" spans="1:23" ht="15.75">
      <c r="A266" s="48"/>
      <c r="B266" s="1"/>
      <c r="C266" s="1"/>
      <c r="D266" s="1"/>
      <c r="E266" s="1"/>
      <c r="F266" s="11" t="str">
        <f t="shared" si="13"/>
        <v/>
      </c>
      <c r="G266" s="26" t="str">
        <f t="shared" si="14"/>
        <v/>
      </c>
      <c r="H266" s="1"/>
      <c r="I266" s="1"/>
      <c r="J266" s="44"/>
      <c r="K266" s="1"/>
      <c r="L266" s="1"/>
      <c r="M266" s="1"/>
      <c r="N266" s="1"/>
      <c r="O266" s="1"/>
      <c r="P266" s="1"/>
      <c r="Q266" s="1"/>
      <c r="R266" s="1"/>
      <c r="S266" s="1"/>
      <c r="T266" s="29"/>
      <c r="U266" s="18"/>
      <c r="V266" s="18"/>
      <c r="W266" s="18"/>
    </row>
    <row r="267" spans="1:23" ht="15.75">
      <c r="A267" s="48"/>
      <c r="B267" s="1"/>
      <c r="C267" s="1"/>
      <c r="D267" s="1"/>
      <c r="E267" s="1"/>
      <c r="F267" s="11" t="str">
        <f t="shared" si="13"/>
        <v/>
      </c>
      <c r="G267" s="26" t="str">
        <f t="shared" si="14"/>
        <v/>
      </c>
      <c r="H267" s="1"/>
      <c r="I267" s="1"/>
      <c r="J267" s="44"/>
      <c r="K267" s="1"/>
      <c r="L267" s="1"/>
      <c r="M267" s="1"/>
      <c r="N267" s="1"/>
      <c r="O267" s="1"/>
      <c r="P267" s="1"/>
      <c r="Q267" s="1"/>
      <c r="R267" s="1"/>
      <c r="S267" s="1"/>
      <c r="T267" s="29"/>
      <c r="U267" s="18"/>
      <c r="V267" s="18"/>
      <c r="W267" s="18"/>
    </row>
    <row r="268" spans="1:23" ht="15.75">
      <c r="A268" s="48"/>
      <c r="B268" s="1"/>
      <c r="C268" s="1"/>
      <c r="D268" s="1"/>
      <c r="E268" s="1"/>
      <c r="F268" s="11" t="str">
        <f t="shared" si="13"/>
        <v/>
      </c>
      <c r="G268" s="26" t="str">
        <f t="shared" si="14"/>
        <v/>
      </c>
      <c r="H268" s="1"/>
      <c r="I268" s="1"/>
      <c r="J268" s="44"/>
      <c r="K268" s="1"/>
      <c r="L268" s="1"/>
      <c r="M268" s="1"/>
      <c r="N268" s="1"/>
      <c r="O268" s="1"/>
      <c r="P268" s="1"/>
      <c r="Q268" s="1"/>
      <c r="R268" s="1"/>
      <c r="S268" s="1"/>
      <c r="T268" s="29"/>
      <c r="U268" s="18"/>
      <c r="V268" s="18"/>
      <c r="W268" s="18"/>
    </row>
    <row r="269" spans="1:23" ht="15.75">
      <c r="A269" s="48"/>
      <c r="B269" s="1"/>
      <c r="C269" s="1"/>
      <c r="D269" s="1"/>
      <c r="E269" s="1"/>
      <c r="F269" s="11" t="str">
        <f t="shared" si="13"/>
        <v/>
      </c>
      <c r="G269" s="26" t="str">
        <f t="shared" si="14"/>
        <v/>
      </c>
      <c r="H269" s="1"/>
      <c r="I269" s="1"/>
      <c r="J269" s="44"/>
      <c r="K269" s="1"/>
      <c r="L269" s="1"/>
      <c r="M269" s="1"/>
      <c r="N269" s="1"/>
      <c r="O269" s="1"/>
      <c r="P269" s="1"/>
      <c r="Q269" s="1"/>
      <c r="R269" s="1"/>
      <c r="S269" s="1"/>
      <c r="T269" s="29"/>
      <c r="U269" s="18"/>
      <c r="V269" s="18"/>
      <c r="W269" s="18"/>
    </row>
    <row r="270" spans="1:23" ht="15.75">
      <c r="A270" s="48"/>
      <c r="B270" s="1"/>
      <c r="C270" s="1"/>
      <c r="D270" s="1"/>
      <c r="E270" s="1"/>
      <c r="F270" s="11" t="str">
        <f t="shared" si="13"/>
        <v/>
      </c>
      <c r="G270" s="26" t="str">
        <f t="shared" si="14"/>
        <v/>
      </c>
      <c r="H270" s="1"/>
      <c r="I270" s="1"/>
      <c r="J270" s="44"/>
      <c r="K270" s="1"/>
      <c r="L270" s="1"/>
      <c r="M270" s="1"/>
      <c r="N270" s="1"/>
      <c r="O270" s="1"/>
      <c r="P270" s="1"/>
      <c r="Q270" s="1"/>
      <c r="R270" s="1"/>
      <c r="S270" s="1"/>
      <c r="T270" s="29"/>
      <c r="U270" s="18"/>
      <c r="V270" s="18"/>
      <c r="W270" s="18"/>
    </row>
    <row r="271" spans="1:23" ht="15.75">
      <c r="A271" s="48"/>
      <c r="B271" s="1"/>
      <c r="C271" s="1"/>
      <c r="D271" s="1"/>
      <c r="E271" s="1"/>
      <c r="F271" s="11" t="str">
        <f t="shared" si="13"/>
        <v/>
      </c>
      <c r="G271" s="26" t="str">
        <f t="shared" si="14"/>
        <v/>
      </c>
      <c r="H271" s="1"/>
      <c r="I271" s="1"/>
      <c r="J271" s="44"/>
      <c r="K271" s="1"/>
      <c r="L271" s="1"/>
      <c r="M271" s="1"/>
      <c r="N271" s="1"/>
      <c r="O271" s="1"/>
      <c r="P271" s="1"/>
      <c r="Q271" s="1"/>
      <c r="R271" s="1"/>
      <c r="S271" s="1"/>
      <c r="T271" s="29"/>
      <c r="U271" s="18"/>
      <c r="V271" s="18"/>
      <c r="W271" s="18"/>
    </row>
    <row r="272" spans="1:23" ht="15.75">
      <c r="A272" s="48"/>
      <c r="B272" s="1"/>
      <c r="C272" s="1"/>
      <c r="D272" s="1"/>
      <c r="E272" s="1"/>
      <c r="F272" s="11" t="str">
        <f t="shared" si="13"/>
        <v/>
      </c>
      <c r="G272" s="26" t="str">
        <f t="shared" si="14"/>
        <v/>
      </c>
      <c r="H272" s="1"/>
      <c r="I272" s="1"/>
      <c r="J272" s="44"/>
      <c r="K272" s="1"/>
      <c r="L272" s="1"/>
      <c r="M272" s="1"/>
      <c r="N272" s="1"/>
      <c r="O272" s="1"/>
      <c r="P272" s="1"/>
      <c r="Q272" s="1"/>
      <c r="R272" s="1"/>
      <c r="S272" s="1"/>
      <c r="T272" s="29"/>
      <c r="U272" s="18"/>
      <c r="V272" s="18"/>
      <c r="W272" s="18"/>
    </row>
    <row r="273" spans="1:23" ht="15.75">
      <c r="A273" s="48"/>
      <c r="B273" s="1"/>
      <c r="C273" s="1"/>
      <c r="D273" s="1"/>
      <c r="E273" s="1"/>
      <c r="F273" s="11" t="str">
        <f t="shared" si="13"/>
        <v/>
      </c>
      <c r="G273" s="26" t="str">
        <f t="shared" si="14"/>
        <v/>
      </c>
      <c r="H273" s="1"/>
      <c r="I273" s="1"/>
      <c r="J273" s="44"/>
      <c r="K273" s="1"/>
      <c r="L273" s="1"/>
      <c r="M273" s="1"/>
      <c r="N273" s="1"/>
      <c r="O273" s="1"/>
      <c r="P273" s="1"/>
      <c r="Q273" s="1"/>
      <c r="R273" s="1"/>
      <c r="S273" s="1"/>
      <c r="T273" s="29"/>
      <c r="U273" s="18"/>
      <c r="V273" s="18"/>
      <c r="W273" s="18"/>
    </row>
    <row r="274" spans="1:23" ht="15.75">
      <c r="A274" s="48"/>
      <c r="B274" s="1"/>
      <c r="C274" s="1"/>
      <c r="D274" s="1"/>
      <c r="E274" s="1"/>
      <c r="F274" s="11" t="str">
        <f t="shared" si="13"/>
        <v/>
      </c>
      <c r="G274" s="26" t="str">
        <f t="shared" si="14"/>
        <v/>
      </c>
      <c r="H274" s="1"/>
      <c r="I274" s="1"/>
      <c r="J274" s="44"/>
      <c r="K274" s="1"/>
      <c r="L274" s="1"/>
      <c r="M274" s="1"/>
      <c r="N274" s="1"/>
      <c r="O274" s="1"/>
      <c r="P274" s="1"/>
      <c r="Q274" s="1"/>
      <c r="R274" s="1"/>
      <c r="S274" s="1"/>
      <c r="T274" s="29"/>
      <c r="U274" s="18"/>
      <c r="V274" s="18"/>
      <c r="W274" s="18"/>
    </row>
    <row r="275" spans="1:23" ht="15.75">
      <c r="A275" s="48"/>
      <c r="B275" s="1"/>
      <c r="C275" s="1"/>
      <c r="D275" s="1"/>
      <c r="E275" s="1"/>
      <c r="F275" s="11" t="str">
        <f t="shared" si="13"/>
        <v/>
      </c>
      <c r="G275" s="26" t="str">
        <f t="shared" si="14"/>
        <v/>
      </c>
      <c r="H275" s="1"/>
      <c r="I275" s="1"/>
      <c r="J275" s="44"/>
      <c r="K275" s="1"/>
      <c r="L275" s="1"/>
      <c r="M275" s="1"/>
      <c r="N275" s="1"/>
      <c r="O275" s="1"/>
      <c r="P275" s="1"/>
      <c r="Q275" s="1"/>
      <c r="R275" s="1"/>
      <c r="S275" s="1"/>
      <c r="T275" s="29"/>
      <c r="U275" s="18"/>
      <c r="V275" s="18"/>
      <c r="W275" s="18"/>
    </row>
    <row r="276" spans="1:23" ht="15.75">
      <c r="A276" s="48"/>
      <c r="B276" s="1"/>
      <c r="C276" s="1"/>
      <c r="D276" s="1"/>
      <c r="E276" s="1"/>
      <c r="F276" s="11" t="str">
        <f t="shared" si="13"/>
        <v/>
      </c>
      <c r="G276" s="26" t="str">
        <f t="shared" si="14"/>
        <v/>
      </c>
      <c r="H276" s="1"/>
      <c r="I276" s="1"/>
      <c r="J276" s="44"/>
      <c r="K276" s="1"/>
      <c r="L276" s="1"/>
      <c r="M276" s="1"/>
      <c r="N276" s="1"/>
      <c r="O276" s="1"/>
      <c r="P276" s="1"/>
      <c r="Q276" s="1"/>
      <c r="R276" s="1"/>
      <c r="S276" s="1"/>
      <c r="T276" s="29"/>
      <c r="U276" s="18"/>
      <c r="V276" s="18"/>
      <c r="W276" s="18"/>
    </row>
    <row r="277" spans="1:23" ht="15.75">
      <c r="A277" s="48"/>
      <c r="B277" s="1"/>
      <c r="C277" s="1"/>
      <c r="D277" s="1"/>
      <c r="E277" s="1"/>
      <c r="F277" s="11" t="str">
        <f t="shared" si="13"/>
        <v/>
      </c>
      <c r="G277" s="26" t="str">
        <f t="shared" si="14"/>
        <v/>
      </c>
      <c r="H277" s="1"/>
      <c r="I277" s="1"/>
      <c r="J277" s="44"/>
      <c r="K277" s="1"/>
      <c r="L277" s="1"/>
      <c r="M277" s="1"/>
      <c r="N277" s="1"/>
      <c r="O277" s="1"/>
      <c r="P277" s="1"/>
      <c r="Q277" s="1"/>
      <c r="R277" s="1"/>
      <c r="S277" s="1"/>
      <c r="T277" s="29"/>
      <c r="U277" s="18"/>
      <c r="V277" s="18"/>
      <c r="W277" s="18"/>
    </row>
    <row r="278" spans="1:23" ht="15.75">
      <c r="A278" s="48"/>
      <c r="B278" s="1"/>
      <c r="C278" s="1"/>
      <c r="D278" s="1"/>
      <c r="E278" s="1"/>
      <c r="F278" s="11" t="str">
        <f t="shared" si="13"/>
        <v/>
      </c>
      <c r="G278" s="26" t="str">
        <f t="shared" si="14"/>
        <v/>
      </c>
      <c r="H278" s="1"/>
      <c r="I278" s="1"/>
      <c r="J278" s="44"/>
      <c r="K278" s="1"/>
      <c r="L278" s="1"/>
      <c r="M278" s="1"/>
      <c r="N278" s="1"/>
      <c r="O278" s="1"/>
      <c r="P278" s="1"/>
      <c r="Q278" s="1"/>
      <c r="R278" s="1"/>
      <c r="S278" s="1"/>
      <c r="T278" s="29"/>
      <c r="U278" s="18"/>
      <c r="V278" s="18"/>
      <c r="W278" s="18"/>
    </row>
    <row r="279" spans="1:23" ht="15.75">
      <c r="A279" s="48"/>
      <c r="B279" s="1"/>
      <c r="C279" s="1"/>
      <c r="D279" s="1"/>
      <c r="E279" s="1"/>
      <c r="F279" s="11" t="str">
        <f t="shared" si="13"/>
        <v/>
      </c>
      <c r="G279" s="26" t="str">
        <f t="shared" si="14"/>
        <v/>
      </c>
      <c r="H279" s="1"/>
      <c r="I279" s="1"/>
      <c r="J279" s="44"/>
      <c r="K279" s="1"/>
      <c r="L279" s="1"/>
      <c r="M279" s="1"/>
      <c r="N279" s="1"/>
      <c r="O279" s="1"/>
      <c r="P279" s="1"/>
      <c r="Q279" s="1"/>
      <c r="R279" s="1"/>
      <c r="S279" s="1"/>
      <c r="T279" s="29"/>
      <c r="U279" s="18"/>
      <c r="V279" s="18"/>
      <c r="W279" s="18"/>
    </row>
    <row r="280" spans="1:23" ht="15.75">
      <c r="A280" s="48"/>
      <c r="B280" s="1"/>
      <c r="C280" s="1"/>
      <c r="D280" s="1"/>
      <c r="E280" s="1"/>
      <c r="F280" s="11" t="str">
        <f t="shared" si="13"/>
        <v/>
      </c>
      <c r="G280" s="26" t="str">
        <f t="shared" si="14"/>
        <v/>
      </c>
      <c r="H280" s="1"/>
      <c r="I280" s="1"/>
      <c r="J280" s="44"/>
      <c r="K280" s="1"/>
      <c r="L280" s="1"/>
      <c r="M280" s="1"/>
      <c r="N280" s="1"/>
      <c r="O280" s="1"/>
      <c r="P280" s="1"/>
      <c r="Q280" s="1"/>
      <c r="R280" s="1"/>
      <c r="S280" s="1"/>
      <c r="T280" s="29"/>
      <c r="U280" s="18"/>
      <c r="V280" s="18"/>
      <c r="W280" s="18"/>
    </row>
    <row r="281" spans="1:23" ht="15.75">
      <c r="A281" s="48"/>
      <c r="B281" s="1"/>
      <c r="C281" s="1"/>
      <c r="D281" s="1"/>
      <c r="E281" s="1"/>
      <c r="F281" s="11" t="str">
        <f t="shared" si="13"/>
        <v/>
      </c>
      <c r="G281" s="26" t="str">
        <f t="shared" si="14"/>
        <v/>
      </c>
      <c r="H281" s="1"/>
      <c r="I281" s="1"/>
      <c r="J281" s="44"/>
      <c r="K281" s="1"/>
      <c r="L281" s="1"/>
      <c r="M281" s="1"/>
      <c r="N281" s="1"/>
      <c r="O281" s="1"/>
      <c r="P281" s="1"/>
      <c r="Q281" s="1"/>
      <c r="R281" s="1"/>
      <c r="S281" s="1"/>
      <c r="T281" s="29"/>
      <c r="U281" s="18"/>
      <c r="V281" s="18"/>
      <c r="W281" s="18"/>
    </row>
    <row r="282" spans="1:23" ht="15.75">
      <c r="A282" s="48"/>
      <c r="B282" s="1"/>
      <c r="C282" s="1"/>
      <c r="D282" s="1"/>
      <c r="E282" s="1"/>
      <c r="F282" s="11" t="str">
        <f t="shared" si="13"/>
        <v/>
      </c>
      <c r="G282" s="26" t="str">
        <f t="shared" si="14"/>
        <v/>
      </c>
      <c r="H282" s="1"/>
      <c r="I282" s="1"/>
      <c r="J282" s="44"/>
      <c r="K282" s="1"/>
      <c r="L282" s="1"/>
      <c r="M282" s="1"/>
      <c r="N282" s="1"/>
      <c r="O282" s="1"/>
      <c r="P282" s="1"/>
      <c r="Q282" s="1"/>
      <c r="R282" s="1"/>
      <c r="S282" s="1"/>
      <c r="T282" s="29"/>
      <c r="U282" s="18"/>
      <c r="V282" s="18"/>
      <c r="W282" s="18"/>
    </row>
    <row r="283" spans="1:23" ht="15.75">
      <c r="A283" s="48"/>
      <c r="B283" s="1"/>
      <c r="C283" s="1"/>
      <c r="D283" s="1"/>
      <c r="E283" s="1"/>
      <c r="F283" s="11" t="str">
        <f t="shared" si="13"/>
        <v/>
      </c>
      <c r="G283" s="26" t="str">
        <f t="shared" si="14"/>
        <v/>
      </c>
      <c r="H283" s="1"/>
      <c r="I283" s="1"/>
      <c r="J283" s="44"/>
      <c r="K283" s="1"/>
      <c r="L283" s="1"/>
      <c r="M283" s="1"/>
      <c r="N283" s="1"/>
      <c r="O283" s="1"/>
      <c r="P283" s="1"/>
      <c r="Q283" s="1"/>
      <c r="R283" s="1"/>
      <c r="S283" s="1"/>
      <c r="T283" s="29"/>
      <c r="U283" s="18"/>
      <c r="V283" s="18"/>
      <c r="W283" s="18"/>
    </row>
    <row r="284" spans="1:23" ht="15.75">
      <c r="A284" s="48"/>
      <c r="B284" s="1"/>
      <c r="C284" s="1"/>
      <c r="D284" s="1"/>
      <c r="E284" s="1"/>
      <c r="F284" s="11" t="str">
        <f t="shared" si="13"/>
        <v/>
      </c>
      <c r="G284" s="26" t="str">
        <f t="shared" si="14"/>
        <v/>
      </c>
      <c r="H284" s="1"/>
      <c r="I284" s="1"/>
      <c r="J284" s="44"/>
      <c r="K284" s="1"/>
      <c r="L284" s="1"/>
      <c r="M284" s="1"/>
      <c r="N284" s="1"/>
      <c r="O284" s="1"/>
      <c r="P284" s="1"/>
      <c r="Q284" s="1"/>
      <c r="R284" s="1"/>
      <c r="S284" s="1"/>
      <c r="T284" s="29"/>
      <c r="U284" s="18"/>
      <c r="V284" s="18"/>
      <c r="W284" s="18"/>
    </row>
    <row r="285" spans="1:23" ht="15.75">
      <c r="A285" s="48"/>
      <c r="B285" s="1"/>
      <c r="C285" s="1"/>
      <c r="D285" s="1"/>
      <c r="E285" s="1"/>
      <c r="F285" s="11" t="str">
        <f t="shared" si="13"/>
        <v/>
      </c>
      <c r="G285" s="26" t="str">
        <f t="shared" si="14"/>
        <v/>
      </c>
      <c r="H285" s="1"/>
      <c r="I285" s="1"/>
      <c r="J285" s="44"/>
      <c r="K285" s="1"/>
      <c r="L285" s="1"/>
      <c r="M285" s="1"/>
      <c r="N285" s="1"/>
      <c r="O285" s="1"/>
      <c r="P285" s="1"/>
      <c r="Q285" s="1"/>
      <c r="R285" s="1"/>
      <c r="S285" s="1"/>
      <c r="T285" s="29"/>
      <c r="U285" s="18"/>
      <c r="V285" s="18"/>
      <c r="W285" s="18"/>
    </row>
    <row r="286" spans="1:23" ht="15.75">
      <c r="A286" s="48"/>
      <c r="B286" s="1"/>
      <c r="C286" s="1"/>
      <c r="D286" s="1"/>
      <c r="E286" s="1"/>
      <c r="F286" s="11" t="str">
        <f t="shared" si="13"/>
        <v/>
      </c>
      <c r="G286" s="26" t="str">
        <f t="shared" si="14"/>
        <v/>
      </c>
      <c r="H286" s="1"/>
      <c r="I286" s="1"/>
      <c r="J286" s="44"/>
      <c r="K286" s="1"/>
      <c r="L286" s="1"/>
      <c r="M286" s="1"/>
      <c r="N286" s="1"/>
      <c r="O286" s="1"/>
      <c r="P286" s="1"/>
      <c r="Q286" s="1"/>
      <c r="R286" s="1"/>
      <c r="S286" s="1"/>
      <c r="T286" s="29"/>
      <c r="U286" s="18"/>
      <c r="V286" s="18"/>
      <c r="W286" s="18"/>
    </row>
    <row r="287" spans="1:23" ht="15.75">
      <c r="A287" s="48"/>
      <c r="B287" s="1"/>
      <c r="C287" s="1"/>
      <c r="D287" s="1"/>
      <c r="E287" s="1"/>
      <c r="F287" s="11" t="str">
        <f t="shared" si="13"/>
        <v/>
      </c>
      <c r="G287" s="26" t="str">
        <f t="shared" si="14"/>
        <v/>
      </c>
      <c r="H287" s="1"/>
      <c r="I287" s="1"/>
      <c r="J287" s="44"/>
      <c r="K287" s="1"/>
      <c r="L287" s="1"/>
      <c r="M287" s="1"/>
      <c r="N287" s="1"/>
      <c r="O287" s="1"/>
      <c r="P287" s="1"/>
      <c r="Q287" s="1"/>
      <c r="R287" s="1"/>
      <c r="S287" s="1"/>
      <c r="T287" s="29"/>
      <c r="U287" s="18"/>
      <c r="V287" s="18"/>
      <c r="W287" s="18"/>
    </row>
    <row r="288" spans="1:23" ht="15.75">
      <c r="A288" s="48"/>
      <c r="B288" s="1"/>
      <c r="C288" s="1"/>
      <c r="D288" s="1"/>
      <c r="E288" s="1"/>
      <c r="F288" s="11" t="str">
        <f t="shared" si="13"/>
        <v/>
      </c>
      <c r="G288" s="26" t="str">
        <f t="shared" si="14"/>
        <v/>
      </c>
      <c r="H288" s="1"/>
      <c r="I288" s="1"/>
      <c r="J288" s="44"/>
      <c r="K288" s="1"/>
      <c r="L288" s="1"/>
      <c r="M288" s="1"/>
      <c r="N288" s="1"/>
      <c r="O288" s="1"/>
      <c r="P288" s="1"/>
      <c r="Q288" s="1"/>
      <c r="R288" s="1"/>
      <c r="S288" s="1"/>
      <c r="T288" s="29"/>
      <c r="U288" s="18"/>
      <c r="V288" s="18"/>
      <c r="W288" s="18"/>
    </row>
    <row r="289" spans="1:23" ht="15.75">
      <c r="A289" s="48"/>
      <c r="B289" s="1"/>
      <c r="C289" s="1"/>
      <c r="D289" s="1"/>
      <c r="E289" s="1"/>
      <c r="F289" s="11" t="str">
        <f t="shared" si="13"/>
        <v/>
      </c>
      <c r="G289" s="26" t="str">
        <f t="shared" si="14"/>
        <v/>
      </c>
      <c r="H289" s="1"/>
      <c r="I289" s="1"/>
      <c r="J289" s="44"/>
      <c r="K289" s="1"/>
      <c r="L289" s="1"/>
      <c r="M289" s="1"/>
      <c r="N289" s="1"/>
      <c r="O289" s="1"/>
      <c r="P289" s="1"/>
      <c r="Q289" s="1"/>
      <c r="R289" s="1"/>
      <c r="S289" s="1"/>
      <c r="T289" s="29"/>
      <c r="U289" s="18"/>
      <c r="V289" s="18"/>
      <c r="W289" s="18"/>
    </row>
    <row r="290" spans="1:23" ht="15.75">
      <c r="A290" s="48"/>
      <c r="B290" s="1"/>
      <c r="C290" s="1"/>
      <c r="D290" s="1"/>
      <c r="E290" s="1"/>
      <c r="F290" s="11" t="str">
        <f t="shared" si="13"/>
        <v/>
      </c>
      <c r="G290" s="26" t="str">
        <f t="shared" si="14"/>
        <v/>
      </c>
      <c r="H290" s="1"/>
      <c r="I290" s="1"/>
      <c r="J290" s="44"/>
      <c r="K290" s="1"/>
      <c r="L290" s="1"/>
      <c r="M290" s="1"/>
      <c r="N290" s="1"/>
      <c r="O290" s="1"/>
      <c r="P290" s="1"/>
      <c r="Q290" s="1"/>
      <c r="R290" s="1"/>
      <c r="S290" s="1"/>
      <c r="T290" s="29"/>
      <c r="U290" s="18"/>
      <c r="V290" s="18"/>
      <c r="W290" s="18"/>
    </row>
    <row r="291" spans="1:23" ht="15.75">
      <c r="A291" s="48"/>
      <c r="B291" s="1"/>
      <c r="C291" s="1"/>
      <c r="D291" s="1"/>
      <c r="E291" s="1"/>
      <c r="F291" s="11" t="str">
        <f t="shared" si="13"/>
        <v/>
      </c>
      <c r="G291" s="26" t="str">
        <f t="shared" si="14"/>
        <v/>
      </c>
      <c r="H291" s="1"/>
      <c r="I291" s="1"/>
      <c r="J291" s="44"/>
      <c r="K291" s="1"/>
      <c r="L291" s="1"/>
      <c r="M291" s="1"/>
      <c r="N291" s="1"/>
      <c r="O291" s="1"/>
      <c r="P291" s="1"/>
      <c r="Q291" s="1"/>
      <c r="R291" s="1"/>
      <c r="S291" s="1"/>
      <c r="T291" s="29"/>
      <c r="U291" s="18"/>
      <c r="V291" s="18"/>
      <c r="W291" s="18"/>
    </row>
    <row r="292" spans="1:23" ht="15.75">
      <c r="A292" s="48"/>
      <c r="B292" s="1"/>
      <c r="C292" s="1"/>
      <c r="D292" s="1"/>
      <c r="E292" s="1"/>
      <c r="F292" s="11" t="str">
        <f t="shared" si="13"/>
        <v/>
      </c>
      <c r="G292" s="26" t="str">
        <f t="shared" si="14"/>
        <v/>
      </c>
      <c r="H292" s="1"/>
      <c r="I292" s="1"/>
      <c r="J292" s="44"/>
      <c r="K292" s="1"/>
      <c r="L292" s="1"/>
      <c r="M292" s="1"/>
      <c r="N292" s="1"/>
      <c r="O292" s="1"/>
      <c r="P292" s="1"/>
      <c r="Q292" s="1"/>
      <c r="R292" s="1"/>
      <c r="S292" s="1"/>
      <c r="T292" s="29"/>
      <c r="U292" s="18"/>
      <c r="V292" s="18"/>
      <c r="W292" s="18"/>
    </row>
    <row r="293" spans="1:23" ht="15.75">
      <c r="A293" s="48"/>
      <c r="B293" s="1"/>
      <c r="C293" s="1"/>
      <c r="D293" s="1"/>
      <c r="E293" s="1"/>
      <c r="F293" s="11" t="str">
        <f t="shared" si="13"/>
        <v/>
      </c>
      <c r="G293" s="26" t="str">
        <f t="shared" si="14"/>
        <v/>
      </c>
      <c r="H293" s="1"/>
      <c r="I293" s="1"/>
      <c r="J293" s="44"/>
      <c r="K293" s="1"/>
      <c r="L293" s="1"/>
      <c r="M293" s="1"/>
      <c r="N293" s="1"/>
      <c r="O293" s="1"/>
      <c r="P293" s="1"/>
      <c r="Q293" s="1"/>
      <c r="R293" s="1"/>
      <c r="S293" s="1"/>
      <c r="T293" s="29"/>
      <c r="U293" s="18"/>
      <c r="V293" s="18"/>
      <c r="W293" s="18"/>
    </row>
    <row r="294" spans="1:23" ht="15.75">
      <c r="A294" s="48"/>
      <c r="B294" s="1"/>
      <c r="C294" s="1"/>
      <c r="D294" s="1"/>
      <c r="E294" s="1"/>
      <c r="F294" s="11" t="str">
        <f t="shared" si="13"/>
        <v/>
      </c>
      <c r="G294" s="26" t="str">
        <f t="shared" si="14"/>
        <v/>
      </c>
      <c r="H294" s="1"/>
      <c r="I294" s="1"/>
      <c r="J294" s="44"/>
      <c r="K294" s="1"/>
      <c r="L294" s="1"/>
      <c r="M294" s="1"/>
      <c r="N294" s="1"/>
      <c r="O294" s="1"/>
      <c r="P294" s="1"/>
      <c r="Q294" s="1"/>
      <c r="R294" s="1"/>
      <c r="S294" s="1"/>
      <c r="T294" s="29"/>
      <c r="U294" s="18"/>
      <c r="V294" s="18"/>
      <c r="W294" s="18"/>
    </row>
    <row r="295" spans="1:23" ht="15.75">
      <c r="A295" s="48"/>
      <c r="B295" s="1"/>
      <c r="C295" s="1"/>
      <c r="D295" s="1"/>
      <c r="E295" s="1"/>
      <c r="F295" s="11" t="str">
        <f t="shared" si="13"/>
        <v/>
      </c>
      <c r="G295" s="26" t="str">
        <f t="shared" si="14"/>
        <v/>
      </c>
      <c r="H295" s="1"/>
      <c r="I295" s="1"/>
      <c r="J295" s="44"/>
      <c r="K295" s="1"/>
      <c r="L295" s="1"/>
      <c r="M295" s="1"/>
      <c r="N295" s="1"/>
      <c r="O295" s="1"/>
      <c r="P295" s="1"/>
      <c r="Q295" s="1"/>
      <c r="R295" s="1"/>
      <c r="S295" s="1"/>
      <c r="T295" s="29"/>
      <c r="U295" s="18"/>
      <c r="V295" s="18"/>
      <c r="W295" s="18"/>
    </row>
    <row r="296" spans="1:23" ht="15.75">
      <c r="A296" s="48"/>
      <c r="B296" s="1"/>
      <c r="C296" s="1"/>
      <c r="D296" s="1"/>
      <c r="E296" s="1"/>
      <c r="F296" s="11" t="str">
        <f t="shared" si="13"/>
        <v/>
      </c>
      <c r="G296" s="26" t="str">
        <f t="shared" si="14"/>
        <v/>
      </c>
      <c r="H296" s="1"/>
      <c r="I296" s="1"/>
      <c r="J296" s="44"/>
      <c r="K296" s="1"/>
      <c r="L296" s="1"/>
      <c r="M296" s="1"/>
      <c r="N296" s="1"/>
      <c r="O296" s="1"/>
      <c r="P296" s="1"/>
      <c r="Q296" s="1"/>
      <c r="R296" s="1"/>
      <c r="S296" s="1"/>
      <c r="T296" s="29"/>
      <c r="U296" s="18"/>
      <c r="V296" s="18"/>
      <c r="W296" s="18"/>
    </row>
    <row r="297" spans="1:23" ht="15.75">
      <c r="A297" s="48"/>
      <c r="B297" s="1"/>
      <c r="C297" s="1"/>
      <c r="D297" s="1"/>
      <c r="E297" s="1"/>
      <c r="F297" s="11" t="str">
        <f t="shared" si="13"/>
        <v/>
      </c>
      <c r="G297" s="26" t="str">
        <f t="shared" si="14"/>
        <v/>
      </c>
      <c r="H297" s="1"/>
      <c r="I297" s="1"/>
      <c r="J297" s="44"/>
      <c r="K297" s="1"/>
      <c r="L297" s="1"/>
      <c r="M297" s="1"/>
      <c r="N297" s="1"/>
      <c r="O297" s="1"/>
      <c r="P297" s="1"/>
      <c r="Q297" s="1"/>
      <c r="R297" s="1"/>
      <c r="S297" s="1"/>
      <c r="T297" s="29"/>
      <c r="U297" s="18"/>
      <c r="V297" s="18"/>
      <c r="W297" s="18"/>
    </row>
    <row r="298" spans="1:23" ht="15.75">
      <c r="A298" s="48"/>
      <c r="B298" s="1"/>
      <c r="C298" s="1"/>
      <c r="D298" s="1"/>
      <c r="E298" s="1"/>
      <c r="F298" s="11" t="str">
        <f t="shared" si="13"/>
        <v/>
      </c>
      <c r="G298" s="26" t="str">
        <f t="shared" si="14"/>
        <v/>
      </c>
      <c r="H298" s="1"/>
      <c r="I298" s="1"/>
      <c r="J298" s="44"/>
      <c r="K298" s="1"/>
      <c r="L298" s="1"/>
      <c r="M298" s="1"/>
      <c r="N298" s="1"/>
      <c r="O298" s="1"/>
      <c r="P298" s="1"/>
      <c r="Q298" s="1"/>
      <c r="R298" s="1"/>
      <c r="S298" s="1"/>
      <c r="T298" s="29"/>
      <c r="U298" s="18"/>
      <c r="V298" s="18"/>
      <c r="W298" s="18"/>
    </row>
    <row r="299" spans="1:23" ht="15.75">
      <c r="A299" s="48"/>
      <c r="B299" s="1"/>
      <c r="C299" s="1"/>
      <c r="D299" s="1"/>
      <c r="E299" s="1"/>
      <c r="F299" s="11" t="str">
        <f t="shared" si="13"/>
        <v/>
      </c>
      <c r="G299" s="26" t="str">
        <f t="shared" si="14"/>
        <v/>
      </c>
      <c r="H299" s="1"/>
      <c r="I299" s="1"/>
      <c r="J299" s="44"/>
      <c r="K299" s="1"/>
      <c r="L299" s="1"/>
      <c r="M299" s="1"/>
      <c r="N299" s="1"/>
      <c r="O299" s="1"/>
      <c r="P299" s="1"/>
      <c r="Q299" s="1"/>
      <c r="R299" s="1"/>
      <c r="S299" s="1"/>
      <c r="T299" s="29"/>
      <c r="U299" s="18"/>
      <c r="V299" s="18"/>
      <c r="W299" s="18"/>
    </row>
    <row r="300" spans="1:23" ht="15.75">
      <c r="A300" s="48"/>
      <c r="B300" s="1"/>
      <c r="C300" s="1"/>
      <c r="D300" s="1"/>
      <c r="E300" s="1"/>
      <c r="F300" s="11" t="str">
        <f t="shared" si="13"/>
        <v/>
      </c>
      <c r="G300" s="26" t="str">
        <f t="shared" si="14"/>
        <v/>
      </c>
      <c r="H300" s="1"/>
      <c r="I300" s="1"/>
      <c r="J300" s="44"/>
      <c r="K300" s="1"/>
      <c r="L300" s="1"/>
      <c r="M300" s="1"/>
      <c r="N300" s="1"/>
      <c r="O300" s="1"/>
      <c r="P300" s="1"/>
      <c r="Q300" s="1"/>
      <c r="R300" s="1"/>
      <c r="S300" s="1"/>
      <c r="T300" s="29"/>
      <c r="U300" s="18"/>
      <c r="V300" s="18"/>
      <c r="W300" s="18"/>
    </row>
    <row r="301" spans="1:23" ht="15.75">
      <c r="A301" s="48"/>
      <c r="B301" s="1"/>
      <c r="C301" s="1"/>
      <c r="D301" s="1"/>
      <c r="E301" s="1"/>
      <c r="F301" s="11" t="str">
        <f t="shared" si="13"/>
        <v/>
      </c>
      <c r="G301" s="26" t="str">
        <f t="shared" si="14"/>
        <v/>
      </c>
      <c r="H301" s="1"/>
      <c r="I301" s="1"/>
      <c r="J301" s="44"/>
      <c r="K301" s="1"/>
      <c r="L301" s="1"/>
      <c r="M301" s="1"/>
      <c r="N301" s="1"/>
      <c r="O301" s="1"/>
      <c r="P301" s="1"/>
      <c r="Q301" s="1"/>
      <c r="R301" s="1"/>
      <c r="S301" s="1"/>
      <c r="T301" s="29"/>
      <c r="U301" s="18"/>
      <c r="V301" s="18"/>
      <c r="W301" s="18"/>
    </row>
    <row r="302" spans="1:23" ht="15.75">
      <c r="A302" s="48"/>
      <c r="B302" s="1"/>
      <c r="C302" s="1"/>
      <c r="D302" s="1"/>
      <c r="E302" s="1"/>
      <c r="F302" s="11" t="str">
        <f t="shared" si="13"/>
        <v/>
      </c>
      <c r="G302" s="26" t="str">
        <f t="shared" si="14"/>
        <v/>
      </c>
      <c r="H302" s="1"/>
      <c r="I302" s="1"/>
      <c r="J302" s="44"/>
      <c r="K302" s="1"/>
      <c r="L302" s="1"/>
      <c r="M302" s="1"/>
      <c r="N302" s="1"/>
      <c r="O302" s="1"/>
      <c r="P302" s="1"/>
      <c r="Q302" s="1"/>
      <c r="R302" s="1"/>
      <c r="S302" s="1"/>
      <c r="T302" s="29"/>
      <c r="U302" s="18"/>
      <c r="V302" s="18"/>
      <c r="W302" s="18"/>
    </row>
    <row r="303" spans="1:23" ht="15.75">
      <c r="A303" s="48"/>
      <c r="B303" s="1"/>
      <c r="C303" s="1"/>
      <c r="D303" s="1"/>
      <c r="E303" s="1"/>
      <c r="F303" s="11" t="str">
        <f t="shared" si="13"/>
        <v/>
      </c>
      <c r="G303" s="26" t="str">
        <f t="shared" si="14"/>
        <v/>
      </c>
      <c r="H303" s="1"/>
      <c r="I303" s="1"/>
      <c r="J303" s="44"/>
      <c r="K303" s="1"/>
      <c r="L303" s="1"/>
      <c r="M303" s="1"/>
      <c r="N303" s="1"/>
      <c r="O303" s="1"/>
      <c r="P303" s="1"/>
      <c r="Q303" s="1"/>
      <c r="R303" s="1"/>
      <c r="S303" s="1"/>
      <c r="T303" s="29"/>
      <c r="U303" s="18"/>
      <c r="V303" s="18"/>
      <c r="W303" s="18"/>
    </row>
    <row r="304" spans="1:23" ht="15.75">
      <c r="A304" s="48"/>
      <c r="B304" s="1"/>
      <c r="C304" s="1"/>
      <c r="D304" s="1"/>
      <c r="E304" s="1"/>
      <c r="F304" s="11" t="str">
        <f t="shared" si="13"/>
        <v/>
      </c>
      <c r="G304" s="26" t="str">
        <f t="shared" si="14"/>
        <v/>
      </c>
      <c r="H304" s="1"/>
      <c r="I304" s="1"/>
      <c r="J304" s="44"/>
      <c r="K304" s="1"/>
      <c r="L304" s="1"/>
      <c r="M304" s="1"/>
      <c r="N304" s="1"/>
      <c r="O304" s="1"/>
      <c r="P304" s="1"/>
      <c r="Q304" s="1"/>
      <c r="R304" s="1"/>
      <c r="S304" s="1"/>
      <c r="T304" s="29"/>
      <c r="U304" s="18"/>
      <c r="V304" s="18"/>
      <c r="W304" s="18"/>
    </row>
    <row r="305" spans="1:23" ht="15.75">
      <c r="A305" s="48"/>
      <c r="B305" s="1"/>
      <c r="C305" s="1"/>
      <c r="D305" s="1"/>
      <c r="E305" s="1"/>
      <c r="F305" s="11" t="str">
        <f t="shared" si="13"/>
        <v/>
      </c>
      <c r="G305" s="26" t="str">
        <f t="shared" si="14"/>
        <v/>
      </c>
      <c r="H305" s="1"/>
      <c r="I305" s="1"/>
      <c r="J305" s="44"/>
      <c r="K305" s="1"/>
      <c r="L305" s="1"/>
      <c r="M305" s="1"/>
      <c r="N305" s="1"/>
      <c r="O305" s="1"/>
      <c r="P305" s="1"/>
      <c r="Q305" s="1"/>
      <c r="R305" s="1"/>
      <c r="S305" s="1"/>
      <c r="T305" s="29"/>
      <c r="U305" s="18"/>
      <c r="V305" s="18"/>
      <c r="W305" s="18"/>
    </row>
    <row r="306" spans="1:23" ht="15.75">
      <c r="A306" s="48"/>
      <c r="B306" s="1"/>
      <c r="C306" s="1"/>
      <c r="D306" s="1"/>
      <c r="E306" s="1"/>
      <c r="F306" s="11" t="str">
        <f t="shared" si="13"/>
        <v/>
      </c>
      <c r="G306" s="26" t="str">
        <f t="shared" si="14"/>
        <v/>
      </c>
      <c r="H306" s="1"/>
      <c r="I306" s="1"/>
      <c r="J306" s="44"/>
      <c r="K306" s="1"/>
      <c r="L306" s="1"/>
      <c r="M306" s="1"/>
      <c r="N306" s="1"/>
      <c r="O306" s="1"/>
      <c r="P306" s="1"/>
      <c r="Q306" s="1"/>
      <c r="R306" s="1"/>
      <c r="S306" s="1"/>
      <c r="T306" s="29"/>
      <c r="U306" s="18"/>
      <c r="V306" s="18"/>
      <c r="W306" s="18"/>
    </row>
    <row r="307" spans="1:23" ht="15.75">
      <c r="A307" s="48"/>
      <c r="B307" s="1"/>
      <c r="C307" s="1"/>
      <c r="D307" s="1"/>
      <c r="E307" s="1"/>
      <c r="F307" s="11" t="str">
        <f t="shared" si="13"/>
        <v/>
      </c>
      <c r="G307" s="26" t="str">
        <f t="shared" si="14"/>
        <v/>
      </c>
      <c r="H307" s="1"/>
      <c r="I307" s="1"/>
      <c r="J307" s="44"/>
      <c r="K307" s="1"/>
      <c r="L307" s="1"/>
      <c r="M307" s="1"/>
      <c r="N307" s="1"/>
      <c r="O307" s="1"/>
      <c r="P307" s="1"/>
      <c r="Q307" s="1"/>
      <c r="R307" s="1"/>
      <c r="S307" s="1"/>
      <c r="T307" s="29"/>
      <c r="U307" s="18"/>
      <c r="V307" s="18"/>
      <c r="W307" s="18"/>
    </row>
    <row r="308" spans="1:23" ht="15.75">
      <c r="A308" s="48"/>
      <c r="B308" s="1"/>
      <c r="C308" s="1"/>
      <c r="D308" s="1"/>
      <c r="E308" s="1"/>
      <c r="F308" s="11" t="str">
        <f t="shared" si="13"/>
        <v/>
      </c>
      <c r="G308" s="26" t="str">
        <f t="shared" si="14"/>
        <v/>
      </c>
      <c r="H308" s="1"/>
      <c r="I308" s="1"/>
      <c r="J308" s="44"/>
      <c r="K308" s="1"/>
      <c r="L308" s="1"/>
      <c r="M308" s="1"/>
      <c r="N308" s="1"/>
      <c r="O308" s="1"/>
      <c r="P308" s="1"/>
      <c r="Q308" s="1"/>
      <c r="R308" s="1"/>
      <c r="S308" s="1"/>
      <c r="T308" s="29"/>
      <c r="U308" s="18"/>
      <c r="V308" s="18"/>
      <c r="W308" s="18"/>
    </row>
    <row r="309" spans="1:23" ht="15.75">
      <c r="A309" s="48"/>
      <c r="B309" s="1"/>
      <c r="C309" s="1"/>
      <c r="D309" s="1"/>
      <c r="E309" s="1"/>
      <c r="F309" s="11" t="str">
        <f t="shared" si="13"/>
        <v/>
      </c>
      <c r="G309" s="26" t="str">
        <f t="shared" si="14"/>
        <v/>
      </c>
      <c r="H309" s="1"/>
      <c r="I309" s="1"/>
      <c r="J309" s="44"/>
      <c r="K309" s="1"/>
      <c r="L309" s="1"/>
      <c r="M309" s="1"/>
      <c r="N309" s="1"/>
      <c r="O309" s="1"/>
      <c r="P309" s="1"/>
      <c r="Q309" s="1"/>
      <c r="R309" s="1"/>
      <c r="S309" s="1"/>
      <c r="T309" s="29"/>
      <c r="U309" s="18"/>
      <c r="V309" s="18"/>
      <c r="W309" s="18"/>
    </row>
    <row r="310" spans="1:23" ht="15.75">
      <c r="A310" s="48"/>
      <c r="B310" s="1"/>
      <c r="C310" s="1"/>
      <c r="D310" s="1"/>
      <c r="E310" s="1"/>
      <c r="F310" s="11" t="str">
        <f t="shared" si="13"/>
        <v/>
      </c>
      <c r="G310" s="26" t="str">
        <f t="shared" si="14"/>
        <v/>
      </c>
      <c r="H310" s="1"/>
      <c r="I310" s="1"/>
      <c r="J310" s="44"/>
      <c r="K310" s="1"/>
      <c r="L310" s="1"/>
      <c r="M310" s="1"/>
      <c r="N310" s="1"/>
      <c r="O310" s="1"/>
      <c r="P310" s="1"/>
      <c r="Q310" s="1"/>
      <c r="R310" s="1"/>
      <c r="S310" s="1"/>
      <c r="T310" s="29"/>
      <c r="U310" s="18"/>
      <c r="V310" s="18"/>
      <c r="W310" s="18"/>
    </row>
    <row r="311" spans="1:23" ht="15.75">
      <c r="A311" s="48"/>
      <c r="B311" s="1"/>
      <c r="C311" s="1"/>
      <c r="D311" s="1"/>
      <c r="E311" s="1"/>
      <c r="F311" s="11" t="str">
        <f t="shared" si="13"/>
        <v/>
      </c>
      <c r="G311" s="26" t="str">
        <f t="shared" si="14"/>
        <v/>
      </c>
      <c r="H311" s="1"/>
      <c r="I311" s="1"/>
      <c r="J311" s="44"/>
      <c r="K311" s="1"/>
      <c r="L311" s="1"/>
      <c r="M311" s="1"/>
      <c r="N311" s="1"/>
      <c r="O311" s="1"/>
      <c r="P311" s="1"/>
      <c r="Q311" s="1"/>
      <c r="R311" s="1"/>
      <c r="S311" s="1"/>
      <c r="T311" s="29"/>
      <c r="U311" s="18"/>
      <c r="V311" s="18"/>
      <c r="W311" s="18"/>
    </row>
    <row r="312" spans="1:23" ht="15.75">
      <c r="A312" s="48"/>
      <c r="B312" s="1"/>
      <c r="C312" s="1"/>
      <c r="D312" s="1"/>
      <c r="E312" s="1"/>
      <c r="F312" s="11" t="str">
        <f t="shared" si="13"/>
        <v/>
      </c>
      <c r="G312" s="26" t="str">
        <f t="shared" si="14"/>
        <v/>
      </c>
      <c r="H312" s="1"/>
      <c r="I312" s="1"/>
      <c r="J312" s="44"/>
      <c r="K312" s="1"/>
      <c r="L312" s="1"/>
      <c r="M312" s="1"/>
      <c r="N312" s="1"/>
      <c r="O312" s="1"/>
      <c r="P312" s="1"/>
      <c r="Q312" s="1"/>
      <c r="R312" s="1"/>
      <c r="S312" s="1"/>
      <c r="T312" s="29"/>
      <c r="U312" s="18"/>
      <c r="V312" s="18"/>
      <c r="W312" s="18"/>
    </row>
    <row r="313" spans="1:23" ht="15.75">
      <c r="A313" s="48"/>
      <c r="B313" s="1"/>
      <c r="C313" s="1"/>
      <c r="D313" s="1"/>
      <c r="E313" s="1"/>
      <c r="F313" s="11" t="str">
        <f t="shared" si="13"/>
        <v/>
      </c>
      <c r="G313" s="26" t="str">
        <f t="shared" si="14"/>
        <v/>
      </c>
      <c r="H313" s="1"/>
      <c r="I313" s="1"/>
      <c r="J313" s="44"/>
      <c r="K313" s="1"/>
      <c r="L313" s="1"/>
      <c r="M313" s="1"/>
      <c r="N313" s="1"/>
      <c r="O313" s="1"/>
      <c r="P313" s="1"/>
      <c r="Q313" s="1"/>
      <c r="R313" s="1"/>
      <c r="S313" s="1"/>
      <c r="T313" s="29"/>
      <c r="U313" s="18"/>
      <c r="V313" s="18"/>
      <c r="W313" s="18"/>
    </row>
    <row r="314" spans="1:23" ht="15.75">
      <c r="A314" s="48"/>
      <c r="B314" s="1"/>
      <c r="C314" s="1"/>
      <c r="D314" s="1"/>
      <c r="E314" s="1"/>
      <c r="F314" s="11" t="str">
        <f t="shared" si="13"/>
        <v/>
      </c>
      <c r="G314" s="26" t="str">
        <f t="shared" si="14"/>
        <v/>
      </c>
      <c r="H314" s="1"/>
      <c r="I314" s="1"/>
      <c r="J314" s="44"/>
      <c r="K314" s="1"/>
      <c r="L314" s="1"/>
      <c r="M314" s="1"/>
      <c r="N314" s="1"/>
      <c r="O314" s="1"/>
      <c r="P314" s="1"/>
      <c r="Q314" s="1"/>
      <c r="R314" s="1"/>
      <c r="S314" s="1"/>
      <c r="T314" s="29"/>
      <c r="U314" s="18"/>
      <c r="V314" s="18"/>
      <c r="W314" s="18"/>
    </row>
    <row r="315" spans="1:23" ht="15.75">
      <c r="A315" s="48"/>
      <c r="B315" s="1"/>
      <c r="C315" s="1"/>
      <c r="D315" s="1"/>
      <c r="E315" s="1"/>
      <c r="F315" s="11" t="str">
        <f t="shared" si="13"/>
        <v/>
      </c>
      <c r="G315" s="26" t="str">
        <f t="shared" si="14"/>
        <v/>
      </c>
      <c r="H315" s="1"/>
      <c r="I315" s="1"/>
      <c r="J315" s="44"/>
      <c r="K315" s="1"/>
      <c r="L315" s="1"/>
      <c r="M315" s="1"/>
      <c r="N315" s="1"/>
      <c r="O315" s="1"/>
      <c r="P315" s="1"/>
      <c r="Q315" s="1"/>
      <c r="R315" s="1"/>
      <c r="S315" s="1"/>
      <c r="T315" s="29"/>
      <c r="U315" s="18"/>
      <c r="V315" s="18"/>
      <c r="W315" s="18"/>
    </row>
    <row r="316" spans="1:23" ht="15.75">
      <c r="A316" s="48"/>
      <c r="B316" s="1"/>
      <c r="C316" s="1"/>
      <c r="D316" s="1"/>
      <c r="E316" s="1"/>
      <c r="F316" s="11" t="str">
        <f t="shared" si="13"/>
        <v/>
      </c>
      <c r="G316" s="26" t="str">
        <f t="shared" si="14"/>
        <v/>
      </c>
      <c r="H316" s="1"/>
      <c r="I316" s="1"/>
      <c r="J316" s="44"/>
      <c r="K316" s="1"/>
      <c r="L316" s="1"/>
      <c r="M316" s="1"/>
      <c r="N316" s="1"/>
      <c r="O316" s="1"/>
      <c r="P316" s="1"/>
      <c r="Q316" s="1"/>
      <c r="R316" s="1"/>
      <c r="S316" s="1"/>
      <c r="T316" s="29"/>
      <c r="U316" s="18"/>
      <c r="V316" s="18"/>
      <c r="W316" s="18"/>
    </row>
    <row r="317" spans="1:23" ht="15.75">
      <c r="A317" s="48"/>
      <c r="B317" s="1"/>
      <c r="C317" s="1"/>
      <c r="D317" s="1"/>
      <c r="E317" s="1"/>
      <c r="F317" s="1"/>
      <c r="G317" s="26" t="str">
        <f t="shared" si="14"/>
        <v/>
      </c>
      <c r="H317" s="1"/>
      <c r="I317" s="1"/>
      <c r="J317" s="44"/>
      <c r="K317" s="1"/>
      <c r="L317" s="1"/>
      <c r="M317" s="1"/>
      <c r="N317" s="1"/>
      <c r="O317" s="1"/>
      <c r="P317" s="1"/>
      <c r="Q317" s="1"/>
      <c r="R317" s="1"/>
      <c r="S317" s="1"/>
      <c r="T317" s="29"/>
      <c r="U317" s="18"/>
      <c r="V317" s="18"/>
      <c r="W317" s="18"/>
    </row>
    <row r="318" spans="1:23" ht="15.75">
      <c r="A318" s="48"/>
      <c r="B318" s="1"/>
      <c r="C318" s="1"/>
      <c r="D318" s="1"/>
      <c r="E318" s="1"/>
      <c r="F318" s="1"/>
      <c r="G318" s="26" t="str">
        <f t="shared" si="14"/>
        <v/>
      </c>
      <c r="H318" s="1"/>
      <c r="I318" s="1"/>
      <c r="J318" s="44"/>
      <c r="K318" s="1"/>
      <c r="L318" s="1"/>
      <c r="M318" s="1"/>
      <c r="N318" s="1"/>
      <c r="O318" s="1"/>
      <c r="P318" s="1"/>
      <c r="Q318" s="1"/>
      <c r="R318" s="1"/>
      <c r="S318" s="1"/>
      <c r="T318" s="29"/>
      <c r="U318" s="18"/>
      <c r="V318" s="18"/>
      <c r="W318" s="18"/>
    </row>
    <row r="319" spans="1:23" ht="15.75">
      <c r="A319" s="48"/>
      <c r="B319" s="1"/>
      <c r="C319" s="1"/>
      <c r="D319" s="1"/>
      <c r="E319" s="1"/>
      <c r="F319" s="1"/>
      <c r="G319" s="26" t="str">
        <f t="shared" si="14"/>
        <v/>
      </c>
      <c r="H319" s="1"/>
      <c r="I319" s="1"/>
      <c r="J319" s="44"/>
      <c r="K319" s="1"/>
      <c r="L319" s="1"/>
      <c r="M319" s="1"/>
      <c r="N319" s="1"/>
      <c r="O319" s="1"/>
      <c r="P319" s="1"/>
      <c r="Q319" s="1"/>
      <c r="R319" s="1"/>
      <c r="S319" s="1"/>
      <c r="T319" s="29"/>
      <c r="U319" s="18"/>
      <c r="V319" s="18"/>
      <c r="W319" s="18"/>
    </row>
    <row r="320" spans="1:23" ht="15.75">
      <c r="A320" s="48"/>
      <c r="B320" s="1"/>
      <c r="C320" s="1"/>
      <c r="D320" s="1"/>
      <c r="E320" s="1"/>
      <c r="F320" s="1"/>
      <c r="G320" s="26" t="str">
        <f t="shared" si="14"/>
        <v/>
      </c>
      <c r="H320" s="1"/>
      <c r="I320" s="1"/>
      <c r="J320" s="44"/>
      <c r="K320" s="1"/>
      <c r="L320" s="1"/>
      <c r="M320" s="1"/>
      <c r="N320" s="1"/>
      <c r="O320" s="1"/>
      <c r="P320" s="1"/>
      <c r="Q320" s="1"/>
      <c r="R320" s="1"/>
      <c r="S320" s="1"/>
      <c r="T320" s="29"/>
      <c r="U320" s="18"/>
      <c r="V320" s="18"/>
      <c r="W320" s="18"/>
    </row>
    <row r="321" spans="1:23" ht="15.75">
      <c r="A321" s="48"/>
      <c r="B321" s="1"/>
      <c r="C321" s="1"/>
      <c r="D321" s="1"/>
      <c r="E321" s="1"/>
      <c r="F321" s="1"/>
      <c r="G321" s="26" t="str">
        <f t="shared" si="14"/>
        <v/>
      </c>
      <c r="H321" s="1"/>
      <c r="I321" s="1"/>
      <c r="J321" s="44"/>
      <c r="K321" s="1"/>
      <c r="L321" s="1"/>
      <c r="M321" s="1"/>
      <c r="N321" s="1"/>
      <c r="O321" s="1"/>
      <c r="P321" s="1"/>
      <c r="Q321" s="1"/>
      <c r="R321" s="1"/>
      <c r="S321" s="1"/>
      <c r="T321" s="29"/>
      <c r="U321" s="18"/>
      <c r="V321" s="18"/>
      <c r="W321" s="18"/>
    </row>
    <row r="322" spans="1:23" ht="15.75">
      <c r="A322" s="48"/>
      <c r="B322" s="1"/>
      <c r="C322" s="1"/>
      <c r="D322" s="1"/>
      <c r="E322" s="1"/>
      <c r="F322" s="1"/>
      <c r="G322" s="26" t="str">
        <f t="shared" si="14"/>
        <v/>
      </c>
      <c r="H322" s="1"/>
      <c r="I322" s="1"/>
      <c r="J322" s="44"/>
      <c r="K322" s="1"/>
      <c r="L322" s="1"/>
      <c r="M322" s="1"/>
      <c r="N322" s="1"/>
      <c r="O322" s="1"/>
      <c r="P322" s="1"/>
      <c r="Q322" s="1"/>
      <c r="R322" s="1"/>
      <c r="S322" s="1"/>
      <c r="T322" s="29"/>
      <c r="U322" s="18"/>
      <c r="V322" s="18"/>
      <c r="W322" s="18"/>
    </row>
    <row r="323" spans="1:23" ht="15.75">
      <c r="A323" s="48"/>
      <c r="B323" s="1"/>
      <c r="C323" s="1"/>
      <c r="D323" s="1"/>
      <c r="E323" s="1"/>
      <c r="F323" s="1"/>
      <c r="G323" s="26" t="str">
        <f t="shared" si="14"/>
        <v/>
      </c>
      <c r="H323" s="1"/>
      <c r="I323" s="1"/>
      <c r="J323" s="44"/>
      <c r="K323" s="1"/>
      <c r="L323" s="1"/>
      <c r="M323" s="1"/>
      <c r="N323" s="1"/>
      <c r="O323" s="1"/>
      <c r="P323" s="1"/>
      <c r="Q323" s="1"/>
      <c r="R323" s="1"/>
      <c r="S323" s="1"/>
      <c r="T323" s="29"/>
      <c r="U323" s="18"/>
      <c r="V323" s="18"/>
      <c r="W323" s="18"/>
    </row>
    <row r="324" spans="1:23" ht="15.75">
      <c r="A324" s="48"/>
      <c r="B324" s="1"/>
      <c r="C324" s="1"/>
      <c r="D324" s="1"/>
      <c r="E324" s="1"/>
      <c r="F324" s="1"/>
      <c r="G324" s="26" t="str">
        <f t="shared" si="14"/>
        <v/>
      </c>
      <c r="H324" s="1"/>
      <c r="I324" s="1"/>
      <c r="J324" s="44"/>
      <c r="K324" s="1"/>
      <c r="L324" s="1"/>
      <c r="M324" s="1"/>
      <c r="N324" s="1"/>
      <c r="O324" s="1"/>
      <c r="P324" s="1"/>
      <c r="Q324" s="1"/>
      <c r="R324" s="1"/>
      <c r="S324" s="1"/>
      <c r="T324" s="29"/>
      <c r="U324" s="18"/>
      <c r="V324" s="18"/>
      <c r="W324" s="18"/>
    </row>
    <row r="325" spans="1:23" ht="15.75">
      <c r="A325" s="48"/>
      <c r="B325" s="1"/>
      <c r="C325" s="1"/>
      <c r="D325" s="1"/>
      <c r="E325" s="1"/>
      <c r="F325" s="1"/>
      <c r="G325" s="26" t="str">
        <f t="shared" si="14"/>
        <v/>
      </c>
      <c r="H325" s="1"/>
      <c r="I325" s="1"/>
      <c r="J325" s="44"/>
      <c r="K325" s="1"/>
      <c r="L325" s="1"/>
      <c r="M325" s="1"/>
      <c r="N325" s="1"/>
      <c r="O325" s="1"/>
      <c r="P325" s="1"/>
      <c r="Q325" s="1"/>
      <c r="R325" s="1"/>
      <c r="S325" s="1"/>
      <c r="T325" s="29"/>
      <c r="U325" s="18"/>
      <c r="V325" s="18"/>
      <c r="W325" s="18"/>
    </row>
    <row r="326" spans="1:23" ht="15.75">
      <c r="A326" s="48"/>
      <c r="B326" s="1"/>
      <c r="C326" s="1"/>
      <c r="D326" s="1"/>
      <c r="E326" s="1"/>
      <c r="F326" s="1"/>
      <c r="G326" s="26" t="str">
        <f t="shared" si="14"/>
        <v/>
      </c>
      <c r="H326" s="1"/>
      <c r="I326" s="1"/>
      <c r="J326" s="44"/>
      <c r="K326" s="1"/>
      <c r="L326" s="1"/>
      <c r="M326" s="1"/>
      <c r="N326" s="1"/>
      <c r="O326" s="1"/>
      <c r="P326" s="1"/>
      <c r="Q326" s="1"/>
      <c r="R326" s="1"/>
      <c r="S326" s="1"/>
      <c r="T326" s="29"/>
      <c r="U326" s="18"/>
      <c r="V326" s="18"/>
      <c r="W326" s="18"/>
    </row>
    <row r="327" spans="1:23" ht="15.75">
      <c r="A327" s="48"/>
      <c r="B327" s="1"/>
      <c r="C327" s="1"/>
      <c r="D327" s="1"/>
      <c r="E327" s="1"/>
      <c r="F327" s="1"/>
      <c r="G327" s="26" t="str">
        <f t="shared" si="14"/>
        <v/>
      </c>
      <c r="H327" s="1"/>
      <c r="I327" s="1"/>
      <c r="J327" s="44"/>
      <c r="K327" s="1"/>
      <c r="L327" s="1"/>
      <c r="M327" s="1"/>
      <c r="N327" s="1"/>
      <c r="O327" s="1"/>
      <c r="P327" s="1"/>
      <c r="Q327" s="1"/>
      <c r="R327" s="1"/>
      <c r="S327" s="1"/>
      <c r="T327" s="29"/>
      <c r="U327" s="18"/>
      <c r="V327" s="18"/>
      <c r="W327" s="18"/>
    </row>
    <row r="328" spans="1:23" ht="15.75">
      <c r="A328" s="48"/>
      <c r="B328" s="1"/>
      <c r="C328" s="1"/>
      <c r="D328" s="1"/>
      <c r="E328" s="1"/>
      <c r="F328" s="1"/>
      <c r="G328" s="26" t="str">
        <f t="shared" si="14"/>
        <v/>
      </c>
      <c r="H328" s="1"/>
      <c r="I328" s="1"/>
      <c r="J328" s="44"/>
      <c r="K328" s="1"/>
      <c r="L328" s="1"/>
      <c r="M328" s="1"/>
      <c r="N328" s="1"/>
      <c r="O328" s="1"/>
      <c r="P328" s="1"/>
      <c r="Q328" s="1"/>
      <c r="R328" s="1"/>
      <c r="S328" s="1"/>
      <c r="T328" s="29"/>
      <c r="U328" s="18"/>
      <c r="V328" s="18"/>
      <c r="W328" s="18"/>
    </row>
    <row r="329" spans="1:23" ht="15.75">
      <c r="A329" s="48"/>
      <c r="B329" s="1"/>
      <c r="C329" s="1"/>
      <c r="D329" s="1"/>
      <c r="E329" s="1"/>
      <c r="F329" s="1"/>
      <c r="G329" s="26" t="str">
        <f t="shared" si="14"/>
        <v/>
      </c>
      <c r="H329" s="1"/>
      <c r="I329" s="1"/>
      <c r="J329" s="44"/>
      <c r="K329" s="1"/>
      <c r="L329" s="1"/>
      <c r="M329" s="1"/>
      <c r="N329" s="1"/>
      <c r="O329" s="1"/>
      <c r="P329" s="1"/>
      <c r="Q329" s="1"/>
      <c r="R329" s="1"/>
      <c r="S329" s="1"/>
      <c r="T329" s="29"/>
      <c r="U329" s="18"/>
      <c r="V329" s="18"/>
      <c r="W329" s="18"/>
    </row>
    <row r="330" spans="1:23" ht="15.75">
      <c r="A330" s="48"/>
      <c r="B330" s="1"/>
      <c r="C330" s="1"/>
      <c r="D330" s="1"/>
      <c r="E330" s="1"/>
      <c r="F330" s="1"/>
      <c r="G330" s="26" t="str">
        <f t="shared" si="14"/>
        <v/>
      </c>
      <c r="H330" s="1"/>
      <c r="I330" s="1"/>
      <c r="J330" s="44"/>
      <c r="K330" s="1"/>
      <c r="L330" s="1"/>
      <c r="M330" s="1"/>
      <c r="N330" s="1"/>
      <c r="O330" s="1"/>
      <c r="P330" s="1"/>
      <c r="Q330" s="1"/>
      <c r="R330" s="1"/>
      <c r="S330" s="1"/>
      <c r="T330" s="29"/>
      <c r="U330" s="18"/>
      <c r="V330" s="18"/>
      <c r="W330" s="18"/>
    </row>
    <row r="331" spans="1:23" ht="15.75">
      <c r="A331" s="48"/>
      <c r="B331" s="1"/>
      <c r="C331" s="1"/>
      <c r="D331" s="1"/>
      <c r="E331" s="1"/>
      <c r="F331" s="1"/>
      <c r="G331" s="26" t="str">
        <f t="shared" si="14"/>
        <v/>
      </c>
      <c r="H331" s="1"/>
      <c r="I331" s="1"/>
      <c r="J331" s="44"/>
      <c r="K331" s="1"/>
      <c r="L331" s="1"/>
      <c r="M331" s="1"/>
      <c r="N331" s="1"/>
      <c r="O331" s="1"/>
      <c r="P331" s="1"/>
      <c r="Q331" s="1"/>
      <c r="R331" s="1"/>
      <c r="S331" s="1"/>
      <c r="T331" s="29"/>
      <c r="U331" s="18"/>
      <c r="V331" s="18"/>
      <c r="W331" s="18"/>
    </row>
    <row r="332" spans="1:23" ht="15.75">
      <c r="A332" s="48"/>
      <c r="B332" s="1"/>
      <c r="C332" s="1"/>
      <c r="D332" s="1"/>
      <c r="E332" s="1"/>
      <c r="F332" s="1"/>
      <c r="G332" s="26" t="str">
        <f t="shared" si="14"/>
        <v/>
      </c>
      <c r="H332" s="1"/>
      <c r="I332" s="1"/>
      <c r="J332" s="44"/>
      <c r="K332" s="1"/>
      <c r="L332" s="1"/>
      <c r="M332" s="1"/>
      <c r="N332" s="1"/>
      <c r="O332" s="1"/>
      <c r="P332" s="1"/>
      <c r="Q332" s="1"/>
      <c r="R332" s="1"/>
      <c r="S332" s="1"/>
      <c r="T332" s="29"/>
      <c r="U332" s="18"/>
      <c r="V332" s="18"/>
      <c r="W332" s="18"/>
    </row>
    <row r="333" spans="1:23" ht="15.75">
      <c r="A333" s="48"/>
      <c r="B333" s="1"/>
      <c r="C333" s="1"/>
      <c r="D333" s="1"/>
      <c r="E333" s="1"/>
      <c r="F333" s="1"/>
      <c r="G333" s="26" t="str">
        <f t="shared" si="14"/>
        <v/>
      </c>
      <c r="H333" s="1"/>
      <c r="I333" s="1"/>
      <c r="J333" s="44"/>
      <c r="K333" s="1"/>
      <c r="L333" s="1"/>
      <c r="M333" s="1"/>
      <c r="N333" s="1"/>
      <c r="O333" s="1"/>
      <c r="P333" s="1"/>
      <c r="Q333" s="1"/>
      <c r="R333" s="1"/>
      <c r="S333" s="1"/>
      <c r="T333" s="29"/>
      <c r="U333" s="18"/>
      <c r="V333" s="18"/>
      <c r="W333" s="18"/>
    </row>
    <row r="334" spans="1:23" ht="15.75">
      <c r="A334" s="48"/>
      <c r="B334" s="1"/>
      <c r="C334" s="1"/>
      <c r="D334" s="1"/>
      <c r="E334" s="1"/>
      <c r="F334" s="1"/>
      <c r="G334" s="26" t="str">
        <f t="shared" si="14"/>
        <v/>
      </c>
      <c r="H334" s="1"/>
      <c r="I334" s="1"/>
      <c r="J334" s="44"/>
      <c r="K334" s="1"/>
      <c r="L334" s="1"/>
      <c r="M334" s="1"/>
      <c r="N334" s="1"/>
      <c r="O334" s="1"/>
      <c r="P334" s="1"/>
      <c r="Q334" s="1"/>
      <c r="R334" s="1"/>
      <c r="S334" s="1"/>
      <c r="T334" s="29"/>
      <c r="U334" s="18"/>
      <c r="V334" s="18"/>
      <c r="W334" s="18"/>
    </row>
    <row r="335" spans="1:23" ht="15.75">
      <c r="A335" s="48"/>
      <c r="B335" s="1"/>
      <c r="C335" s="1"/>
      <c r="D335" s="1"/>
      <c r="E335" s="1"/>
      <c r="F335" s="1"/>
      <c r="G335" s="26" t="str">
        <f t="shared" si="14"/>
        <v/>
      </c>
      <c r="H335" s="1"/>
      <c r="I335" s="1"/>
      <c r="J335" s="44"/>
      <c r="K335" s="1"/>
      <c r="L335" s="1"/>
      <c r="M335" s="1"/>
      <c r="N335" s="1"/>
      <c r="O335" s="1"/>
      <c r="P335" s="1"/>
      <c r="Q335" s="1"/>
      <c r="R335" s="1"/>
      <c r="S335" s="1"/>
      <c r="T335" s="29"/>
      <c r="U335" s="18"/>
      <c r="V335" s="18"/>
      <c r="W335" s="18"/>
    </row>
    <row r="336" spans="1:23" ht="15.75">
      <c r="A336" s="48"/>
      <c r="B336" s="1"/>
      <c r="C336" s="1"/>
      <c r="D336" s="1"/>
      <c r="E336" s="1"/>
      <c r="F336" s="1"/>
      <c r="G336" s="26" t="str">
        <f t="shared" si="14"/>
        <v/>
      </c>
      <c r="H336" s="1"/>
      <c r="I336" s="1"/>
      <c r="J336" s="44"/>
      <c r="K336" s="1"/>
      <c r="L336" s="1"/>
      <c r="M336" s="1"/>
      <c r="N336" s="1"/>
      <c r="O336" s="1"/>
      <c r="P336" s="1"/>
      <c r="Q336" s="1"/>
      <c r="R336" s="1"/>
      <c r="S336" s="1"/>
      <c r="T336" s="29"/>
      <c r="U336" s="18"/>
      <c r="V336" s="18"/>
      <c r="W336" s="18"/>
    </row>
    <row r="337" spans="1:23" ht="15.75">
      <c r="A337" s="48"/>
      <c r="B337" s="1"/>
      <c r="C337" s="1"/>
      <c r="D337" s="1"/>
      <c r="E337" s="1"/>
      <c r="F337" s="1"/>
      <c r="G337" s="26" t="str">
        <f t="shared" si="14"/>
        <v/>
      </c>
      <c r="H337" s="1"/>
      <c r="I337" s="1"/>
      <c r="J337" s="44"/>
      <c r="K337" s="1"/>
      <c r="L337" s="1"/>
      <c r="M337" s="1"/>
      <c r="N337" s="1"/>
      <c r="O337" s="1"/>
      <c r="P337" s="1"/>
      <c r="Q337" s="1"/>
      <c r="R337" s="1"/>
      <c r="S337" s="1"/>
      <c r="T337" s="29"/>
      <c r="U337" s="18"/>
      <c r="V337" s="18"/>
      <c r="W337" s="18"/>
    </row>
    <row r="338" spans="1:23" ht="15.75">
      <c r="A338" s="48"/>
      <c r="B338" s="1"/>
      <c r="C338" s="1"/>
      <c r="D338" s="1"/>
      <c r="E338" s="1"/>
      <c r="F338" s="1"/>
      <c r="G338" s="26" t="str">
        <f t="shared" si="14"/>
        <v/>
      </c>
      <c r="H338" s="1"/>
      <c r="I338" s="1"/>
      <c r="J338" s="44"/>
      <c r="K338" s="1"/>
      <c r="L338" s="1"/>
      <c r="M338" s="1"/>
      <c r="N338" s="1"/>
      <c r="O338" s="1"/>
      <c r="P338" s="1"/>
      <c r="Q338" s="1"/>
      <c r="R338" s="1"/>
      <c r="S338" s="1"/>
      <c r="T338" s="29"/>
      <c r="U338" s="18"/>
      <c r="V338" s="18"/>
      <c r="W338" s="18"/>
    </row>
    <row r="339" spans="1:23" ht="15.75">
      <c r="A339" s="48"/>
      <c r="B339" s="1"/>
      <c r="C339" s="1"/>
      <c r="D339" s="1"/>
      <c r="E339" s="1"/>
      <c r="F339" s="1"/>
      <c r="G339" s="26" t="str">
        <f t="shared" si="14"/>
        <v/>
      </c>
      <c r="H339" s="1"/>
      <c r="I339" s="1"/>
      <c r="J339" s="44"/>
      <c r="K339" s="1"/>
      <c r="L339" s="1"/>
      <c r="M339" s="1"/>
      <c r="N339" s="1"/>
      <c r="O339" s="1"/>
      <c r="P339" s="1"/>
      <c r="Q339" s="1"/>
      <c r="R339" s="1"/>
      <c r="S339" s="1"/>
      <c r="T339" s="29"/>
      <c r="U339" s="18"/>
      <c r="V339" s="18"/>
      <c r="W339" s="18"/>
    </row>
    <row r="340" spans="1:23" ht="15.75">
      <c r="A340" s="48"/>
      <c r="B340" s="1"/>
      <c r="C340" s="1"/>
      <c r="D340" s="1"/>
      <c r="E340" s="1"/>
      <c r="F340" s="1"/>
      <c r="G340" s="26" t="str">
        <f t="shared" si="14"/>
        <v/>
      </c>
      <c r="H340" s="1"/>
      <c r="I340" s="1"/>
      <c r="J340" s="44"/>
      <c r="K340" s="1"/>
      <c r="L340" s="1"/>
      <c r="M340" s="1"/>
      <c r="N340" s="1"/>
      <c r="O340" s="1"/>
      <c r="P340" s="1"/>
      <c r="Q340" s="1"/>
      <c r="R340" s="1"/>
      <c r="S340" s="1"/>
      <c r="T340" s="29"/>
      <c r="U340" s="18"/>
      <c r="V340" s="18"/>
      <c r="W340" s="18"/>
    </row>
    <row r="341" spans="1:23" ht="15.75">
      <c r="A341" s="48"/>
      <c r="B341" s="1"/>
      <c r="C341" s="1"/>
      <c r="D341" s="1"/>
      <c r="E341" s="1"/>
      <c r="F341" s="1"/>
      <c r="G341" s="26" t="str">
        <f t="shared" si="14"/>
        <v/>
      </c>
      <c r="H341" s="1"/>
      <c r="I341" s="1"/>
      <c r="J341" s="44"/>
      <c r="K341" s="1"/>
      <c r="L341" s="1"/>
      <c r="M341" s="1"/>
      <c r="N341" s="1"/>
      <c r="O341" s="1"/>
      <c r="P341" s="1"/>
      <c r="Q341" s="1"/>
      <c r="R341" s="1"/>
      <c r="S341" s="1"/>
      <c r="T341" s="29"/>
      <c r="U341" s="18"/>
      <c r="V341" s="18"/>
      <c r="W341" s="18"/>
    </row>
    <row r="342" spans="1:23" ht="15.75">
      <c r="A342" s="48"/>
      <c r="B342" s="1"/>
      <c r="C342" s="1"/>
      <c r="D342" s="1"/>
      <c r="E342" s="1"/>
      <c r="F342" s="1"/>
      <c r="G342" s="26" t="str">
        <f t="shared" si="14"/>
        <v/>
      </c>
      <c r="H342" s="1"/>
      <c r="I342" s="1"/>
      <c r="J342" s="44"/>
      <c r="K342" s="1"/>
      <c r="L342" s="1"/>
      <c r="M342" s="1"/>
      <c r="N342" s="1"/>
      <c r="O342" s="1"/>
      <c r="P342" s="1"/>
      <c r="Q342" s="1"/>
      <c r="R342" s="1"/>
      <c r="S342" s="1"/>
      <c r="T342" s="29"/>
      <c r="U342" s="18"/>
      <c r="V342" s="18"/>
      <c r="W342" s="18"/>
    </row>
    <row r="343" spans="1:23" ht="15.75">
      <c r="A343" s="48"/>
      <c r="B343" s="1"/>
      <c r="C343" s="1"/>
      <c r="D343" s="1"/>
      <c r="E343" s="1"/>
      <c r="F343" s="1"/>
      <c r="G343" s="26" t="str">
        <f t="shared" si="14"/>
        <v/>
      </c>
      <c r="H343" s="1"/>
      <c r="I343" s="1"/>
      <c r="J343" s="44"/>
      <c r="K343" s="1"/>
      <c r="L343" s="1"/>
      <c r="M343" s="1"/>
      <c r="N343" s="1"/>
      <c r="O343" s="1"/>
      <c r="P343" s="1"/>
      <c r="Q343" s="1"/>
      <c r="R343" s="1"/>
      <c r="S343" s="1"/>
      <c r="T343" s="29"/>
      <c r="U343" s="18"/>
      <c r="V343" s="18"/>
      <c r="W343" s="18"/>
    </row>
    <row r="344" spans="1:23" ht="15.75">
      <c r="A344" s="48"/>
      <c r="B344" s="1"/>
      <c r="C344" s="1"/>
      <c r="D344" s="1"/>
      <c r="E344" s="1"/>
      <c r="F344" s="1"/>
      <c r="G344" s="26" t="str">
        <f t="shared" si="14"/>
        <v/>
      </c>
      <c r="H344" s="1"/>
      <c r="I344" s="1"/>
      <c r="J344" s="44"/>
      <c r="K344" s="1"/>
      <c r="L344" s="1"/>
      <c r="M344" s="1"/>
      <c r="N344" s="1"/>
      <c r="O344" s="1"/>
      <c r="P344" s="1"/>
      <c r="Q344" s="1"/>
      <c r="R344" s="1"/>
      <c r="S344" s="1"/>
      <c r="T344" s="29"/>
      <c r="U344" s="18"/>
      <c r="V344" s="18"/>
      <c r="W344" s="18"/>
    </row>
    <row r="345" spans="1:23" ht="15.75">
      <c r="A345" s="48"/>
      <c r="B345" s="1"/>
      <c r="C345" s="1"/>
      <c r="D345" s="1"/>
      <c r="E345" s="1"/>
      <c r="F345" s="1"/>
      <c r="G345" s="26" t="str">
        <f t="shared" si="14"/>
        <v/>
      </c>
      <c r="H345" s="1"/>
      <c r="I345" s="1"/>
      <c r="J345" s="44"/>
      <c r="K345" s="1"/>
      <c r="L345" s="1"/>
      <c r="M345" s="1"/>
      <c r="N345" s="1"/>
      <c r="O345" s="1"/>
      <c r="P345" s="1"/>
      <c r="Q345" s="1"/>
      <c r="R345" s="1"/>
      <c r="S345" s="1"/>
      <c r="T345" s="29"/>
      <c r="U345" s="18"/>
      <c r="V345" s="18"/>
      <c r="W345" s="18"/>
    </row>
    <row r="346" spans="1:23" ht="15.75">
      <c r="A346" s="48"/>
      <c r="B346" s="1"/>
      <c r="C346" s="1"/>
      <c r="D346" s="1"/>
      <c r="E346" s="1"/>
      <c r="F346" s="1"/>
      <c r="G346" s="26" t="str">
        <f t="shared" si="14"/>
        <v/>
      </c>
      <c r="H346" s="1"/>
      <c r="I346" s="1"/>
      <c r="J346" s="44"/>
      <c r="K346" s="1"/>
      <c r="L346" s="1"/>
      <c r="M346" s="1"/>
      <c r="N346" s="1"/>
      <c r="O346" s="1"/>
      <c r="P346" s="1"/>
      <c r="Q346" s="1"/>
      <c r="R346" s="1"/>
      <c r="S346" s="1"/>
      <c r="T346" s="29"/>
      <c r="U346" s="18"/>
      <c r="V346" s="18"/>
      <c r="W346" s="18"/>
    </row>
    <row r="347" spans="1:23" ht="15.75">
      <c r="A347" s="48"/>
      <c r="B347" s="1"/>
      <c r="C347" s="1"/>
      <c r="D347" s="1"/>
      <c r="E347" s="1"/>
      <c r="F347" s="1"/>
      <c r="G347" s="26" t="str">
        <f t="shared" si="14"/>
        <v/>
      </c>
      <c r="H347" s="1"/>
      <c r="I347" s="1"/>
      <c r="J347" s="44"/>
      <c r="K347" s="1"/>
      <c r="L347" s="1"/>
      <c r="M347" s="1"/>
      <c r="N347" s="1"/>
      <c r="O347" s="1"/>
      <c r="P347" s="1"/>
      <c r="Q347" s="1"/>
      <c r="R347" s="1"/>
      <c r="S347" s="1"/>
      <c r="T347" s="29"/>
      <c r="U347" s="18"/>
      <c r="V347" s="18"/>
      <c r="W347" s="18"/>
    </row>
    <row r="348" spans="1:23" ht="15.75">
      <c r="A348" s="48"/>
      <c r="B348" s="1"/>
      <c r="C348" s="1"/>
      <c r="D348" s="1"/>
      <c r="E348" s="1"/>
      <c r="F348" s="1"/>
      <c r="G348" s="26" t="str">
        <f t="shared" si="14"/>
        <v/>
      </c>
      <c r="H348" s="1"/>
      <c r="I348" s="1"/>
      <c r="J348" s="44"/>
      <c r="K348" s="1"/>
      <c r="L348" s="1"/>
      <c r="M348" s="1"/>
      <c r="N348" s="1"/>
      <c r="O348" s="1"/>
      <c r="P348" s="1"/>
      <c r="Q348" s="1"/>
      <c r="R348" s="1"/>
      <c r="S348" s="1"/>
      <c r="T348" s="29"/>
      <c r="U348" s="18"/>
      <c r="V348" s="18"/>
      <c r="W348" s="18"/>
    </row>
    <row r="349" spans="1:23" ht="15.75">
      <c r="A349" s="48"/>
      <c r="B349" s="1"/>
      <c r="C349" s="1"/>
      <c r="D349" s="1"/>
      <c r="E349" s="1"/>
      <c r="F349" s="1"/>
      <c r="G349" s="26" t="str">
        <f t="shared" si="14"/>
        <v/>
      </c>
      <c r="H349" s="1"/>
      <c r="I349" s="1"/>
      <c r="J349" s="44"/>
      <c r="K349" s="1"/>
      <c r="L349" s="1"/>
      <c r="M349" s="1"/>
      <c r="N349" s="1"/>
      <c r="O349" s="1"/>
      <c r="P349" s="1"/>
      <c r="Q349" s="1"/>
      <c r="R349" s="1"/>
      <c r="S349" s="1"/>
      <c r="T349" s="29"/>
      <c r="U349" s="18"/>
      <c r="V349" s="18"/>
      <c r="W349" s="18"/>
    </row>
    <row r="350" spans="1:23" ht="15.75">
      <c r="A350" s="48"/>
      <c r="B350" s="1"/>
      <c r="C350" s="1"/>
      <c r="D350" s="1"/>
      <c r="E350" s="1"/>
      <c r="F350" s="1"/>
      <c r="G350" s="26" t="str">
        <f t="shared" si="14"/>
        <v/>
      </c>
      <c r="H350" s="1"/>
      <c r="I350" s="1"/>
      <c r="J350" s="44"/>
      <c r="K350" s="1"/>
      <c r="L350" s="1"/>
      <c r="M350" s="1"/>
      <c r="N350" s="1"/>
      <c r="O350" s="1"/>
      <c r="P350" s="1"/>
      <c r="Q350" s="1"/>
      <c r="R350" s="1"/>
      <c r="S350" s="1"/>
      <c r="T350" s="29"/>
      <c r="U350" s="18"/>
      <c r="V350" s="18"/>
      <c r="W350" s="18"/>
    </row>
    <row r="351" spans="1:23" ht="15.75">
      <c r="A351" s="48"/>
      <c r="B351" s="1"/>
      <c r="C351" s="1"/>
      <c r="D351" s="1"/>
      <c r="E351" s="1"/>
      <c r="F351" s="1"/>
      <c r="G351" s="26" t="str">
        <f t="shared" si="14"/>
        <v/>
      </c>
      <c r="H351" s="1"/>
      <c r="I351" s="1"/>
      <c r="J351" s="44"/>
      <c r="K351" s="1"/>
      <c r="L351" s="1"/>
      <c r="M351" s="1"/>
      <c r="N351" s="1"/>
      <c r="O351" s="1"/>
      <c r="P351" s="1"/>
      <c r="Q351" s="1"/>
      <c r="R351" s="1"/>
      <c r="S351" s="1"/>
      <c r="T351" s="29"/>
      <c r="U351" s="18"/>
      <c r="V351" s="18"/>
      <c r="W351" s="18"/>
    </row>
    <row r="352" spans="1:23" ht="15.75">
      <c r="A352" s="48"/>
      <c r="B352" s="1"/>
      <c r="C352" s="1"/>
      <c r="D352" s="1"/>
      <c r="E352" s="1"/>
      <c r="F352" s="1"/>
      <c r="G352" s="26" t="str">
        <f t="shared" si="14"/>
        <v/>
      </c>
      <c r="H352" s="1"/>
      <c r="I352" s="1"/>
      <c r="J352" s="44"/>
      <c r="K352" s="1"/>
      <c r="L352" s="1"/>
      <c r="M352" s="1"/>
      <c r="N352" s="1"/>
      <c r="O352" s="1"/>
      <c r="P352" s="1"/>
      <c r="Q352" s="1"/>
      <c r="R352" s="1"/>
      <c r="S352" s="1"/>
      <c r="T352" s="29"/>
      <c r="U352" s="18"/>
      <c r="V352" s="18"/>
      <c r="W352" s="18"/>
    </row>
    <row r="353" spans="1:23" ht="15.75">
      <c r="A353" s="48"/>
      <c r="B353" s="1"/>
      <c r="C353" s="1"/>
      <c r="D353" s="1"/>
      <c r="E353" s="1"/>
      <c r="F353" s="1"/>
      <c r="G353" s="26" t="str">
        <f t="shared" si="14"/>
        <v/>
      </c>
      <c r="H353" s="1"/>
      <c r="I353" s="1"/>
      <c r="J353" s="44"/>
      <c r="K353" s="1"/>
      <c r="L353" s="1"/>
      <c r="M353" s="1"/>
      <c r="N353" s="1"/>
      <c r="O353" s="1"/>
      <c r="P353" s="1"/>
      <c r="Q353" s="1"/>
      <c r="R353" s="1"/>
      <c r="S353" s="1"/>
      <c r="T353" s="29"/>
      <c r="U353" s="18"/>
      <c r="V353" s="18"/>
      <c r="W353" s="18"/>
    </row>
    <row r="354" spans="1:23" ht="15.75">
      <c r="A354" s="48"/>
      <c r="B354" s="1"/>
      <c r="C354" s="1"/>
      <c r="D354" s="1"/>
      <c r="E354" s="1"/>
      <c r="F354" s="1"/>
      <c r="G354" s="26" t="str">
        <f t="shared" si="14"/>
        <v/>
      </c>
      <c r="H354" s="1"/>
      <c r="I354" s="1"/>
      <c r="J354" s="44"/>
      <c r="K354" s="1"/>
      <c r="L354" s="1"/>
      <c r="M354" s="1"/>
      <c r="N354" s="1"/>
      <c r="O354" s="1"/>
      <c r="P354" s="1"/>
      <c r="Q354" s="1"/>
      <c r="R354" s="1"/>
      <c r="S354" s="1"/>
      <c r="T354" s="29"/>
      <c r="U354" s="18"/>
      <c r="V354" s="18"/>
      <c r="W354" s="18"/>
    </row>
    <row r="355" spans="1:23" ht="15.75">
      <c r="A355" s="48"/>
      <c r="B355" s="1"/>
      <c r="C355" s="1"/>
      <c r="D355" s="1"/>
      <c r="E355" s="1"/>
      <c r="F355" s="1"/>
      <c r="G355" s="26" t="str">
        <f t="shared" si="14"/>
        <v/>
      </c>
      <c r="H355" s="1"/>
      <c r="I355" s="1"/>
      <c r="J355" s="44"/>
      <c r="K355" s="1"/>
      <c r="L355" s="1"/>
      <c r="M355" s="1"/>
      <c r="N355" s="1"/>
      <c r="O355" s="1"/>
      <c r="P355" s="1"/>
      <c r="Q355" s="1"/>
      <c r="R355" s="1"/>
      <c r="S355" s="1"/>
      <c r="T355" s="29"/>
      <c r="U355" s="18"/>
      <c r="V355" s="18"/>
      <c r="W355" s="18"/>
    </row>
    <row r="356" spans="1:23" ht="15.75">
      <c r="A356" s="48"/>
      <c r="B356" s="1"/>
      <c r="C356" s="1"/>
      <c r="D356" s="1"/>
      <c r="E356" s="1"/>
      <c r="F356" s="1"/>
      <c r="G356" s="26" t="str">
        <f t="shared" si="14"/>
        <v/>
      </c>
      <c r="H356" s="1"/>
      <c r="I356" s="1"/>
      <c r="J356" s="44"/>
      <c r="K356" s="1"/>
      <c r="L356" s="1"/>
      <c r="M356" s="1"/>
      <c r="N356" s="1"/>
      <c r="O356" s="1"/>
      <c r="P356" s="1"/>
      <c r="Q356" s="1"/>
      <c r="R356" s="1"/>
      <c r="S356" s="1"/>
      <c r="T356" s="29"/>
      <c r="U356" s="18"/>
      <c r="V356" s="18"/>
      <c r="W356" s="18"/>
    </row>
    <row r="357" spans="1:23" ht="15.75">
      <c r="A357" s="48"/>
      <c r="B357" s="1"/>
      <c r="C357" s="1"/>
      <c r="D357" s="1"/>
      <c r="E357" s="1"/>
      <c r="F357" s="1"/>
      <c r="G357" s="26" t="str">
        <f t="shared" si="14"/>
        <v/>
      </c>
      <c r="H357" s="1"/>
      <c r="I357" s="1"/>
      <c r="J357" s="44"/>
      <c r="K357" s="1"/>
      <c r="L357" s="1"/>
      <c r="M357" s="1"/>
      <c r="N357" s="1"/>
      <c r="O357" s="1"/>
      <c r="P357" s="1"/>
      <c r="Q357" s="1"/>
      <c r="R357" s="1"/>
      <c r="S357" s="1"/>
      <c r="T357" s="29"/>
      <c r="U357" s="18"/>
      <c r="V357" s="18"/>
      <c r="W357" s="18"/>
    </row>
    <row r="358" spans="1:23" ht="15.75">
      <c r="A358" s="48"/>
      <c r="B358" s="1"/>
      <c r="C358" s="1"/>
      <c r="D358" s="1"/>
      <c r="E358" s="1"/>
      <c r="F358" s="1"/>
      <c r="G358" s="26" t="str">
        <f t="shared" si="14"/>
        <v/>
      </c>
      <c r="H358" s="1"/>
      <c r="I358" s="1"/>
      <c r="J358" s="44"/>
      <c r="K358" s="1"/>
      <c r="L358" s="1"/>
      <c r="M358" s="1"/>
      <c r="N358" s="1"/>
      <c r="O358" s="1"/>
      <c r="P358" s="1"/>
      <c r="Q358" s="1"/>
      <c r="R358" s="1"/>
      <c r="S358" s="1"/>
      <c r="T358" s="29"/>
      <c r="U358" s="18"/>
      <c r="V358" s="18"/>
      <c r="W358" s="18"/>
    </row>
    <row r="359" spans="1:23" ht="15.75">
      <c r="A359" s="48"/>
      <c r="B359" s="1"/>
      <c r="C359" s="1"/>
      <c r="D359" s="1"/>
      <c r="E359" s="1"/>
      <c r="F359" s="1"/>
      <c r="G359" s="26" t="str">
        <f t="shared" si="14"/>
        <v/>
      </c>
      <c r="H359" s="1"/>
      <c r="I359" s="1"/>
      <c r="J359" s="44"/>
      <c r="K359" s="1"/>
      <c r="L359" s="1"/>
      <c r="M359" s="1"/>
      <c r="N359" s="1"/>
      <c r="O359" s="1"/>
      <c r="P359" s="1"/>
      <c r="Q359" s="1"/>
      <c r="R359" s="1"/>
      <c r="S359" s="1"/>
      <c r="T359" s="29"/>
      <c r="U359" s="18"/>
      <c r="V359" s="18"/>
      <c r="W359" s="18"/>
    </row>
    <row r="360" spans="1:23" ht="15.75">
      <c r="A360" s="48"/>
      <c r="B360" s="1"/>
      <c r="C360" s="1"/>
      <c r="D360" s="1"/>
      <c r="E360" s="1"/>
      <c r="F360" s="1"/>
      <c r="G360" s="26" t="str">
        <f t="shared" si="14"/>
        <v/>
      </c>
      <c r="H360" s="1"/>
      <c r="I360" s="1"/>
      <c r="J360" s="44"/>
      <c r="K360" s="1"/>
      <c r="L360" s="1"/>
      <c r="M360" s="1"/>
      <c r="N360" s="1"/>
      <c r="O360" s="1"/>
      <c r="P360" s="1"/>
      <c r="Q360" s="1"/>
      <c r="R360" s="1"/>
      <c r="S360" s="1"/>
      <c r="T360" s="29"/>
      <c r="U360" s="18"/>
      <c r="V360" s="18"/>
      <c r="W360" s="18"/>
    </row>
    <row r="361" spans="1:23" ht="15.75">
      <c r="A361" s="48"/>
      <c r="B361" s="1"/>
      <c r="C361" s="1"/>
      <c r="D361" s="1"/>
      <c r="E361" s="1"/>
      <c r="F361" s="1"/>
      <c r="G361" s="26" t="str">
        <f t="shared" si="14"/>
        <v/>
      </c>
      <c r="H361" s="1"/>
      <c r="I361" s="1"/>
      <c r="J361" s="44"/>
      <c r="K361" s="1"/>
      <c r="L361" s="1"/>
      <c r="M361" s="1"/>
      <c r="N361" s="1"/>
      <c r="O361" s="1"/>
      <c r="P361" s="1"/>
      <c r="Q361" s="1"/>
      <c r="R361" s="1"/>
      <c r="S361" s="1"/>
      <c r="T361" s="29"/>
      <c r="U361" s="18"/>
      <c r="V361" s="18"/>
      <c r="W361" s="18"/>
    </row>
    <row r="362" spans="1:23" ht="15.75">
      <c r="A362" s="48"/>
      <c r="B362" s="1"/>
      <c r="C362" s="1"/>
      <c r="D362" s="1"/>
      <c r="E362" s="1"/>
      <c r="F362" s="1"/>
      <c r="G362" s="26" t="str">
        <f t="shared" si="14"/>
        <v/>
      </c>
      <c r="H362" s="1"/>
      <c r="I362" s="1"/>
      <c r="J362" s="44"/>
      <c r="K362" s="1"/>
      <c r="L362" s="1"/>
      <c r="M362" s="1"/>
      <c r="N362" s="1"/>
      <c r="O362" s="1"/>
      <c r="P362" s="1"/>
      <c r="Q362" s="1"/>
      <c r="R362" s="1"/>
      <c r="S362" s="1"/>
      <c r="T362" s="29"/>
      <c r="U362" s="18"/>
      <c r="V362" s="18"/>
      <c r="W362" s="18"/>
    </row>
    <row r="363" spans="1:23" ht="15.75">
      <c r="A363" s="48"/>
      <c r="B363" s="1"/>
      <c r="C363" s="1"/>
      <c r="D363" s="1"/>
      <c r="E363" s="1"/>
      <c r="F363" s="1"/>
      <c r="G363" s="26" t="str">
        <f t="shared" si="14"/>
        <v/>
      </c>
      <c r="H363" s="1"/>
      <c r="I363" s="1"/>
      <c r="J363" s="44"/>
      <c r="K363" s="1"/>
      <c r="L363" s="1"/>
      <c r="M363" s="1"/>
      <c r="N363" s="1"/>
      <c r="O363" s="1"/>
      <c r="P363" s="1"/>
      <c r="Q363" s="1"/>
      <c r="R363" s="1"/>
      <c r="S363" s="1"/>
      <c r="T363" s="29"/>
      <c r="U363" s="18"/>
      <c r="V363" s="18"/>
      <c r="W363" s="18"/>
    </row>
    <row r="364" spans="1:23" ht="15.75">
      <c r="A364" s="48"/>
      <c r="B364" s="1"/>
      <c r="C364" s="1"/>
      <c r="D364" s="1"/>
      <c r="E364" s="1"/>
      <c r="F364" s="1"/>
      <c r="G364" s="26" t="str">
        <f t="shared" si="14"/>
        <v/>
      </c>
      <c r="H364" s="1"/>
      <c r="I364" s="1"/>
      <c r="J364" s="44"/>
      <c r="K364" s="1"/>
      <c r="L364" s="1"/>
      <c r="M364" s="1"/>
      <c r="N364" s="1"/>
      <c r="O364" s="1"/>
      <c r="P364" s="1"/>
      <c r="Q364" s="1"/>
      <c r="R364" s="1"/>
      <c r="S364" s="1"/>
      <c r="T364" s="29"/>
      <c r="U364" s="18"/>
      <c r="V364" s="18"/>
      <c r="W364" s="18"/>
    </row>
    <row r="365" spans="1:23" ht="15.75">
      <c r="A365" s="48"/>
      <c r="B365" s="1"/>
      <c r="C365" s="1"/>
      <c r="D365" s="1"/>
      <c r="E365" s="1"/>
      <c r="F365" s="1"/>
      <c r="G365" s="26" t="str">
        <f t="shared" si="14"/>
        <v/>
      </c>
      <c r="H365" s="1"/>
      <c r="I365" s="1"/>
      <c r="J365" s="44"/>
      <c r="K365" s="1"/>
      <c r="L365" s="1"/>
      <c r="M365" s="1"/>
      <c r="N365" s="1"/>
      <c r="O365" s="1"/>
      <c r="P365" s="1"/>
      <c r="Q365" s="1"/>
      <c r="R365" s="1"/>
      <c r="S365" s="1"/>
      <c r="T365" s="29"/>
      <c r="U365" s="18"/>
      <c r="V365" s="18"/>
      <c r="W365" s="18"/>
    </row>
    <row r="366" spans="1:23" ht="15.75">
      <c r="A366" s="48"/>
      <c r="B366" s="1"/>
      <c r="C366" s="1"/>
      <c r="D366" s="1"/>
      <c r="E366" s="1"/>
      <c r="F366" s="1"/>
      <c r="G366" s="26" t="str">
        <f t="shared" si="14"/>
        <v/>
      </c>
      <c r="H366" s="1"/>
      <c r="I366" s="1"/>
      <c r="J366" s="44"/>
      <c r="K366" s="1"/>
      <c r="L366" s="1"/>
      <c r="M366" s="1"/>
      <c r="N366" s="1"/>
      <c r="O366" s="1"/>
      <c r="P366" s="1"/>
      <c r="Q366" s="1"/>
      <c r="R366" s="1"/>
      <c r="S366" s="1"/>
      <c r="T366" s="29"/>
      <c r="U366" s="18"/>
      <c r="V366" s="18"/>
      <c r="W366" s="18"/>
    </row>
    <row r="367" spans="1:23" ht="15.75">
      <c r="A367" s="48"/>
      <c r="B367" s="1"/>
      <c r="C367" s="1"/>
      <c r="D367" s="1"/>
      <c r="E367" s="1"/>
      <c r="F367" s="1"/>
      <c r="G367" s="26" t="str">
        <f t="shared" si="14"/>
        <v/>
      </c>
      <c r="H367" s="1"/>
      <c r="I367" s="1"/>
      <c r="J367" s="44"/>
      <c r="K367" s="1"/>
      <c r="L367" s="1"/>
      <c r="M367" s="1"/>
      <c r="N367" s="1"/>
      <c r="O367" s="1"/>
      <c r="P367" s="1"/>
      <c r="Q367" s="1"/>
      <c r="R367" s="1"/>
      <c r="S367" s="1"/>
      <c r="T367" s="29"/>
      <c r="U367" s="18"/>
      <c r="V367" s="18"/>
      <c r="W367" s="18"/>
    </row>
    <row r="368" spans="1:23" ht="15.75">
      <c r="A368" s="48"/>
      <c r="B368" s="1"/>
      <c r="C368" s="1"/>
      <c r="D368" s="1"/>
      <c r="E368" s="1"/>
      <c r="F368" s="1"/>
      <c r="G368" s="26" t="str">
        <f t="shared" si="14"/>
        <v/>
      </c>
      <c r="H368" s="1"/>
      <c r="I368" s="1"/>
      <c r="J368" s="44"/>
      <c r="K368" s="1"/>
      <c r="L368" s="1"/>
      <c r="M368" s="1"/>
      <c r="N368" s="1"/>
      <c r="O368" s="1"/>
      <c r="P368" s="1"/>
      <c r="Q368" s="1"/>
      <c r="R368" s="1"/>
      <c r="S368" s="1"/>
      <c r="T368" s="29"/>
      <c r="U368" s="18"/>
      <c r="V368" s="18"/>
      <c r="W368" s="18"/>
    </row>
    <row r="369" spans="1:23" ht="15.75">
      <c r="A369" s="48"/>
      <c r="B369" s="1"/>
      <c r="C369" s="1"/>
      <c r="D369" s="1"/>
      <c r="E369" s="1"/>
      <c r="F369" s="1"/>
      <c r="G369" s="26" t="str">
        <f t="shared" si="14"/>
        <v/>
      </c>
      <c r="H369" s="1"/>
      <c r="I369" s="1"/>
      <c r="J369" s="44"/>
      <c r="K369" s="1"/>
      <c r="L369" s="1"/>
      <c r="M369" s="1"/>
      <c r="N369" s="1"/>
      <c r="O369" s="1"/>
      <c r="P369" s="1"/>
      <c r="Q369" s="1"/>
      <c r="R369" s="1"/>
      <c r="S369" s="1"/>
      <c r="T369" s="29"/>
      <c r="U369" s="18"/>
      <c r="V369" s="18"/>
      <c r="W369" s="18"/>
    </row>
    <row r="370" spans="1:23" ht="15.75">
      <c r="A370" s="48"/>
      <c r="B370" s="1"/>
      <c r="C370" s="1"/>
      <c r="D370" s="1"/>
      <c r="E370" s="1"/>
      <c r="F370" s="1"/>
      <c r="G370" s="26" t="str">
        <f t="shared" si="14"/>
        <v/>
      </c>
      <c r="H370" s="1"/>
      <c r="I370" s="1"/>
      <c r="J370" s="44"/>
      <c r="K370" s="1"/>
      <c r="L370" s="1"/>
      <c r="M370" s="1"/>
      <c r="N370" s="1"/>
      <c r="O370" s="1"/>
      <c r="P370" s="1"/>
      <c r="Q370" s="1"/>
      <c r="R370" s="1"/>
      <c r="S370" s="1"/>
      <c r="T370" s="29"/>
      <c r="U370" s="18"/>
      <c r="V370" s="18"/>
      <c r="W370" s="18"/>
    </row>
    <row r="371" spans="1:23" ht="15.75">
      <c r="A371" s="48"/>
      <c r="B371" s="1"/>
      <c r="C371" s="1"/>
      <c r="D371" s="1"/>
      <c r="E371" s="1"/>
      <c r="F371" s="1"/>
      <c r="G371" s="26" t="str">
        <f t="shared" si="14"/>
        <v/>
      </c>
      <c r="H371" s="1"/>
      <c r="I371" s="1"/>
      <c r="J371" s="44"/>
      <c r="K371" s="1"/>
      <c r="L371" s="1"/>
      <c r="M371" s="1"/>
      <c r="N371" s="1"/>
      <c r="O371" s="1"/>
      <c r="P371" s="1"/>
      <c r="Q371" s="1"/>
      <c r="R371" s="1"/>
      <c r="S371" s="1"/>
      <c r="T371" s="29"/>
      <c r="U371" s="18"/>
      <c r="V371" s="18"/>
      <c r="W371" s="18"/>
    </row>
    <row r="372" spans="1:23" ht="15.75">
      <c r="A372" s="48"/>
      <c r="B372" s="1"/>
      <c r="C372" s="1"/>
      <c r="D372" s="1"/>
      <c r="E372" s="1"/>
      <c r="F372" s="1"/>
      <c r="G372" s="26" t="str">
        <f t="shared" si="14"/>
        <v/>
      </c>
      <c r="H372" s="1"/>
      <c r="I372" s="1"/>
      <c r="J372" s="44"/>
      <c r="K372" s="1"/>
      <c r="L372" s="1"/>
      <c r="M372" s="1"/>
      <c r="N372" s="1"/>
      <c r="O372" s="1"/>
      <c r="P372" s="1"/>
      <c r="Q372" s="1"/>
      <c r="R372" s="1"/>
      <c r="S372" s="1"/>
      <c r="T372" s="29"/>
      <c r="U372" s="18"/>
      <c r="V372" s="18"/>
      <c r="W372" s="18"/>
    </row>
    <row r="373" spans="1:23" ht="15.75">
      <c r="A373" s="48"/>
      <c r="B373" s="1"/>
      <c r="C373" s="1"/>
      <c r="D373" s="1"/>
      <c r="E373" s="1"/>
      <c r="F373" s="1"/>
      <c r="G373" s="26" t="str">
        <f t="shared" si="14"/>
        <v/>
      </c>
      <c r="H373" s="1"/>
      <c r="I373" s="1"/>
      <c r="J373" s="44"/>
      <c r="K373" s="1"/>
      <c r="L373" s="1"/>
      <c r="M373" s="1"/>
      <c r="N373" s="1"/>
      <c r="O373" s="1"/>
      <c r="P373" s="1"/>
      <c r="Q373" s="1"/>
      <c r="R373" s="1"/>
      <c r="S373" s="1"/>
      <c r="T373" s="29"/>
      <c r="U373" s="18"/>
      <c r="V373" s="18"/>
      <c r="W373" s="18"/>
    </row>
    <row r="374" spans="1:23" ht="15.75">
      <c r="A374" s="48"/>
      <c r="B374" s="1"/>
      <c r="C374" s="1"/>
      <c r="D374" s="1"/>
      <c r="E374" s="1"/>
      <c r="F374" s="1"/>
      <c r="G374" s="26" t="str">
        <f t="shared" si="14"/>
        <v/>
      </c>
      <c r="H374" s="1"/>
      <c r="I374" s="1"/>
      <c r="J374" s="44"/>
      <c r="K374" s="1"/>
      <c r="L374" s="1"/>
      <c r="M374" s="1"/>
      <c r="N374" s="1"/>
      <c r="O374" s="1"/>
      <c r="P374" s="1"/>
      <c r="Q374" s="1"/>
      <c r="R374" s="1"/>
      <c r="S374" s="1"/>
      <c r="T374" s="29"/>
      <c r="U374" s="18"/>
      <c r="V374" s="18"/>
      <c r="W374" s="18"/>
    </row>
    <row r="375" spans="1:23" ht="15.75">
      <c r="A375" s="48"/>
      <c r="B375" s="1"/>
      <c r="C375" s="1"/>
      <c r="D375" s="1"/>
      <c r="E375" s="1"/>
      <c r="F375" s="1"/>
      <c r="G375" s="26" t="str">
        <f t="shared" si="14"/>
        <v/>
      </c>
      <c r="H375" s="1"/>
      <c r="I375" s="1"/>
      <c r="J375" s="44"/>
      <c r="K375" s="1"/>
      <c r="L375" s="1"/>
      <c r="M375" s="1"/>
      <c r="N375" s="1"/>
      <c r="O375" s="1"/>
      <c r="P375" s="1"/>
      <c r="Q375" s="1"/>
      <c r="R375" s="1"/>
      <c r="S375" s="1"/>
      <c r="T375" s="29"/>
      <c r="U375" s="18"/>
      <c r="V375" s="18"/>
      <c r="W375" s="18"/>
    </row>
    <row r="376" spans="1:23" ht="15.75">
      <c r="A376" s="48"/>
      <c r="B376" s="1"/>
      <c r="C376" s="1"/>
      <c r="D376" s="1"/>
      <c r="E376" s="1"/>
      <c r="F376" s="1"/>
      <c r="G376" s="26" t="str">
        <f t="shared" si="14"/>
        <v/>
      </c>
      <c r="H376" s="1"/>
      <c r="I376" s="1"/>
      <c r="J376" s="44"/>
      <c r="K376" s="1"/>
      <c r="L376" s="1"/>
      <c r="M376" s="1"/>
      <c r="N376" s="1"/>
      <c r="O376" s="1"/>
      <c r="P376" s="1"/>
      <c r="Q376" s="1"/>
      <c r="R376" s="1"/>
      <c r="S376" s="1"/>
      <c r="T376" s="29"/>
      <c r="U376" s="18"/>
      <c r="V376" s="18"/>
      <c r="W376" s="18"/>
    </row>
    <row r="377" spans="1:23" ht="15.75">
      <c r="A377" s="48"/>
      <c r="B377" s="1"/>
      <c r="C377" s="1"/>
      <c r="D377" s="1"/>
      <c r="E377" s="1"/>
      <c r="F377" s="1"/>
      <c r="G377" s="26" t="str">
        <f t="shared" si="14"/>
        <v/>
      </c>
      <c r="H377" s="1"/>
      <c r="I377" s="1"/>
      <c r="J377" s="44"/>
      <c r="K377" s="1"/>
      <c r="L377" s="1"/>
      <c r="M377" s="1"/>
      <c r="N377" s="1"/>
      <c r="O377" s="1"/>
      <c r="P377" s="1"/>
      <c r="Q377" s="1"/>
      <c r="R377" s="1"/>
      <c r="S377" s="1"/>
      <c r="T377" s="29"/>
      <c r="U377" s="18"/>
      <c r="V377" s="18"/>
      <c r="W377" s="18"/>
    </row>
    <row r="378" spans="1:23" ht="15.75">
      <c r="A378" s="48"/>
      <c r="B378" s="1"/>
      <c r="C378" s="1"/>
      <c r="D378" s="1"/>
      <c r="E378" s="1"/>
      <c r="F378" s="1"/>
      <c r="G378" s="26" t="str">
        <f t="shared" si="14"/>
        <v/>
      </c>
      <c r="H378" s="1"/>
      <c r="I378" s="1"/>
      <c r="J378" s="44"/>
      <c r="K378" s="1"/>
      <c r="L378" s="1"/>
      <c r="M378" s="1"/>
      <c r="N378" s="1"/>
      <c r="O378" s="1"/>
      <c r="P378" s="1"/>
      <c r="Q378" s="1"/>
      <c r="R378" s="1"/>
      <c r="S378" s="1"/>
      <c r="T378" s="29"/>
      <c r="U378" s="18"/>
      <c r="V378" s="18"/>
      <c r="W378" s="18"/>
    </row>
    <row r="379" spans="1:23" ht="15.75">
      <c r="A379" s="48"/>
      <c r="B379" s="1"/>
      <c r="C379" s="1"/>
      <c r="D379" s="1"/>
      <c r="E379" s="1"/>
      <c r="F379" s="1"/>
      <c r="G379" s="26" t="str">
        <f t="shared" si="14"/>
        <v/>
      </c>
      <c r="H379" s="1"/>
      <c r="I379" s="1"/>
      <c r="J379" s="44"/>
      <c r="K379" s="1"/>
      <c r="L379" s="1"/>
      <c r="M379" s="1"/>
      <c r="N379" s="1"/>
      <c r="O379" s="1"/>
      <c r="P379" s="1"/>
      <c r="Q379" s="1"/>
      <c r="R379" s="1"/>
      <c r="S379" s="1"/>
      <c r="T379" s="29"/>
      <c r="U379" s="18"/>
      <c r="V379" s="18"/>
      <c r="W379" s="18"/>
    </row>
    <row r="380" spans="1:23" ht="15.75">
      <c r="A380" s="48"/>
      <c r="B380" s="1"/>
      <c r="C380" s="1"/>
      <c r="D380" s="1"/>
      <c r="E380" s="1"/>
      <c r="F380" s="1"/>
      <c r="G380" s="26" t="str">
        <f t="shared" si="14"/>
        <v/>
      </c>
      <c r="H380" s="1"/>
      <c r="I380" s="1"/>
      <c r="J380" s="44"/>
      <c r="K380" s="1"/>
      <c r="L380" s="1"/>
      <c r="M380" s="1"/>
      <c r="N380" s="1"/>
      <c r="O380" s="1"/>
      <c r="P380" s="1"/>
      <c r="Q380" s="1"/>
      <c r="R380" s="1"/>
      <c r="S380" s="1"/>
      <c r="T380" s="29"/>
      <c r="U380" s="18"/>
      <c r="V380" s="18"/>
      <c r="W380" s="18"/>
    </row>
    <row r="381" spans="1:23" ht="15.75">
      <c r="A381" s="48"/>
      <c r="B381" s="1"/>
      <c r="C381" s="1"/>
      <c r="D381" s="1"/>
      <c r="E381" s="1"/>
      <c r="F381" s="1"/>
      <c r="G381" s="26" t="str">
        <f t="shared" si="14"/>
        <v/>
      </c>
      <c r="H381" s="1"/>
      <c r="I381" s="1"/>
      <c r="J381" s="44"/>
      <c r="K381" s="1"/>
      <c r="L381" s="1"/>
      <c r="M381" s="1"/>
      <c r="N381" s="1"/>
      <c r="O381" s="1"/>
      <c r="P381" s="1"/>
      <c r="Q381" s="1"/>
      <c r="R381" s="1"/>
      <c r="S381" s="1"/>
      <c r="T381" s="29"/>
      <c r="U381" s="18"/>
      <c r="V381" s="18"/>
      <c r="W381" s="18"/>
    </row>
    <row r="382" spans="1:23" ht="15.75">
      <c r="A382" s="48"/>
      <c r="B382" s="1"/>
      <c r="C382" s="1"/>
      <c r="D382" s="1"/>
      <c r="E382" s="1"/>
      <c r="F382" s="1"/>
      <c r="G382" s="26" t="str">
        <f t="shared" si="14"/>
        <v/>
      </c>
      <c r="H382" s="1"/>
      <c r="I382" s="1"/>
      <c r="J382" s="44"/>
      <c r="K382" s="1"/>
      <c r="L382" s="1"/>
      <c r="M382" s="1"/>
      <c r="N382" s="1"/>
      <c r="O382" s="1"/>
      <c r="P382" s="1"/>
      <c r="Q382" s="1"/>
      <c r="R382" s="1"/>
      <c r="S382" s="1"/>
      <c r="T382" s="29"/>
      <c r="U382" s="18"/>
      <c r="V382" s="18"/>
      <c r="W382" s="18"/>
    </row>
    <row r="383" spans="1:23" ht="15.75">
      <c r="A383" s="48"/>
      <c r="B383" s="1"/>
      <c r="C383" s="1"/>
      <c r="D383" s="1"/>
      <c r="E383" s="1"/>
      <c r="F383" s="1"/>
      <c r="G383" s="26" t="str">
        <f t="shared" si="14"/>
        <v/>
      </c>
      <c r="H383" s="1"/>
      <c r="I383" s="1"/>
      <c r="J383" s="44"/>
      <c r="K383" s="1"/>
      <c r="L383" s="1"/>
      <c r="M383" s="1"/>
      <c r="N383" s="1"/>
      <c r="O383" s="1"/>
      <c r="P383" s="1"/>
      <c r="Q383" s="1"/>
      <c r="R383" s="1"/>
      <c r="S383" s="1"/>
      <c r="T383" s="29"/>
      <c r="U383" s="18"/>
      <c r="V383" s="18"/>
      <c r="W383" s="18"/>
    </row>
    <row r="384" spans="1:23" ht="15.75">
      <c r="A384" s="48"/>
      <c r="B384" s="1"/>
      <c r="C384" s="1"/>
      <c r="D384" s="1"/>
      <c r="E384" s="1"/>
      <c r="F384" s="1"/>
      <c r="G384" s="26" t="str">
        <f t="shared" si="14"/>
        <v/>
      </c>
      <c r="H384" s="1"/>
      <c r="I384" s="1"/>
      <c r="J384" s="44"/>
      <c r="K384" s="1"/>
      <c r="L384" s="1"/>
      <c r="M384" s="1"/>
      <c r="N384" s="1"/>
      <c r="O384" s="1"/>
      <c r="P384" s="1"/>
      <c r="Q384" s="1"/>
      <c r="R384" s="1"/>
      <c r="S384" s="1"/>
      <c r="T384" s="29"/>
      <c r="U384" s="18"/>
      <c r="V384" s="18"/>
      <c r="W384" s="18"/>
    </row>
    <row r="385" spans="1:23" ht="15.75">
      <c r="A385" s="48"/>
      <c r="B385" s="1"/>
      <c r="C385" s="1"/>
      <c r="D385" s="1"/>
      <c r="E385" s="1"/>
      <c r="F385" s="1"/>
      <c r="G385" s="26" t="str">
        <f t="shared" si="14"/>
        <v/>
      </c>
      <c r="H385" s="1"/>
      <c r="I385" s="1"/>
      <c r="J385" s="44"/>
      <c r="K385" s="1"/>
      <c r="L385" s="1"/>
      <c r="M385" s="1"/>
      <c r="N385" s="1"/>
      <c r="O385" s="1"/>
      <c r="P385" s="1"/>
      <c r="Q385" s="1"/>
      <c r="R385" s="1"/>
      <c r="S385" s="1"/>
      <c r="T385" s="29"/>
      <c r="U385" s="18"/>
      <c r="V385" s="18"/>
      <c r="W385" s="18"/>
    </row>
    <row r="386" spans="1:23" ht="15.75">
      <c r="A386" s="48"/>
      <c r="B386" s="1"/>
      <c r="C386" s="1"/>
      <c r="D386" s="1"/>
      <c r="E386" s="1"/>
      <c r="F386" s="1"/>
      <c r="G386" s="26" t="str">
        <f t="shared" si="14"/>
        <v/>
      </c>
      <c r="H386" s="1"/>
      <c r="I386" s="1"/>
      <c r="J386" s="44"/>
      <c r="K386" s="1"/>
      <c r="L386" s="1"/>
      <c r="M386" s="1"/>
      <c r="N386" s="1"/>
      <c r="O386" s="1"/>
      <c r="P386" s="1"/>
      <c r="Q386" s="1"/>
      <c r="R386" s="1"/>
      <c r="S386" s="1"/>
      <c r="T386" s="29"/>
      <c r="U386" s="18"/>
      <c r="V386" s="18"/>
      <c r="W386" s="18"/>
    </row>
    <row r="387" spans="1:23" ht="15.75">
      <c r="A387" s="48"/>
      <c r="B387" s="1"/>
      <c r="C387" s="1"/>
      <c r="D387" s="1"/>
      <c r="E387" s="1"/>
      <c r="F387" s="1"/>
      <c r="G387" s="26" t="str">
        <f t="shared" si="14"/>
        <v/>
      </c>
      <c r="H387" s="1"/>
      <c r="I387" s="1"/>
      <c r="J387" s="44"/>
      <c r="K387" s="1"/>
      <c r="L387" s="1"/>
      <c r="M387" s="1"/>
      <c r="N387" s="1"/>
      <c r="O387" s="1"/>
      <c r="P387" s="1"/>
      <c r="Q387" s="1"/>
      <c r="R387" s="1"/>
      <c r="S387" s="1"/>
      <c r="T387" s="29"/>
      <c r="U387" s="18"/>
      <c r="V387" s="18"/>
      <c r="W387" s="18"/>
    </row>
    <row r="388" spans="1:23" ht="15.75">
      <c r="A388" s="48"/>
      <c r="B388" s="1"/>
      <c r="C388" s="1"/>
      <c r="D388" s="1"/>
      <c r="E388" s="1"/>
      <c r="F388" s="1"/>
      <c r="G388" s="26" t="str">
        <f t="shared" si="14"/>
        <v/>
      </c>
      <c r="H388" s="1"/>
      <c r="I388" s="1"/>
      <c r="J388" s="44"/>
      <c r="K388" s="1"/>
      <c r="L388" s="1"/>
      <c r="M388" s="1"/>
      <c r="N388" s="1"/>
      <c r="O388" s="1"/>
      <c r="P388" s="1"/>
      <c r="Q388" s="1"/>
      <c r="R388" s="1"/>
      <c r="S388" s="1"/>
      <c r="T388" s="29"/>
      <c r="U388" s="18"/>
      <c r="V388" s="18"/>
      <c r="W388" s="18"/>
    </row>
    <row r="389" spans="1:23" ht="15.75">
      <c r="A389" s="48"/>
      <c r="B389" s="1"/>
      <c r="C389" s="1"/>
      <c r="D389" s="1"/>
      <c r="E389" s="1"/>
      <c r="F389" s="1"/>
      <c r="G389" s="26" t="str">
        <f t="shared" si="14"/>
        <v/>
      </c>
      <c r="H389" s="1"/>
      <c r="I389" s="1"/>
      <c r="J389" s="44"/>
      <c r="K389" s="1"/>
      <c r="L389" s="1"/>
      <c r="M389" s="1"/>
      <c r="N389" s="1"/>
      <c r="O389" s="1"/>
      <c r="P389" s="1"/>
      <c r="Q389" s="1"/>
      <c r="R389" s="1"/>
      <c r="S389" s="1"/>
      <c r="T389" s="29"/>
      <c r="U389" s="18"/>
      <c r="V389" s="18"/>
      <c r="W389" s="18"/>
    </row>
    <row r="390" spans="1:23" ht="15.75">
      <c r="A390" s="48"/>
      <c r="B390" s="1"/>
      <c r="C390" s="1"/>
      <c r="D390" s="1"/>
      <c r="E390" s="1"/>
      <c r="F390" s="1"/>
      <c r="G390" s="26" t="str">
        <f t="shared" si="14"/>
        <v/>
      </c>
      <c r="H390" s="1"/>
      <c r="I390" s="1"/>
      <c r="J390" s="44"/>
      <c r="K390" s="1"/>
      <c r="L390" s="1"/>
      <c r="M390" s="1"/>
      <c r="N390" s="1"/>
      <c r="O390" s="1"/>
      <c r="P390" s="1"/>
      <c r="Q390" s="1"/>
      <c r="R390" s="1"/>
      <c r="S390" s="1"/>
      <c r="T390" s="29"/>
      <c r="U390" s="18"/>
      <c r="V390" s="18"/>
      <c r="W390" s="18"/>
    </row>
    <row r="391" spans="1:23" ht="15.75">
      <c r="A391" s="48"/>
      <c r="B391" s="1"/>
      <c r="C391" s="1"/>
      <c r="D391" s="1"/>
      <c r="E391" s="1"/>
      <c r="F391" s="1"/>
      <c r="G391" s="26" t="str">
        <f t="shared" si="14"/>
        <v/>
      </c>
      <c r="H391" s="1"/>
      <c r="I391" s="1"/>
      <c r="J391" s="44"/>
      <c r="K391" s="1"/>
      <c r="L391" s="1"/>
      <c r="M391" s="1"/>
      <c r="N391" s="1"/>
      <c r="O391" s="1"/>
      <c r="P391" s="1"/>
      <c r="Q391" s="1"/>
      <c r="R391" s="1"/>
      <c r="S391" s="1"/>
      <c r="T391" s="29"/>
      <c r="U391" s="18"/>
      <c r="V391" s="18"/>
      <c r="W391" s="18"/>
    </row>
    <row r="392" spans="1:23" ht="15.75">
      <c r="A392" s="48"/>
      <c r="B392" s="1"/>
      <c r="C392" s="1"/>
      <c r="D392" s="1"/>
      <c r="E392" s="1"/>
      <c r="F392" s="1"/>
      <c r="G392" s="26" t="str">
        <f t="shared" si="14"/>
        <v/>
      </c>
      <c r="H392" s="1"/>
      <c r="I392" s="1"/>
      <c r="J392" s="44"/>
      <c r="K392" s="1"/>
      <c r="L392" s="1"/>
      <c r="M392" s="1"/>
      <c r="N392" s="1"/>
      <c r="O392" s="1"/>
      <c r="P392" s="1"/>
      <c r="Q392" s="1"/>
      <c r="R392" s="1"/>
      <c r="S392" s="1"/>
      <c r="T392" s="29"/>
      <c r="U392" s="18"/>
      <c r="V392" s="18"/>
      <c r="W392" s="18"/>
    </row>
    <row r="393" spans="1:23" ht="15.75">
      <c r="A393" s="48"/>
      <c r="B393" s="1"/>
      <c r="C393" s="1"/>
      <c r="D393" s="1"/>
      <c r="E393" s="1"/>
      <c r="F393" s="1"/>
      <c r="G393" s="26" t="str">
        <f t="shared" si="14"/>
        <v/>
      </c>
      <c r="H393" s="1"/>
      <c r="I393" s="1"/>
      <c r="J393" s="44"/>
      <c r="K393" s="1"/>
      <c r="L393" s="1"/>
      <c r="M393" s="1"/>
      <c r="N393" s="1"/>
      <c r="O393" s="1"/>
      <c r="P393" s="1"/>
      <c r="Q393" s="1"/>
      <c r="R393" s="1"/>
      <c r="S393" s="1"/>
      <c r="T393" s="29"/>
      <c r="U393" s="18"/>
      <c r="V393" s="18"/>
      <c r="W393" s="18"/>
    </row>
    <row r="394" spans="1:23" ht="15.75">
      <c r="A394" s="48"/>
      <c r="B394" s="1"/>
      <c r="C394" s="1"/>
      <c r="D394" s="1"/>
      <c r="E394" s="1"/>
      <c r="F394" s="1"/>
      <c r="G394" s="26" t="str">
        <f t="shared" si="14"/>
        <v/>
      </c>
      <c r="H394" s="1"/>
      <c r="I394" s="1"/>
      <c r="J394" s="44"/>
      <c r="K394" s="1"/>
      <c r="L394" s="1"/>
      <c r="M394" s="1"/>
      <c r="N394" s="1"/>
      <c r="O394" s="1"/>
      <c r="P394" s="1"/>
      <c r="Q394" s="1"/>
      <c r="R394" s="1"/>
      <c r="S394" s="1"/>
      <c r="T394" s="29"/>
      <c r="U394" s="18"/>
      <c r="V394" s="18"/>
      <c r="W394" s="18"/>
    </row>
    <row r="395" spans="1:23" ht="15.75">
      <c r="A395" s="48"/>
      <c r="B395" s="1"/>
      <c r="C395" s="1"/>
      <c r="D395" s="1"/>
      <c r="E395" s="1"/>
      <c r="F395" s="1"/>
      <c r="G395" s="26" t="str">
        <f t="shared" si="14"/>
        <v/>
      </c>
      <c r="H395" s="1"/>
      <c r="I395" s="1"/>
      <c r="J395" s="44"/>
      <c r="K395" s="1"/>
      <c r="L395" s="1"/>
      <c r="M395" s="1"/>
      <c r="N395" s="1"/>
      <c r="O395" s="1"/>
      <c r="P395" s="1"/>
      <c r="Q395" s="1"/>
      <c r="R395" s="1"/>
      <c r="S395" s="1"/>
      <c r="T395" s="29"/>
      <c r="U395" s="18"/>
      <c r="V395" s="18"/>
      <c r="W395" s="18"/>
    </row>
    <row r="396" spans="1:23" ht="15.75">
      <c r="A396" s="48"/>
      <c r="B396" s="1"/>
      <c r="C396" s="1"/>
      <c r="D396" s="1"/>
      <c r="E396" s="1"/>
      <c r="F396" s="1"/>
      <c r="G396" s="26" t="str">
        <f t="shared" si="14"/>
        <v/>
      </c>
      <c r="H396" s="1"/>
      <c r="I396" s="1"/>
      <c r="J396" s="44"/>
      <c r="K396" s="1"/>
      <c r="L396" s="1"/>
      <c r="M396" s="1"/>
      <c r="N396" s="1"/>
      <c r="O396" s="1"/>
      <c r="P396" s="1"/>
      <c r="Q396" s="1"/>
      <c r="R396" s="1"/>
      <c r="S396" s="1"/>
      <c r="T396" s="29"/>
      <c r="U396" s="18"/>
      <c r="V396" s="18"/>
      <c r="W396" s="18"/>
    </row>
    <row r="397" spans="1:23" ht="15.75">
      <c r="A397" s="48"/>
      <c r="B397" s="1"/>
      <c r="C397" s="1"/>
      <c r="D397" s="1"/>
      <c r="E397" s="1"/>
      <c r="F397" s="1"/>
      <c r="G397" s="26" t="str">
        <f t="shared" si="14"/>
        <v/>
      </c>
      <c r="H397" s="1"/>
      <c r="I397" s="1"/>
      <c r="J397" s="44"/>
      <c r="K397" s="1"/>
      <c r="L397" s="1"/>
      <c r="M397" s="1"/>
      <c r="N397" s="1"/>
      <c r="O397" s="1"/>
      <c r="P397" s="1"/>
      <c r="Q397" s="1"/>
      <c r="R397" s="1"/>
      <c r="S397" s="1"/>
      <c r="T397" s="29"/>
      <c r="U397" s="18"/>
      <c r="V397" s="18"/>
      <c r="W397" s="18"/>
    </row>
    <row r="398" spans="1:23" ht="15.75">
      <c r="A398" s="48"/>
      <c r="B398" s="1"/>
      <c r="C398" s="1"/>
      <c r="D398" s="1"/>
      <c r="E398" s="1"/>
      <c r="F398" s="1"/>
      <c r="G398" s="26" t="str">
        <f t="shared" si="14"/>
        <v/>
      </c>
      <c r="H398" s="1"/>
      <c r="I398" s="1"/>
      <c r="J398" s="44"/>
      <c r="K398" s="1"/>
      <c r="L398" s="1"/>
      <c r="M398" s="1"/>
      <c r="N398" s="1"/>
      <c r="O398" s="1"/>
      <c r="P398" s="1"/>
      <c r="Q398" s="1"/>
      <c r="R398" s="1"/>
      <c r="S398" s="1"/>
      <c r="T398" s="29"/>
      <c r="U398" s="18"/>
      <c r="V398" s="18"/>
      <c r="W398" s="18"/>
    </row>
    <row r="399" spans="1:23" ht="15.75">
      <c r="A399" s="48"/>
      <c r="B399" s="1"/>
      <c r="C399" s="1"/>
      <c r="D399" s="1"/>
      <c r="E399" s="1"/>
      <c r="F399" s="1"/>
      <c r="G399" s="26" t="str">
        <f t="shared" si="14"/>
        <v/>
      </c>
      <c r="H399" s="1"/>
      <c r="I399" s="1"/>
      <c r="J399" s="44"/>
      <c r="K399" s="1"/>
      <c r="L399" s="1"/>
      <c r="M399" s="1"/>
      <c r="N399" s="1"/>
      <c r="O399" s="1"/>
      <c r="P399" s="1"/>
      <c r="Q399" s="1"/>
      <c r="R399" s="1"/>
      <c r="S399" s="1"/>
      <c r="T399" s="29"/>
      <c r="U399" s="18"/>
      <c r="V399" s="18"/>
      <c r="W399" s="18"/>
    </row>
    <row r="400" spans="1:23" ht="15.75">
      <c r="A400" s="48"/>
      <c r="B400" s="1"/>
      <c r="C400" s="1"/>
      <c r="D400" s="1"/>
      <c r="E400" s="1"/>
      <c r="F400" s="1"/>
      <c r="G400" s="26" t="str">
        <f t="shared" si="14"/>
        <v/>
      </c>
      <c r="H400" s="1"/>
      <c r="I400" s="1"/>
      <c r="J400" s="44"/>
      <c r="K400" s="1"/>
      <c r="L400" s="1"/>
      <c r="M400" s="1"/>
      <c r="N400" s="1"/>
      <c r="O400" s="1"/>
      <c r="P400" s="1"/>
      <c r="Q400" s="1"/>
      <c r="R400" s="1"/>
      <c r="S400" s="1"/>
      <c r="T400" s="29"/>
      <c r="U400" s="18"/>
      <c r="V400" s="18"/>
      <c r="W400" s="18"/>
    </row>
    <row r="401" spans="1:23" ht="15.75">
      <c r="A401" s="48"/>
      <c r="B401" s="1"/>
      <c r="C401" s="1"/>
      <c r="D401" s="1"/>
      <c r="E401" s="1"/>
      <c r="F401" s="1"/>
      <c r="G401" s="26" t="str">
        <f t="shared" si="14"/>
        <v/>
      </c>
      <c r="H401" s="1"/>
      <c r="I401" s="1"/>
      <c r="J401" s="44"/>
      <c r="K401" s="1"/>
      <c r="L401" s="1"/>
      <c r="M401" s="1"/>
      <c r="N401" s="1"/>
      <c r="O401" s="1"/>
      <c r="P401" s="1"/>
      <c r="Q401" s="1"/>
      <c r="R401" s="1"/>
      <c r="S401" s="1"/>
      <c r="T401" s="29"/>
      <c r="U401" s="18"/>
      <c r="V401" s="18"/>
      <c r="W401" s="18"/>
    </row>
    <row r="402" spans="1:23" ht="15.75">
      <c r="A402" s="48"/>
      <c r="B402" s="1"/>
      <c r="C402" s="1"/>
      <c r="D402" s="1"/>
      <c r="E402" s="1"/>
      <c r="F402" s="1"/>
      <c r="G402" s="26" t="str">
        <f t="shared" si="14"/>
        <v/>
      </c>
      <c r="H402" s="1"/>
      <c r="I402" s="1"/>
      <c r="J402" s="44"/>
      <c r="K402" s="1"/>
      <c r="L402" s="1"/>
      <c r="M402" s="1"/>
      <c r="N402" s="1"/>
      <c r="O402" s="1"/>
      <c r="P402" s="1"/>
      <c r="Q402" s="1"/>
      <c r="R402" s="1"/>
      <c r="S402" s="1"/>
      <c r="T402" s="29"/>
      <c r="U402" s="18"/>
      <c r="V402" s="18"/>
      <c r="W402" s="18"/>
    </row>
    <row r="403" spans="1:23" ht="15.75">
      <c r="A403" s="48"/>
      <c r="B403" s="1"/>
      <c r="C403" s="1"/>
      <c r="D403" s="1"/>
      <c r="E403" s="1"/>
      <c r="F403" s="1"/>
      <c r="G403" s="26" t="str">
        <f t="shared" si="14"/>
        <v/>
      </c>
      <c r="H403" s="1"/>
      <c r="I403" s="1"/>
      <c r="J403" s="44"/>
      <c r="K403" s="1"/>
      <c r="L403" s="1"/>
      <c r="M403" s="1"/>
      <c r="N403" s="1"/>
      <c r="O403" s="1"/>
      <c r="P403" s="1"/>
      <c r="Q403" s="1"/>
      <c r="R403" s="1"/>
      <c r="S403" s="1"/>
      <c r="T403" s="29"/>
      <c r="U403" s="18"/>
      <c r="V403" s="18"/>
      <c r="W403" s="18"/>
    </row>
    <row r="404" spans="1:23" ht="15.75">
      <c r="A404" s="48"/>
      <c r="B404" s="1"/>
      <c r="C404" s="1"/>
      <c r="D404" s="1"/>
      <c r="E404" s="1"/>
      <c r="F404" s="1"/>
      <c r="G404" s="26" t="str">
        <f t="shared" si="14"/>
        <v/>
      </c>
      <c r="H404" s="1"/>
      <c r="I404" s="1"/>
      <c r="J404" s="44"/>
      <c r="K404" s="1"/>
      <c r="L404" s="1"/>
      <c r="M404" s="1"/>
      <c r="N404" s="1"/>
      <c r="O404" s="1"/>
      <c r="P404" s="1"/>
      <c r="Q404" s="1"/>
      <c r="R404" s="1"/>
      <c r="S404" s="1"/>
      <c r="T404" s="29"/>
      <c r="U404" s="18"/>
      <c r="V404" s="18"/>
      <c r="W404" s="18"/>
    </row>
    <row r="405" spans="1:23" ht="15.75">
      <c r="A405" s="48"/>
      <c r="B405" s="1"/>
      <c r="C405" s="1"/>
      <c r="D405" s="1"/>
      <c r="E405" s="1"/>
      <c r="F405" s="1"/>
      <c r="G405" s="26" t="str">
        <f t="shared" si="14"/>
        <v/>
      </c>
      <c r="H405" s="1"/>
      <c r="I405" s="1"/>
      <c r="J405" s="44"/>
      <c r="K405" s="1"/>
      <c r="L405" s="1"/>
      <c r="M405" s="1"/>
      <c r="N405" s="1"/>
      <c r="O405" s="1"/>
      <c r="P405" s="1"/>
      <c r="Q405" s="1"/>
      <c r="R405" s="1"/>
      <c r="S405" s="1"/>
      <c r="T405" s="29"/>
      <c r="U405" s="18"/>
      <c r="V405" s="18"/>
      <c r="W405" s="18"/>
    </row>
    <row r="406" spans="1:23" ht="15.75">
      <c r="A406" s="48"/>
      <c r="B406" s="1"/>
      <c r="C406" s="1"/>
      <c r="D406" s="1"/>
      <c r="E406" s="1"/>
      <c r="F406" s="1"/>
      <c r="G406" s="26" t="str">
        <f t="shared" si="14"/>
        <v/>
      </c>
      <c r="H406" s="1"/>
      <c r="I406" s="1"/>
      <c r="J406" s="44"/>
      <c r="K406" s="1"/>
      <c r="L406" s="1"/>
      <c r="M406" s="1"/>
      <c r="N406" s="1"/>
      <c r="O406" s="1"/>
      <c r="P406" s="1"/>
      <c r="Q406" s="1"/>
      <c r="R406" s="1"/>
      <c r="S406" s="1"/>
      <c r="T406" s="29"/>
      <c r="U406" s="18"/>
      <c r="V406" s="18"/>
      <c r="W406" s="18"/>
    </row>
    <row r="407" spans="1:23" ht="15.75">
      <c r="A407" s="48"/>
      <c r="B407" s="1"/>
      <c r="C407" s="1"/>
      <c r="D407" s="1"/>
      <c r="E407" s="1"/>
      <c r="F407" s="1"/>
      <c r="G407" s="26" t="str">
        <f t="shared" si="14"/>
        <v/>
      </c>
      <c r="H407" s="1"/>
      <c r="I407" s="1"/>
      <c r="J407" s="44"/>
      <c r="K407" s="1"/>
      <c r="L407" s="1"/>
      <c r="M407" s="1"/>
      <c r="N407" s="1"/>
      <c r="O407" s="1"/>
      <c r="P407" s="1"/>
      <c r="Q407" s="1"/>
      <c r="R407" s="1"/>
      <c r="S407" s="1"/>
      <c r="T407" s="29"/>
      <c r="U407" s="18"/>
      <c r="V407" s="18"/>
      <c r="W407" s="18"/>
    </row>
    <row r="408" spans="1:23" ht="15.75">
      <c r="A408" s="48"/>
      <c r="B408" s="1"/>
      <c r="C408" s="1"/>
      <c r="D408" s="1"/>
      <c r="E408" s="1"/>
      <c r="F408" s="1"/>
      <c r="G408" s="26" t="str">
        <f t="shared" si="14"/>
        <v/>
      </c>
      <c r="H408" s="1"/>
      <c r="I408" s="1"/>
      <c r="J408" s="44"/>
      <c r="K408" s="1"/>
      <c r="L408" s="1"/>
      <c r="M408" s="1"/>
      <c r="N408" s="1"/>
      <c r="O408" s="1"/>
      <c r="P408" s="1"/>
      <c r="Q408" s="1"/>
      <c r="R408" s="1"/>
      <c r="S408" s="1"/>
      <c r="T408" s="29"/>
      <c r="U408" s="18"/>
      <c r="V408" s="18"/>
      <c r="W408" s="18"/>
    </row>
    <row r="409" spans="1:23" ht="15.75">
      <c r="A409" s="48"/>
      <c r="B409" s="1"/>
      <c r="C409" s="1"/>
      <c r="D409" s="1"/>
      <c r="E409" s="1"/>
      <c r="F409" s="1"/>
      <c r="G409" s="26" t="str">
        <f t="shared" si="14"/>
        <v/>
      </c>
      <c r="H409" s="1"/>
      <c r="I409" s="1"/>
      <c r="J409" s="44"/>
      <c r="K409" s="1"/>
      <c r="L409" s="1"/>
      <c r="M409" s="1"/>
      <c r="N409" s="1"/>
      <c r="O409" s="1"/>
      <c r="P409" s="1"/>
      <c r="Q409" s="1"/>
      <c r="R409" s="1"/>
      <c r="S409" s="1"/>
      <c r="T409" s="29"/>
      <c r="U409" s="18"/>
      <c r="V409" s="18"/>
      <c r="W409" s="18"/>
    </row>
    <row r="410" spans="1:23" ht="15.75">
      <c r="A410" s="48"/>
      <c r="B410" s="1"/>
      <c r="C410" s="1"/>
      <c r="D410" s="1"/>
      <c r="E410" s="1"/>
      <c r="F410" s="1"/>
      <c r="G410" s="26" t="str">
        <f t="shared" si="14"/>
        <v/>
      </c>
      <c r="H410" s="1"/>
      <c r="I410" s="1"/>
      <c r="J410" s="44"/>
      <c r="K410" s="1"/>
      <c r="L410" s="1"/>
      <c r="M410" s="1"/>
      <c r="N410" s="1"/>
      <c r="O410" s="1"/>
      <c r="P410" s="1"/>
      <c r="Q410" s="1"/>
      <c r="R410" s="1"/>
      <c r="S410" s="1"/>
      <c r="T410" s="29"/>
      <c r="U410" s="18"/>
      <c r="V410" s="18"/>
      <c r="W410" s="18"/>
    </row>
    <row r="411" spans="1:23" ht="15.75">
      <c r="A411" s="48"/>
      <c r="B411" s="1"/>
      <c r="C411" s="1"/>
      <c r="D411" s="1"/>
      <c r="E411" s="1"/>
      <c r="F411" s="1"/>
      <c r="G411" s="26" t="str">
        <f t="shared" si="14"/>
        <v/>
      </c>
      <c r="H411" s="1"/>
      <c r="I411" s="1"/>
      <c r="J411" s="44"/>
      <c r="K411" s="1"/>
      <c r="L411" s="1"/>
      <c r="M411" s="1"/>
      <c r="N411" s="1"/>
      <c r="O411" s="1"/>
      <c r="P411" s="1"/>
      <c r="Q411" s="1"/>
      <c r="R411" s="1"/>
      <c r="S411" s="1"/>
      <c r="T411" s="29"/>
      <c r="U411" s="18"/>
      <c r="V411" s="18"/>
      <c r="W411" s="18"/>
    </row>
    <row r="412" spans="1:23" ht="15.75">
      <c r="A412" s="48"/>
      <c r="B412" s="1"/>
      <c r="C412" s="1"/>
      <c r="D412" s="1"/>
      <c r="E412" s="1"/>
      <c r="F412" s="1"/>
      <c r="G412" s="26" t="str">
        <f t="shared" si="14"/>
        <v/>
      </c>
      <c r="H412" s="1"/>
      <c r="I412" s="1"/>
      <c r="J412" s="44"/>
      <c r="K412" s="1"/>
      <c r="L412" s="1"/>
      <c r="M412" s="1"/>
      <c r="N412" s="1"/>
      <c r="O412" s="1"/>
      <c r="P412" s="1"/>
      <c r="Q412" s="1"/>
      <c r="R412" s="1"/>
      <c r="S412" s="1"/>
      <c r="T412" s="29"/>
      <c r="U412" s="18"/>
      <c r="V412" s="18"/>
      <c r="W412" s="18"/>
    </row>
    <row r="413" spans="1:23" ht="15.75">
      <c r="A413" s="48"/>
      <c r="B413" s="1"/>
      <c r="C413" s="1"/>
      <c r="D413" s="1"/>
      <c r="E413" s="1"/>
      <c r="F413" s="1"/>
      <c r="G413" s="26" t="str">
        <f t="shared" si="14"/>
        <v/>
      </c>
      <c r="H413" s="1"/>
      <c r="I413" s="1"/>
      <c r="J413" s="44"/>
      <c r="K413" s="1"/>
      <c r="L413" s="1"/>
      <c r="M413" s="1"/>
      <c r="N413" s="1"/>
      <c r="O413" s="1"/>
      <c r="P413" s="1"/>
      <c r="Q413" s="1"/>
      <c r="R413" s="1"/>
      <c r="S413" s="1"/>
      <c r="T413" s="29"/>
      <c r="U413" s="18"/>
      <c r="V413" s="18"/>
      <c r="W413" s="18"/>
    </row>
    <row r="414" spans="1:23" ht="15.75">
      <c r="A414" s="48"/>
      <c r="B414" s="1"/>
      <c r="C414" s="1"/>
      <c r="D414" s="1"/>
      <c r="E414" s="1"/>
      <c r="F414" s="1"/>
      <c r="G414" s="26" t="str">
        <f t="shared" si="14"/>
        <v/>
      </c>
      <c r="H414" s="1"/>
      <c r="I414" s="1"/>
      <c r="J414" s="44"/>
      <c r="K414" s="1"/>
      <c r="L414" s="1"/>
      <c r="M414" s="1"/>
      <c r="N414" s="1"/>
      <c r="O414" s="1"/>
      <c r="P414" s="1"/>
      <c r="Q414" s="1"/>
      <c r="R414" s="1"/>
      <c r="S414" s="1"/>
      <c r="T414" s="29"/>
      <c r="U414" s="18"/>
      <c r="V414" s="18"/>
      <c r="W414" s="18"/>
    </row>
    <row r="415" spans="1:23" ht="15.75">
      <c r="A415" s="48"/>
      <c r="B415" s="1"/>
      <c r="C415" s="1"/>
      <c r="D415" s="1"/>
      <c r="E415" s="1"/>
      <c r="F415" s="1"/>
      <c r="G415" s="26" t="str">
        <f t="shared" si="14"/>
        <v/>
      </c>
      <c r="H415" s="1"/>
      <c r="I415" s="1"/>
      <c r="J415" s="44"/>
      <c r="K415" s="1"/>
      <c r="L415" s="1"/>
      <c r="M415" s="1"/>
      <c r="N415" s="1"/>
      <c r="O415" s="1"/>
      <c r="P415" s="1"/>
      <c r="Q415" s="1"/>
      <c r="R415" s="1"/>
      <c r="S415" s="1"/>
      <c r="T415" s="29"/>
      <c r="U415" s="18"/>
      <c r="V415" s="18"/>
      <c r="W415" s="18"/>
    </row>
    <row r="416" spans="1:23" ht="15.75">
      <c r="A416" s="48"/>
      <c r="B416" s="1"/>
      <c r="C416" s="1"/>
      <c r="D416" s="1"/>
      <c r="E416" s="1"/>
      <c r="F416" s="1"/>
      <c r="G416" s="26" t="str">
        <f t="shared" si="14"/>
        <v/>
      </c>
      <c r="H416" s="1"/>
      <c r="I416" s="1"/>
      <c r="J416" s="44"/>
      <c r="K416" s="1"/>
      <c r="L416" s="1"/>
      <c r="M416" s="1"/>
      <c r="N416" s="1"/>
      <c r="O416" s="1"/>
      <c r="P416" s="1"/>
      <c r="Q416" s="1"/>
      <c r="R416" s="1"/>
      <c r="S416" s="1"/>
      <c r="T416" s="29"/>
      <c r="U416" s="18"/>
      <c r="V416" s="18"/>
      <c r="W416" s="18"/>
    </row>
    <row r="417" spans="1:23" ht="15.75">
      <c r="A417" s="48"/>
      <c r="B417" s="1"/>
      <c r="C417" s="1"/>
      <c r="D417" s="1"/>
      <c r="E417" s="1"/>
      <c r="F417" s="1"/>
      <c r="G417" s="26" t="str">
        <f t="shared" si="14"/>
        <v/>
      </c>
      <c r="H417" s="1"/>
      <c r="I417" s="1"/>
      <c r="J417" s="44"/>
      <c r="K417" s="1"/>
      <c r="L417" s="1"/>
      <c r="M417" s="1"/>
      <c r="N417" s="1"/>
      <c r="O417" s="1"/>
      <c r="P417" s="1"/>
      <c r="Q417" s="1"/>
      <c r="R417" s="1"/>
      <c r="S417" s="1"/>
      <c r="T417" s="29"/>
      <c r="U417" s="18"/>
      <c r="V417" s="18"/>
      <c r="W417" s="18"/>
    </row>
    <row r="418" spans="1:23" ht="15.75">
      <c r="A418" s="48"/>
      <c r="B418" s="1"/>
      <c r="C418" s="1"/>
      <c r="D418" s="1"/>
      <c r="E418" s="1"/>
      <c r="F418" s="1"/>
      <c r="G418" s="26" t="str">
        <f t="shared" si="14"/>
        <v/>
      </c>
      <c r="H418" s="1"/>
      <c r="I418" s="1"/>
      <c r="J418" s="44"/>
      <c r="K418" s="1"/>
      <c r="L418" s="1"/>
      <c r="M418" s="1"/>
      <c r="N418" s="1"/>
      <c r="O418" s="1"/>
      <c r="P418" s="1"/>
      <c r="Q418" s="1"/>
      <c r="R418" s="1"/>
      <c r="S418" s="1"/>
      <c r="T418" s="29"/>
      <c r="U418" s="18"/>
      <c r="V418" s="18"/>
      <c r="W418" s="18"/>
    </row>
    <row r="419" spans="1:23" ht="15.75">
      <c r="A419" s="48"/>
      <c r="B419" s="1"/>
      <c r="C419" s="1"/>
      <c r="D419" s="1"/>
      <c r="E419" s="1"/>
      <c r="F419" s="1"/>
      <c r="G419" s="26" t="str">
        <f t="shared" si="14"/>
        <v/>
      </c>
      <c r="H419" s="1"/>
      <c r="I419" s="1"/>
      <c r="J419" s="44"/>
      <c r="K419" s="1"/>
      <c r="L419" s="1"/>
      <c r="M419" s="1"/>
      <c r="N419" s="1"/>
      <c r="O419" s="1"/>
      <c r="P419" s="1"/>
      <c r="Q419" s="1"/>
      <c r="R419" s="1"/>
      <c r="S419" s="1"/>
      <c r="T419" s="29"/>
      <c r="U419" s="18"/>
      <c r="V419" s="18"/>
      <c r="W419" s="18"/>
    </row>
    <row r="420" spans="1:23">
      <c r="A420" s="48"/>
      <c r="B420" s="1"/>
      <c r="C420" s="1"/>
      <c r="D420" s="1"/>
      <c r="E420" s="1"/>
      <c r="F420" s="1"/>
      <c r="G420" s="26" t="str">
        <f t="shared" si="14"/>
        <v/>
      </c>
      <c r="H420" s="1"/>
      <c r="I420" s="1"/>
      <c r="J420" s="4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48"/>
      <c r="B421" s="1"/>
      <c r="C421" s="1"/>
      <c r="D421" s="1"/>
      <c r="E421" s="1"/>
      <c r="F421" s="1"/>
      <c r="G421" s="26" t="str">
        <f t="shared" si="14"/>
        <v/>
      </c>
      <c r="H421" s="1"/>
      <c r="I421" s="1"/>
      <c r="J421" s="4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48"/>
      <c r="B422" s="1"/>
      <c r="C422" s="1"/>
      <c r="D422" s="1"/>
      <c r="E422" s="1"/>
      <c r="F422" s="1"/>
      <c r="G422" s="26" t="str">
        <f t="shared" si="14"/>
        <v/>
      </c>
      <c r="H422" s="1"/>
      <c r="I422" s="1"/>
      <c r="J422" s="4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48"/>
      <c r="B423" s="1"/>
      <c r="C423" s="1"/>
      <c r="D423" s="1"/>
      <c r="E423" s="1"/>
      <c r="F423" s="1"/>
      <c r="G423" s="26" t="str">
        <f t="shared" si="14"/>
        <v/>
      </c>
      <c r="H423" s="1"/>
      <c r="I423" s="1"/>
      <c r="J423" s="4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48"/>
      <c r="B424" s="1"/>
      <c r="C424" s="1"/>
      <c r="D424" s="1"/>
      <c r="E424" s="1"/>
      <c r="F424" s="1"/>
      <c r="G424" s="26" t="str">
        <f t="shared" si="14"/>
        <v/>
      </c>
      <c r="H424" s="1"/>
      <c r="I424" s="1"/>
      <c r="J424" s="4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48"/>
      <c r="B425" s="1"/>
      <c r="C425" s="1"/>
      <c r="D425" s="1"/>
      <c r="E425" s="1"/>
      <c r="F425" s="1"/>
      <c r="G425" s="26" t="str">
        <f t="shared" si="14"/>
        <v/>
      </c>
      <c r="H425" s="1"/>
      <c r="I425" s="1"/>
      <c r="J425" s="4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48"/>
      <c r="B426" s="1"/>
      <c r="C426" s="1"/>
      <c r="D426" s="1"/>
      <c r="E426" s="1"/>
      <c r="F426" s="1"/>
      <c r="G426" s="26" t="str">
        <f t="shared" si="14"/>
        <v/>
      </c>
      <c r="H426" s="1"/>
      <c r="I426" s="1"/>
      <c r="J426" s="4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48"/>
      <c r="B427" s="1"/>
      <c r="C427" s="1"/>
      <c r="D427" s="1"/>
      <c r="E427" s="1"/>
      <c r="F427" s="1"/>
      <c r="G427" s="26" t="str">
        <f t="shared" si="14"/>
        <v/>
      </c>
      <c r="H427" s="1"/>
      <c r="I427" s="1"/>
      <c r="J427" s="4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48"/>
      <c r="B428" s="1"/>
      <c r="C428" s="1"/>
      <c r="D428" s="1"/>
      <c r="E428" s="1"/>
      <c r="F428" s="1"/>
      <c r="G428" s="26" t="str">
        <f t="shared" si="14"/>
        <v/>
      </c>
      <c r="H428" s="1"/>
      <c r="I428" s="1"/>
      <c r="J428" s="4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48"/>
      <c r="B429" s="1"/>
      <c r="C429" s="1"/>
      <c r="D429" s="1"/>
      <c r="E429" s="1"/>
      <c r="F429" s="1"/>
      <c r="G429" s="26" t="str">
        <f t="shared" si="14"/>
        <v/>
      </c>
      <c r="H429" s="1"/>
      <c r="I429" s="1"/>
      <c r="J429" s="4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48"/>
      <c r="B430" s="1"/>
      <c r="C430" s="1"/>
      <c r="D430" s="1"/>
      <c r="E430" s="1"/>
      <c r="F430" s="1"/>
      <c r="G430" s="26" t="str">
        <f t="shared" si="14"/>
        <v/>
      </c>
      <c r="H430" s="1"/>
      <c r="I430" s="1"/>
      <c r="J430" s="4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48"/>
      <c r="B431" s="1"/>
      <c r="C431" s="1"/>
      <c r="D431" s="1"/>
      <c r="E431" s="1"/>
      <c r="F431" s="1"/>
      <c r="G431" s="26" t="str">
        <f t="shared" si="14"/>
        <v/>
      </c>
      <c r="H431" s="1"/>
      <c r="I431" s="1"/>
      <c r="J431" s="4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48"/>
      <c r="B432" s="1"/>
      <c r="C432" s="1"/>
      <c r="D432" s="1"/>
      <c r="E432" s="1"/>
      <c r="F432" s="1"/>
      <c r="G432" s="26" t="str">
        <f t="shared" si="14"/>
        <v/>
      </c>
      <c r="H432" s="1"/>
      <c r="I432" s="1"/>
      <c r="J432" s="4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48"/>
      <c r="B433" s="1"/>
      <c r="C433" s="1"/>
      <c r="D433" s="1"/>
      <c r="E433" s="1"/>
      <c r="F433" s="1"/>
      <c r="G433" s="26" t="str">
        <f t="shared" si="14"/>
        <v/>
      </c>
      <c r="H433" s="1"/>
      <c r="I433" s="1"/>
      <c r="J433" s="4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48"/>
      <c r="B434" s="1"/>
      <c r="C434" s="1"/>
      <c r="D434" s="1"/>
      <c r="E434" s="1"/>
      <c r="F434" s="1"/>
      <c r="G434" s="26" t="str">
        <f t="shared" si="14"/>
        <v/>
      </c>
      <c r="H434" s="1"/>
      <c r="I434" s="1"/>
      <c r="J434" s="4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48"/>
      <c r="B435" s="1"/>
      <c r="C435" s="1"/>
      <c r="D435" s="1"/>
      <c r="E435" s="1"/>
      <c r="F435" s="1"/>
      <c r="G435" s="26" t="str">
        <f t="shared" si="14"/>
        <v/>
      </c>
      <c r="H435" s="1"/>
      <c r="I435" s="1"/>
      <c r="J435" s="4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48"/>
      <c r="B436" s="1"/>
      <c r="C436" s="1"/>
      <c r="D436" s="1"/>
      <c r="E436" s="1"/>
      <c r="F436" s="1"/>
      <c r="G436" s="26" t="str">
        <f t="shared" si="14"/>
        <v/>
      </c>
      <c r="H436" s="1"/>
      <c r="I436" s="1"/>
      <c r="J436" s="4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48"/>
      <c r="B437" s="1"/>
      <c r="C437" s="1"/>
      <c r="D437" s="1"/>
      <c r="E437" s="1"/>
      <c r="F437" s="1"/>
      <c r="G437" s="26" t="str">
        <f t="shared" si="14"/>
        <v/>
      </c>
      <c r="H437" s="1"/>
      <c r="I437" s="1"/>
      <c r="J437" s="4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48"/>
      <c r="B438" s="1"/>
      <c r="C438" s="1"/>
      <c r="D438" s="1"/>
      <c r="E438" s="1"/>
      <c r="F438" s="1"/>
      <c r="G438" s="26" t="str">
        <f t="shared" si="14"/>
        <v/>
      </c>
      <c r="H438" s="1"/>
      <c r="I438" s="1"/>
      <c r="J438" s="4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48"/>
      <c r="B439" s="1"/>
      <c r="C439" s="1"/>
      <c r="D439" s="1"/>
      <c r="E439" s="1"/>
      <c r="F439" s="1"/>
      <c r="G439" s="26" t="str">
        <f t="shared" si="14"/>
        <v/>
      </c>
      <c r="H439" s="1"/>
      <c r="I439" s="1"/>
      <c r="J439" s="4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48"/>
      <c r="B440" s="1"/>
      <c r="C440" s="1"/>
      <c r="D440" s="1"/>
      <c r="E440" s="1"/>
      <c r="F440" s="1"/>
      <c r="G440" s="26" t="str">
        <f t="shared" si="14"/>
        <v/>
      </c>
      <c r="H440" s="1"/>
      <c r="I440" s="1"/>
      <c r="J440" s="4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48"/>
      <c r="B441" s="1"/>
      <c r="C441" s="1"/>
      <c r="D441" s="1"/>
      <c r="E441" s="1"/>
      <c r="F441" s="1"/>
      <c r="G441" s="26" t="str">
        <f t="shared" si="14"/>
        <v/>
      </c>
      <c r="H441" s="1"/>
      <c r="I441" s="1"/>
      <c r="J441" s="4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48"/>
      <c r="B442" s="1"/>
      <c r="C442" s="1"/>
      <c r="D442" s="1"/>
      <c r="E442" s="1"/>
      <c r="F442" s="1"/>
      <c r="G442" s="26" t="str">
        <f t="shared" si="14"/>
        <v/>
      </c>
      <c r="H442" s="1"/>
      <c r="I442" s="1"/>
      <c r="J442" s="4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48"/>
      <c r="B443" s="1"/>
      <c r="C443" s="1"/>
      <c r="D443" s="1"/>
      <c r="E443" s="1"/>
      <c r="F443" s="1"/>
      <c r="G443" s="26" t="str">
        <f t="shared" si="14"/>
        <v/>
      </c>
      <c r="H443" s="1"/>
      <c r="I443" s="1"/>
      <c r="J443" s="4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48"/>
      <c r="B444" s="1"/>
      <c r="C444" s="1"/>
      <c r="D444" s="1"/>
      <c r="E444" s="1"/>
      <c r="F444" s="1"/>
      <c r="G444" s="26" t="str">
        <f t="shared" si="14"/>
        <v/>
      </c>
      <c r="H444" s="1"/>
      <c r="I444" s="1"/>
      <c r="J444" s="4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48"/>
      <c r="B445" s="1"/>
      <c r="C445" s="1"/>
      <c r="D445" s="1"/>
      <c r="E445" s="1"/>
      <c r="F445" s="1"/>
      <c r="G445" s="26" t="str">
        <f t="shared" si="14"/>
        <v/>
      </c>
      <c r="H445" s="1"/>
      <c r="I445" s="1"/>
      <c r="J445" s="4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48"/>
      <c r="B446" s="1"/>
      <c r="C446" s="1"/>
      <c r="D446" s="1"/>
      <c r="E446" s="1"/>
      <c r="F446" s="1"/>
      <c r="G446" s="26" t="str">
        <f t="shared" si="14"/>
        <v/>
      </c>
      <c r="H446" s="1"/>
      <c r="I446" s="1"/>
      <c r="J446" s="4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48"/>
      <c r="B447" s="1"/>
      <c r="C447" s="1"/>
      <c r="D447" s="1"/>
      <c r="E447" s="1"/>
      <c r="F447" s="1"/>
      <c r="G447" s="26" t="str">
        <f t="shared" si="14"/>
        <v/>
      </c>
      <c r="H447" s="1"/>
      <c r="I447" s="1"/>
      <c r="J447" s="4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48"/>
      <c r="B448" s="1"/>
      <c r="C448" s="1"/>
      <c r="D448" s="1"/>
      <c r="E448" s="1"/>
      <c r="F448" s="1"/>
      <c r="G448" s="26" t="str">
        <f t="shared" si="14"/>
        <v/>
      </c>
      <c r="H448" s="1"/>
      <c r="I448" s="1"/>
      <c r="J448" s="4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48"/>
      <c r="B449" s="1"/>
      <c r="C449" s="1"/>
      <c r="D449" s="1"/>
      <c r="E449" s="1"/>
      <c r="F449" s="1"/>
      <c r="G449" s="26" t="str">
        <f t="shared" si="14"/>
        <v/>
      </c>
      <c r="H449" s="1"/>
      <c r="I449" s="1"/>
      <c r="J449" s="4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48"/>
      <c r="B450" s="1"/>
      <c r="C450" s="1"/>
      <c r="D450" s="1"/>
      <c r="E450" s="1"/>
      <c r="F450" s="1"/>
      <c r="G450" s="26" t="str">
        <f t="shared" si="14"/>
        <v/>
      </c>
      <c r="H450" s="1"/>
      <c r="I450" s="1"/>
      <c r="J450" s="4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48"/>
      <c r="B451" s="1"/>
      <c r="C451" s="1"/>
      <c r="D451" s="1"/>
      <c r="E451" s="1"/>
      <c r="F451" s="1"/>
      <c r="G451" s="26" t="str">
        <f t="shared" si="14"/>
        <v/>
      </c>
      <c r="H451" s="1"/>
      <c r="I451" s="1"/>
      <c r="J451" s="4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48"/>
      <c r="B452" s="1"/>
      <c r="C452" s="1"/>
      <c r="D452" s="1"/>
      <c r="E452" s="1"/>
      <c r="F452" s="1"/>
      <c r="G452" s="26" t="str">
        <f t="shared" si="14"/>
        <v/>
      </c>
      <c r="H452" s="1"/>
      <c r="I452" s="1"/>
      <c r="J452" s="4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48"/>
      <c r="B453" s="1"/>
      <c r="C453" s="1"/>
      <c r="D453" s="1"/>
      <c r="E453" s="1"/>
      <c r="F453" s="1"/>
      <c r="G453" s="26" t="str">
        <f t="shared" si="14"/>
        <v/>
      </c>
      <c r="H453" s="1"/>
      <c r="I453" s="1"/>
      <c r="J453" s="4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48"/>
      <c r="B454" s="1"/>
      <c r="C454" s="1"/>
      <c r="D454" s="1"/>
      <c r="E454" s="1"/>
      <c r="F454" s="1"/>
      <c r="G454" s="26" t="str">
        <f t="shared" si="14"/>
        <v/>
      </c>
      <c r="H454" s="1"/>
      <c r="I454" s="1"/>
      <c r="J454" s="4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48"/>
      <c r="B455" s="1"/>
      <c r="C455" s="1"/>
      <c r="D455" s="1"/>
      <c r="E455" s="1"/>
      <c r="F455" s="1"/>
      <c r="G455" s="26" t="str">
        <f t="shared" si="14"/>
        <v/>
      </c>
      <c r="H455" s="1"/>
      <c r="I455" s="1"/>
      <c r="J455" s="4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48"/>
      <c r="B456" s="1"/>
      <c r="C456" s="1"/>
      <c r="D456" s="1"/>
      <c r="E456" s="1"/>
      <c r="F456" s="1"/>
      <c r="G456" s="26" t="str">
        <f t="shared" si="14"/>
        <v/>
      </c>
      <c r="H456" s="1"/>
      <c r="I456" s="1"/>
      <c r="J456" s="4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48"/>
      <c r="B457" s="1"/>
      <c r="C457" s="1"/>
      <c r="D457" s="1"/>
      <c r="E457" s="1"/>
      <c r="F457" s="1"/>
      <c r="G457" s="26" t="str">
        <f t="shared" si="14"/>
        <v/>
      </c>
      <c r="H457" s="1"/>
      <c r="I457" s="1"/>
      <c r="J457" s="4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48"/>
      <c r="B458" s="1"/>
      <c r="C458" s="1"/>
      <c r="D458" s="1"/>
      <c r="E458" s="1"/>
      <c r="F458" s="1"/>
      <c r="G458" s="26" t="str">
        <f t="shared" si="14"/>
        <v/>
      </c>
      <c r="H458" s="1"/>
      <c r="I458" s="1"/>
      <c r="J458" s="4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48"/>
      <c r="B459" s="1"/>
      <c r="C459" s="1"/>
      <c r="D459" s="1"/>
      <c r="E459" s="1"/>
      <c r="F459" s="1"/>
      <c r="G459" s="26" t="str">
        <f t="shared" si="14"/>
        <v/>
      </c>
      <c r="H459" s="1"/>
      <c r="I459" s="1"/>
      <c r="J459" s="4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48"/>
      <c r="B460" s="1"/>
      <c r="C460" s="1"/>
      <c r="D460" s="1"/>
      <c r="E460" s="1"/>
      <c r="F460" s="1"/>
      <c r="G460" s="26" t="str">
        <f t="shared" si="14"/>
        <v/>
      </c>
      <c r="H460" s="1"/>
      <c r="I460" s="1"/>
      <c r="J460" s="4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48"/>
      <c r="B461" s="1"/>
      <c r="C461" s="1"/>
      <c r="D461" s="1"/>
      <c r="E461" s="1"/>
      <c r="F461" s="1"/>
      <c r="G461" s="26" t="str">
        <f t="shared" si="14"/>
        <v/>
      </c>
      <c r="H461" s="1"/>
      <c r="I461" s="1"/>
      <c r="J461" s="4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48"/>
      <c r="B462" s="1"/>
      <c r="C462" s="1"/>
      <c r="D462" s="1"/>
      <c r="E462" s="1"/>
      <c r="F462" s="1"/>
      <c r="G462" s="26" t="str">
        <f t="shared" si="14"/>
        <v/>
      </c>
      <c r="H462" s="1"/>
      <c r="I462" s="1"/>
      <c r="J462" s="4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48"/>
      <c r="B463" s="1"/>
      <c r="C463" s="1"/>
      <c r="D463" s="1"/>
      <c r="E463" s="1"/>
      <c r="F463" s="1"/>
      <c r="G463" s="26" t="str">
        <f t="shared" si="14"/>
        <v/>
      </c>
      <c r="H463" s="1"/>
      <c r="I463" s="1"/>
      <c r="J463" s="4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48"/>
      <c r="B464" s="1"/>
      <c r="C464" s="1"/>
      <c r="D464" s="1"/>
      <c r="E464" s="1"/>
      <c r="F464" s="1"/>
      <c r="G464" s="26" t="str">
        <f t="shared" si="14"/>
        <v/>
      </c>
      <c r="H464" s="1"/>
      <c r="I464" s="1"/>
      <c r="J464" s="4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48"/>
      <c r="B465" s="1"/>
      <c r="C465" s="1"/>
      <c r="D465" s="1"/>
      <c r="E465" s="1"/>
      <c r="F465" s="1"/>
      <c r="G465" s="26" t="str">
        <f t="shared" si="14"/>
        <v/>
      </c>
      <c r="H465" s="1"/>
      <c r="I465" s="1"/>
      <c r="J465" s="4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48"/>
      <c r="B466" s="1"/>
      <c r="C466" s="1"/>
      <c r="D466" s="1"/>
      <c r="E466" s="1"/>
      <c r="F466" s="1"/>
      <c r="G466" s="26" t="str">
        <f t="shared" si="14"/>
        <v/>
      </c>
      <c r="H466" s="1"/>
      <c r="I466" s="1"/>
      <c r="J466" s="4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48"/>
      <c r="B467" s="1"/>
      <c r="C467" s="1"/>
      <c r="D467" s="1"/>
      <c r="E467" s="1"/>
      <c r="F467" s="1"/>
      <c r="G467" s="26" t="str">
        <f t="shared" si="14"/>
        <v/>
      </c>
      <c r="H467" s="1"/>
      <c r="I467" s="1"/>
      <c r="J467" s="4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48"/>
      <c r="B468" s="1"/>
      <c r="C468" s="1"/>
      <c r="D468" s="1"/>
      <c r="E468" s="1"/>
      <c r="F468" s="1"/>
      <c r="G468" s="26" t="str">
        <f t="shared" si="14"/>
        <v/>
      </c>
      <c r="H468" s="1"/>
      <c r="I468" s="1"/>
      <c r="J468" s="4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48"/>
      <c r="B469" s="1"/>
      <c r="C469" s="1"/>
      <c r="D469" s="1"/>
      <c r="E469" s="1"/>
      <c r="F469" s="1"/>
      <c r="G469" s="26" t="str">
        <f t="shared" si="14"/>
        <v/>
      </c>
      <c r="H469" s="1"/>
      <c r="I469" s="1"/>
      <c r="J469" s="4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48"/>
      <c r="B470" s="1"/>
      <c r="C470" s="1"/>
      <c r="D470" s="1"/>
      <c r="E470" s="1"/>
      <c r="F470" s="1"/>
      <c r="G470" s="26" t="str">
        <f t="shared" si="14"/>
        <v/>
      </c>
      <c r="H470" s="1"/>
      <c r="I470" s="1"/>
      <c r="J470" s="4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48"/>
      <c r="B471" s="1"/>
      <c r="C471" s="1"/>
      <c r="D471" s="1"/>
      <c r="E471" s="1"/>
      <c r="F471" s="1"/>
      <c r="G471" s="26" t="str">
        <f t="shared" si="14"/>
        <v/>
      </c>
      <c r="H471" s="1"/>
      <c r="I471" s="1"/>
      <c r="J471" s="4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48"/>
      <c r="B472" s="1"/>
      <c r="C472" s="1"/>
      <c r="D472" s="1"/>
      <c r="E472" s="1"/>
      <c r="F472" s="1"/>
      <c r="G472" s="26" t="str">
        <f t="shared" si="14"/>
        <v/>
      </c>
      <c r="H472" s="1"/>
      <c r="I472" s="1"/>
      <c r="J472" s="4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48"/>
      <c r="B473" s="1"/>
      <c r="C473" s="1"/>
      <c r="D473" s="1"/>
      <c r="E473" s="1"/>
      <c r="F473" s="1"/>
      <c r="G473" s="26" t="str">
        <f t="shared" si="14"/>
        <v/>
      </c>
      <c r="H473" s="1"/>
      <c r="I473" s="1"/>
      <c r="J473" s="4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48"/>
      <c r="B474" s="1"/>
      <c r="C474" s="1"/>
      <c r="D474" s="1"/>
      <c r="E474" s="1"/>
      <c r="F474" s="1"/>
      <c r="G474" s="26" t="str">
        <f t="shared" si="14"/>
        <v/>
      </c>
      <c r="H474" s="1"/>
      <c r="I474" s="1"/>
      <c r="J474" s="4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48"/>
      <c r="B475" s="1"/>
      <c r="C475" s="1"/>
      <c r="D475" s="1"/>
      <c r="E475" s="1"/>
      <c r="F475" s="1"/>
      <c r="G475" s="26" t="str">
        <f t="shared" si="14"/>
        <v/>
      </c>
      <c r="H475" s="1"/>
      <c r="I475" s="1"/>
      <c r="J475" s="4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48"/>
      <c r="B476" s="1"/>
      <c r="C476" s="1"/>
      <c r="D476" s="1"/>
      <c r="E476" s="1"/>
      <c r="F476" s="1"/>
      <c r="G476" s="26" t="str">
        <f t="shared" si="14"/>
        <v/>
      </c>
      <c r="H476" s="1"/>
      <c r="I476" s="1"/>
      <c r="J476" s="4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48"/>
      <c r="B477" s="1"/>
      <c r="C477" s="1"/>
      <c r="D477" s="1"/>
      <c r="E477" s="1"/>
      <c r="F477" s="1"/>
      <c r="G477" s="26" t="str">
        <f t="shared" si="14"/>
        <v/>
      </c>
      <c r="H477" s="1"/>
      <c r="I477" s="1"/>
      <c r="J477" s="4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48"/>
      <c r="B478" s="1"/>
      <c r="C478" s="1"/>
      <c r="D478" s="1"/>
      <c r="E478" s="1"/>
      <c r="F478" s="1"/>
      <c r="G478" s="26" t="str">
        <f t="shared" si="14"/>
        <v/>
      </c>
      <c r="H478" s="1"/>
      <c r="I478" s="1"/>
      <c r="J478" s="4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48"/>
      <c r="B479" s="1"/>
      <c r="C479" s="1"/>
      <c r="D479" s="1"/>
      <c r="E479" s="1"/>
      <c r="F479" s="1"/>
      <c r="G479" s="26" t="str">
        <f t="shared" si="14"/>
        <v/>
      </c>
      <c r="H479" s="1"/>
      <c r="I479" s="1"/>
      <c r="J479" s="4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48"/>
      <c r="B480" s="1"/>
      <c r="C480" s="1"/>
      <c r="D480" s="1"/>
      <c r="E480" s="1"/>
      <c r="F480" s="1"/>
      <c r="G480" s="26" t="str">
        <f t="shared" si="14"/>
        <v/>
      </c>
      <c r="H480" s="1"/>
      <c r="I480" s="1"/>
      <c r="J480" s="4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48"/>
      <c r="B481" s="1"/>
      <c r="C481" s="1"/>
      <c r="D481" s="1"/>
      <c r="E481" s="1"/>
      <c r="F481" s="1"/>
      <c r="G481" s="26" t="str">
        <f t="shared" si="14"/>
        <v/>
      </c>
      <c r="H481" s="1"/>
      <c r="I481" s="1"/>
      <c r="J481" s="4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48"/>
      <c r="B482" s="1"/>
      <c r="C482" s="1"/>
      <c r="D482" s="1"/>
      <c r="E482" s="1"/>
      <c r="F482" s="1"/>
      <c r="G482" s="26" t="str">
        <f t="shared" si="14"/>
        <v/>
      </c>
      <c r="H482" s="1"/>
      <c r="I482" s="1"/>
      <c r="J482" s="4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48"/>
      <c r="B483" s="1"/>
      <c r="C483" s="1"/>
      <c r="D483" s="1"/>
      <c r="E483" s="1"/>
      <c r="F483" s="1"/>
      <c r="G483" s="26" t="str">
        <f t="shared" si="14"/>
        <v/>
      </c>
      <c r="H483" s="1"/>
      <c r="I483" s="1"/>
      <c r="J483" s="4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48"/>
      <c r="B484" s="1"/>
      <c r="C484" s="1"/>
      <c r="D484" s="1"/>
      <c r="E484" s="1"/>
      <c r="F484" s="1"/>
      <c r="G484" s="26" t="str">
        <f t="shared" si="14"/>
        <v/>
      </c>
      <c r="H484" s="1"/>
      <c r="I484" s="1"/>
      <c r="J484" s="4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48"/>
      <c r="B485" s="1"/>
      <c r="C485" s="1"/>
      <c r="D485" s="1"/>
      <c r="E485" s="1"/>
      <c r="F485" s="1"/>
      <c r="G485" s="26" t="str">
        <f t="shared" si="14"/>
        <v/>
      </c>
      <c r="H485" s="1"/>
      <c r="I485" s="1"/>
      <c r="J485" s="4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48"/>
      <c r="B486" s="1"/>
      <c r="C486" s="1"/>
      <c r="D486" s="1"/>
      <c r="E486" s="1"/>
      <c r="F486" s="1"/>
      <c r="G486" s="26" t="str">
        <f t="shared" si="14"/>
        <v/>
      </c>
      <c r="H486" s="1"/>
      <c r="I486" s="1"/>
      <c r="J486" s="4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48"/>
      <c r="B487" s="1"/>
      <c r="C487" s="1"/>
      <c r="D487" s="1"/>
      <c r="E487" s="1"/>
      <c r="F487" s="1"/>
      <c r="G487" s="26" t="str">
        <f t="shared" si="14"/>
        <v/>
      </c>
      <c r="H487" s="1"/>
      <c r="I487" s="1"/>
      <c r="J487" s="4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48"/>
      <c r="B488" s="1"/>
      <c r="C488" s="1"/>
      <c r="D488" s="1"/>
      <c r="E488" s="1"/>
      <c r="F488" s="1"/>
      <c r="G488" s="26" t="str">
        <f t="shared" si="14"/>
        <v/>
      </c>
      <c r="H488" s="1"/>
      <c r="I488" s="1"/>
      <c r="J488" s="4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48"/>
      <c r="B489" s="1"/>
      <c r="C489" s="1"/>
      <c r="D489" s="1"/>
      <c r="E489" s="1"/>
      <c r="F489" s="1"/>
      <c r="G489" s="26" t="str">
        <f t="shared" si="14"/>
        <v/>
      </c>
      <c r="H489" s="1"/>
      <c r="I489" s="1"/>
      <c r="J489" s="4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48"/>
      <c r="B490" s="1"/>
      <c r="C490" s="1"/>
      <c r="D490" s="1"/>
      <c r="E490" s="1"/>
      <c r="F490" s="1"/>
      <c r="G490" s="26" t="str">
        <f t="shared" si="14"/>
        <v/>
      </c>
      <c r="H490" s="1"/>
      <c r="I490" s="1"/>
      <c r="J490" s="4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48"/>
      <c r="B491" s="1"/>
      <c r="C491" s="1"/>
      <c r="D491" s="1"/>
      <c r="E491" s="1"/>
      <c r="F491" s="1"/>
      <c r="G491" s="26" t="str">
        <f t="shared" si="14"/>
        <v/>
      </c>
      <c r="H491" s="1"/>
      <c r="I491" s="1"/>
      <c r="J491" s="4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48"/>
      <c r="B492" s="1"/>
      <c r="C492" s="1"/>
      <c r="D492" s="1"/>
      <c r="E492" s="1"/>
      <c r="F492" s="1"/>
      <c r="G492" s="26" t="str">
        <f t="shared" si="14"/>
        <v/>
      </c>
      <c r="H492" s="1"/>
      <c r="I492" s="1"/>
      <c r="J492" s="4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48"/>
      <c r="B493" s="1"/>
      <c r="C493" s="1"/>
      <c r="D493" s="1"/>
      <c r="E493" s="1"/>
      <c r="F493" s="1"/>
      <c r="G493" s="26" t="str">
        <f t="shared" si="14"/>
        <v/>
      </c>
      <c r="H493" s="1"/>
      <c r="I493" s="1"/>
      <c r="J493" s="4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48"/>
      <c r="B494" s="1"/>
      <c r="C494" s="1"/>
      <c r="D494" s="1"/>
      <c r="E494" s="1"/>
      <c r="F494" s="1"/>
      <c r="G494" s="26" t="str">
        <f t="shared" si="14"/>
        <v/>
      </c>
      <c r="H494" s="1"/>
      <c r="I494" s="1"/>
      <c r="J494" s="4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48"/>
      <c r="B495" s="1"/>
      <c r="C495" s="1"/>
      <c r="D495" s="1"/>
      <c r="E495" s="1"/>
      <c r="F495" s="1"/>
      <c r="G495" s="26" t="str">
        <f t="shared" si="14"/>
        <v/>
      </c>
      <c r="H495" s="1"/>
      <c r="I495" s="1"/>
      <c r="J495" s="4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48"/>
      <c r="B496" s="1"/>
      <c r="C496" s="1"/>
      <c r="D496" s="1"/>
      <c r="E496" s="1"/>
      <c r="F496" s="1"/>
      <c r="G496" s="26" t="str">
        <f t="shared" si="14"/>
        <v/>
      </c>
      <c r="H496" s="1"/>
      <c r="I496" s="1"/>
      <c r="J496" s="4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48"/>
      <c r="B497" s="1"/>
      <c r="C497" s="1"/>
      <c r="D497" s="1"/>
      <c r="E497" s="1"/>
      <c r="F497" s="1"/>
      <c r="G497" s="26" t="str">
        <f t="shared" si="14"/>
        <v/>
      </c>
      <c r="H497" s="1"/>
      <c r="I497" s="1"/>
      <c r="J497" s="4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48"/>
      <c r="B498" s="1"/>
      <c r="C498" s="1"/>
      <c r="D498" s="1"/>
      <c r="E498" s="1"/>
      <c r="F498" s="1"/>
      <c r="G498" s="26" t="str">
        <f t="shared" si="14"/>
        <v/>
      </c>
      <c r="H498" s="1"/>
      <c r="I498" s="1"/>
      <c r="J498" s="4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48"/>
      <c r="B499" s="1"/>
      <c r="C499" s="1"/>
      <c r="D499" s="1"/>
      <c r="E499" s="1"/>
      <c r="F499" s="1"/>
      <c r="G499" s="26" t="str">
        <f t="shared" si="14"/>
        <v/>
      </c>
      <c r="H499" s="1"/>
      <c r="I499" s="1"/>
      <c r="J499" s="4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48"/>
      <c r="B500" s="1"/>
      <c r="C500" s="1"/>
      <c r="D500" s="1"/>
      <c r="E500" s="1"/>
      <c r="F500" s="1"/>
      <c r="G500" s="26" t="str">
        <f t="shared" si="14"/>
        <v/>
      </c>
      <c r="H500" s="1"/>
      <c r="I500" s="1"/>
      <c r="J500" s="4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48"/>
      <c r="B501" s="1"/>
      <c r="C501" s="1"/>
      <c r="D501" s="1"/>
      <c r="E501" s="1"/>
      <c r="F501" s="1"/>
      <c r="G501" s="26" t="str">
        <f t="shared" si="14"/>
        <v/>
      </c>
      <c r="H501" s="1"/>
      <c r="I501" s="1"/>
      <c r="J501" s="4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48"/>
      <c r="B502" s="1"/>
      <c r="C502" s="1"/>
      <c r="D502" s="1"/>
      <c r="E502" s="1"/>
      <c r="F502" s="1"/>
      <c r="G502" s="26" t="str">
        <f t="shared" si="14"/>
        <v/>
      </c>
      <c r="H502" s="1"/>
      <c r="I502" s="1"/>
      <c r="J502" s="4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48"/>
      <c r="B503" s="1"/>
      <c r="C503" s="1"/>
      <c r="D503" s="1"/>
      <c r="E503" s="1"/>
      <c r="F503" s="1"/>
      <c r="G503" s="26" t="str">
        <f t="shared" si="14"/>
        <v/>
      </c>
      <c r="H503" s="1"/>
      <c r="I503" s="1"/>
      <c r="J503" s="4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48"/>
      <c r="B504" s="1"/>
      <c r="C504" s="1"/>
      <c r="D504" s="1"/>
      <c r="E504" s="1"/>
      <c r="F504" s="1"/>
      <c r="G504" s="26" t="str">
        <f t="shared" si="14"/>
        <v/>
      </c>
      <c r="H504" s="1"/>
      <c r="I504" s="1"/>
      <c r="J504" s="4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48"/>
      <c r="B505" s="1"/>
      <c r="C505" s="1"/>
      <c r="D505" s="1"/>
      <c r="E505" s="1"/>
      <c r="F505" s="1"/>
      <c r="G505" s="26" t="str">
        <f t="shared" si="14"/>
        <v/>
      </c>
      <c r="H505" s="1"/>
      <c r="I505" s="1"/>
      <c r="J505" s="4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48"/>
      <c r="B506" s="1"/>
      <c r="C506" s="1"/>
      <c r="D506" s="1"/>
      <c r="E506" s="1"/>
      <c r="F506" s="1"/>
      <c r="G506" s="26" t="str">
        <f t="shared" si="14"/>
        <v/>
      </c>
      <c r="H506" s="1"/>
      <c r="I506" s="1"/>
      <c r="J506" s="4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48"/>
      <c r="B507" s="1"/>
      <c r="C507" s="1"/>
      <c r="D507" s="1"/>
      <c r="E507" s="1"/>
      <c r="F507" s="1"/>
      <c r="G507" s="26" t="str">
        <f t="shared" si="14"/>
        <v/>
      </c>
      <c r="H507" s="1"/>
      <c r="I507" s="1"/>
      <c r="J507" s="4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48"/>
      <c r="B508" s="1"/>
      <c r="C508" s="1"/>
      <c r="D508" s="1"/>
      <c r="E508" s="1"/>
      <c r="F508" s="1"/>
      <c r="G508" s="26" t="str">
        <f t="shared" si="14"/>
        <v/>
      </c>
      <c r="H508" s="1"/>
      <c r="I508" s="1"/>
      <c r="J508" s="4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48"/>
      <c r="B509" s="1"/>
      <c r="C509" s="1"/>
      <c r="D509" s="1"/>
      <c r="E509" s="1"/>
      <c r="F509" s="1"/>
      <c r="G509" s="26" t="str">
        <f t="shared" si="14"/>
        <v/>
      </c>
      <c r="H509" s="1"/>
      <c r="I509" s="1"/>
      <c r="J509" s="4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48"/>
      <c r="B510" s="1"/>
      <c r="C510" s="1"/>
      <c r="D510" s="1"/>
      <c r="E510" s="1"/>
      <c r="F510" s="1"/>
      <c r="G510" s="26" t="str">
        <f t="shared" si="14"/>
        <v/>
      </c>
      <c r="H510" s="1"/>
      <c r="I510" s="1"/>
      <c r="J510" s="4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48"/>
      <c r="B511" s="1"/>
      <c r="C511" s="1"/>
      <c r="D511" s="1"/>
      <c r="E511" s="1"/>
      <c r="F511" s="1"/>
      <c r="G511" s="26" t="str">
        <f t="shared" si="14"/>
        <v/>
      </c>
      <c r="H511" s="1"/>
      <c r="I511" s="1"/>
      <c r="J511" s="4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48"/>
      <c r="B512" s="1"/>
      <c r="C512" s="1"/>
      <c r="D512" s="1"/>
      <c r="E512" s="1"/>
      <c r="F512" s="1"/>
      <c r="G512" s="26" t="str">
        <f t="shared" si="14"/>
        <v/>
      </c>
      <c r="H512" s="1"/>
      <c r="I512" s="1"/>
      <c r="J512" s="4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48"/>
      <c r="B513" s="1"/>
      <c r="C513" s="1"/>
      <c r="D513" s="1"/>
      <c r="E513" s="1"/>
      <c r="F513" s="1"/>
      <c r="G513" s="26" t="str">
        <f t="shared" ref="G513:G556" si="15">IF(OR(C513 ="Buy",C513 ="Sell" ),M513*1.005,"")</f>
        <v/>
      </c>
      <c r="H513" s="1"/>
      <c r="I513" s="1"/>
      <c r="J513" s="4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48"/>
      <c r="B514" s="1"/>
      <c r="C514" s="1"/>
      <c r="D514" s="1"/>
      <c r="E514" s="1"/>
      <c r="F514" s="1"/>
      <c r="G514" s="26" t="str">
        <f t="shared" si="15"/>
        <v/>
      </c>
      <c r="H514" s="1"/>
      <c r="I514" s="1"/>
      <c r="J514" s="4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48"/>
      <c r="B515" s="1"/>
      <c r="C515" s="1"/>
      <c r="D515" s="1"/>
      <c r="E515" s="1"/>
      <c r="F515" s="1"/>
      <c r="G515" s="26" t="str">
        <f t="shared" si="15"/>
        <v/>
      </c>
      <c r="H515" s="1"/>
      <c r="I515" s="1"/>
      <c r="J515" s="4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48"/>
      <c r="B516" s="1"/>
      <c r="C516" s="1"/>
      <c r="D516" s="1"/>
      <c r="E516" s="1"/>
      <c r="F516" s="1"/>
      <c r="G516" s="26" t="str">
        <f t="shared" si="15"/>
        <v/>
      </c>
      <c r="H516" s="1"/>
      <c r="I516" s="1"/>
      <c r="J516" s="4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48"/>
      <c r="B517" s="1"/>
      <c r="C517" s="1"/>
      <c r="D517" s="1"/>
      <c r="E517" s="1"/>
      <c r="F517" s="1"/>
      <c r="G517" s="26" t="str">
        <f t="shared" si="15"/>
        <v/>
      </c>
      <c r="H517" s="1"/>
      <c r="I517" s="1"/>
      <c r="J517" s="4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48"/>
      <c r="B518" s="1"/>
      <c r="C518" s="1"/>
      <c r="D518" s="1"/>
      <c r="E518" s="1"/>
      <c r="F518" s="1"/>
      <c r="G518" s="26" t="str">
        <f t="shared" si="15"/>
        <v/>
      </c>
      <c r="H518" s="1"/>
      <c r="I518" s="1"/>
      <c r="J518" s="4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48"/>
      <c r="B519" s="1"/>
      <c r="C519" s="1"/>
      <c r="D519" s="1"/>
      <c r="E519" s="1"/>
      <c r="F519" s="1"/>
      <c r="G519" s="26" t="str">
        <f t="shared" si="15"/>
        <v/>
      </c>
      <c r="H519" s="1"/>
      <c r="I519" s="1"/>
      <c r="J519" s="4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48"/>
      <c r="B520" s="1"/>
      <c r="C520" s="1"/>
      <c r="D520" s="1"/>
      <c r="E520" s="1"/>
      <c r="F520" s="1"/>
      <c r="G520" s="26" t="str">
        <f t="shared" si="15"/>
        <v/>
      </c>
      <c r="H520" s="1"/>
      <c r="I520" s="1"/>
      <c r="J520" s="4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48"/>
      <c r="B521" s="1"/>
      <c r="C521" s="1"/>
      <c r="D521" s="1"/>
      <c r="E521" s="1"/>
      <c r="F521" s="1"/>
      <c r="G521" s="26" t="str">
        <f t="shared" si="15"/>
        <v/>
      </c>
      <c r="H521" s="1"/>
      <c r="I521" s="1"/>
      <c r="J521" s="4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48"/>
      <c r="B522" s="1"/>
      <c r="C522" s="1"/>
      <c r="D522" s="1"/>
      <c r="E522" s="1"/>
      <c r="F522" s="1"/>
      <c r="G522" s="26" t="str">
        <f t="shared" si="15"/>
        <v/>
      </c>
      <c r="H522" s="1"/>
      <c r="I522" s="1"/>
      <c r="J522" s="4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48"/>
      <c r="B523" s="1"/>
      <c r="C523" s="1"/>
      <c r="D523" s="1"/>
      <c r="E523" s="1"/>
      <c r="F523" s="1"/>
      <c r="G523" s="26" t="str">
        <f t="shared" si="15"/>
        <v/>
      </c>
      <c r="H523" s="1"/>
      <c r="I523" s="1"/>
      <c r="J523" s="4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48"/>
      <c r="B524" s="1"/>
      <c r="C524" s="1"/>
      <c r="D524" s="1"/>
      <c r="E524" s="1"/>
      <c r="F524" s="1"/>
      <c r="G524" s="26" t="str">
        <f t="shared" si="15"/>
        <v/>
      </c>
      <c r="H524" s="1"/>
      <c r="I524" s="1"/>
      <c r="J524" s="4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48"/>
      <c r="B525" s="1"/>
      <c r="C525" s="1"/>
      <c r="D525" s="1"/>
      <c r="E525" s="1"/>
      <c r="F525" s="1"/>
      <c r="G525" s="26" t="str">
        <f t="shared" si="15"/>
        <v/>
      </c>
      <c r="H525" s="1"/>
      <c r="I525" s="1"/>
      <c r="J525" s="4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48"/>
      <c r="B526" s="1"/>
      <c r="C526" s="1"/>
      <c r="D526" s="1"/>
      <c r="E526" s="1"/>
      <c r="F526" s="1"/>
      <c r="G526" s="26" t="str">
        <f t="shared" si="15"/>
        <v/>
      </c>
      <c r="H526" s="1"/>
      <c r="I526" s="1"/>
      <c r="J526" s="4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48"/>
      <c r="B527" s="1"/>
      <c r="C527" s="1"/>
      <c r="D527" s="1"/>
      <c r="E527" s="1"/>
      <c r="F527" s="1"/>
      <c r="G527" s="26" t="str">
        <f t="shared" si="15"/>
        <v/>
      </c>
      <c r="H527" s="1"/>
      <c r="I527" s="1"/>
      <c r="J527" s="4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48"/>
      <c r="B528" s="1"/>
      <c r="C528" s="1"/>
      <c r="D528" s="1"/>
      <c r="E528" s="1"/>
      <c r="F528" s="1"/>
      <c r="G528" s="26" t="str">
        <f t="shared" si="15"/>
        <v/>
      </c>
      <c r="H528" s="1"/>
      <c r="I528" s="1"/>
      <c r="J528" s="4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48"/>
      <c r="B529" s="1"/>
      <c r="C529" s="1"/>
      <c r="D529" s="1"/>
      <c r="E529" s="1"/>
      <c r="F529" s="1"/>
      <c r="G529" s="26" t="str">
        <f t="shared" si="15"/>
        <v/>
      </c>
      <c r="H529" s="1"/>
      <c r="I529" s="1"/>
      <c r="J529" s="4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48"/>
      <c r="B530" s="1"/>
      <c r="C530" s="1"/>
      <c r="D530" s="1"/>
      <c r="E530" s="1"/>
      <c r="F530" s="1"/>
      <c r="G530" s="26" t="str">
        <f t="shared" si="15"/>
        <v/>
      </c>
      <c r="H530" s="1"/>
      <c r="I530" s="1"/>
      <c r="J530" s="4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48"/>
      <c r="B531" s="1"/>
      <c r="C531" s="1"/>
      <c r="D531" s="1"/>
      <c r="E531" s="1"/>
      <c r="F531" s="1"/>
      <c r="G531" s="26" t="str">
        <f t="shared" si="15"/>
        <v/>
      </c>
      <c r="H531" s="1"/>
      <c r="I531" s="1"/>
      <c r="J531" s="4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48"/>
      <c r="B532" s="1"/>
      <c r="C532" s="1"/>
      <c r="D532" s="1"/>
      <c r="E532" s="1"/>
      <c r="F532" s="1"/>
      <c r="G532" s="26" t="str">
        <f t="shared" si="15"/>
        <v/>
      </c>
      <c r="H532" s="1"/>
      <c r="I532" s="1"/>
      <c r="J532" s="4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48"/>
      <c r="B533" s="1"/>
      <c r="C533" s="1"/>
      <c r="D533" s="1"/>
      <c r="E533" s="1"/>
      <c r="F533" s="1"/>
      <c r="G533" s="26" t="str">
        <f t="shared" si="15"/>
        <v/>
      </c>
      <c r="H533" s="1"/>
      <c r="I533" s="1"/>
      <c r="J533" s="4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48"/>
      <c r="B534" s="1"/>
      <c r="C534" s="1"/>
      <c r="D534" s="1"/>
      <c r="E534" s="1"/>
      <c r="F534" s="1"/>
      <c r="G534" s="26" t="str">
        <f t="shared" si="15"/>
        <v/>
      </c>
      <c r="H534" s="1"/>
      <c r="I534" s="1"/>
      <c r="J534" s="4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48"/>
      <c r="B535" s="1"/>
      <c r="C535" s="1"/>
      <c r="D535" s="1"/>
      <c r="E535" s="1"/>
      <c r="F535" s="1"/>
      <c r="G535" s="26" t="str">
        <f t="shared" si="15"/>
        <v/>
      </c>
      <c r="H535" s="1"/>
      <c r="I535" s="1"/>
      <c r="J535" s="4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48"/>
      <c r="B536" s="1"/>
      <c r="C536" s="1"/>
      <c r="D536" s="1"/>
      <c r="E536" s="1"/>
      <c r="F536" s="1"/>
      <c r="G536" s="26" t="str">
        <f t="shared" si="15"/>
        <v/>
      </c>
      <c r="H536" s="1"/>
      <c r="I536" s="1"/>
      <c r="J536" s="4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48"/>
      <c r="B537" s="1"/>
      <c r="C537" s="1"/>
      <c r="D537" s="1"/>
      <c r="E537" s="1"/>
      <c r="F537" s="1"/>
      <c r="G537" s="26" t="str">
        <f t="shared" si="15"/>
        <v/>
      </c>
      <c r="H537" s="1"/>
      <c r="I537" s="1"/>
      <c r="J537" s="4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48"/>
      <c r="B538" s="1"/>
      <c r="C538" s="1"/>
      <c r="D538" s="1"/>
      <c r="E538" s="1"/>
      <c r="F538" s="1"/>
      <c r="G538" s="26" t="str">
        <f t="shared" si="15"/>
        <v/>
      </c>
      <c r="H538" s="1"/>
      <c r="I538" s="1"/>
      <c r="J538" s="4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48"/>
      <c r="B539" s="1"/>
      <c r="C539" s="1"/>
      <c r="D539" s="1"/>
      <c r="E539" s="1"/>
      <c r="F539" s="1"/>
      <c r="G539" s="26" t="str">
        <f t="shared" si="15"/>
        <v/>
      </c>
      <c r="H539" s="1"/>
      <c r="I539" s="1"/>
      <c r="J539" s="4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48"/>
      <c r="B540" s="1"/>
      <c r="C540" s="1"/>
      <c r="D540" s="1"/>
      <c r="E540" s="1"/>
      <c r="F540" s="1"/>
      <c r="G540" s="26" t="str">
        <f t="shared" si="15"/>
        <v/>
      </c>
      <c r="H540" s="1"/>
      <c r="I540" s="1"/>
      <c r="J540" s="4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48"/>
      <c r="B541" s="1"/>
      <c r="C541" s="1"/>
      <c r="D541" s="1"/>
      <c r="E541" s="1"/>
      <c r="F541" s="1"/>
      <c r="G541" s="26" t="str">
        <f t="shared" si="15"/>
        <v/>
      </c>
      <c r="H541" s="1"/>
      <c r="I541" s="1"/>
      <c r="J541" s="4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48"/>
      <c r="B542" s="1"/>
      <c r="C542" s="1"/>
      <c r="D542" s="1"/>
      <c r="E542" s="1"/>
      <c r="F542" s="1"/>
      <c r="G542" s="26" t="str">
        <f t="shared" si="15"/>
        <v/>
      </c>
      <c r="H542" s="1"/>
      <c r="I542" s="1"/>
      <c r="J542" s="4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48"/>
      <c r="B543" s="1"/>
      <c r="C543" s="1"/>
      <c r="D543" s="1"/>
      <c r="E543" s="1"/>
      <c r="F543" s="1"/>
      <c r="G543" s="26" t="str">
        <f t="shared" si="15"/>
        <v/>
      </c>
      <c r="H543" s="1"/>
      <c r="I543" s="1"/>
      <c r="J543" s="4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48"/>
      <c r="B544" s="1"/>
      <c r="C544" s="1"/>
      <c r="D544" s="1"/>
      <c r="E544" s="1"/>
      <c r="F544" s="1"/>
      <c r="G544" s="26" t="str">
        <f t="shared" si="15"/>
        <v/>
      </c>
      <c r="H544" s="1"/>
      <c r="I544" s="1"/>
      <c r="J544" s="4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48"/>
      <c r="B545" s="1"/>
      <c r="C545" s="1"/>
      <c r="D545" s="1"/>
      <c r="E545" s="1"/>
      <c r="F545" s="1"/>
      <c r="G545" s="26" t="str">
        <f t="shared" si="15"/>
        <v/>
      </c>
      <c r="H545" s="1"/>
      <c r="I545" s="1"/>
      <c r="J545" s="4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48"/>
      <c r="B546" s="1"/>
      <c r="C546" s="1"/>
      <c r="D546" s="1"/>
      <c r="E546" s="1"/>
      <c r="F546" s="1"/>
      <c r="G546" s="26" t="str">
        <f t="shared" si="15"/>
        <v/>
      </c>
      <c r="H546" s="1"/>
      <c r="I546" s="1"/>
      <c r="J546" s="4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48"/>
      <c r="B547" s="1"/>
      <c r="C547" s="1"/>
      <c r="D547" s="1"/>
      <c r="E547" s="1"/>
      <c r="F547" s="1"/>
      <c r="G547" s="26" t="str">
        <f t="shared" si="15"/>
        <v/>
      </c>
      <c r="H547" s="1"/>
      <c r="I547" s="1"/>
      <c r="J547" s="4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48"/>
      <c r="B548" s="1"/>
      <c r="C548" s="1"/>
      <c r="D548" s="1"/>
      <c r="E548" s="1"/>
      <c r="F548" s="1"/>
      <c r="G548" s="26" t="str">
        <f t="shared" si="15"/>
        <v/>
      </c>
      <c r="H548" s="1"/>
      <c r="I548" s="1"/>
      <c r="J548" s="4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48"/>
      <c r="B549" s="1"/>
      <c r="C549" s="1"/>
      <c r="D549" s="1"/>
      <c r="E549" s="1"/>
      <c r="F549" s="1"/>
      <c r="G549" s="26" t="str">
        <f t="shared" si="15"/>
        <v/>
      </c>
      <c r="H549" s="1"/>
      <c r="I549" s="1"/>
      <c r="J549" s="4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48"/>
      <c r="B550" s="1"/>
      <c r="C550" s="1"/>
      <c r="D550" s="1"/>
      <c r="E550" s="1"/>
      <c r="F550" s="1"/>
      <c r="G550" s="26" t="str">
        <f t="shared" si="15"/>
        <v/>
      </c>
      <c r="H550" s="1"/>
      <c r="I550" s="1"/>
      <c r="J550" s="4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48"/>
      <c r="B551" s="1"/>
      <c r="C551" s="1"/>
      <c r="D551" s="1"/>
      <c r="E551" s="1"/>
      <c r="F551" s="1"/>
      <c r="G551" s="26" t="str">
        <f t="shared" si="15"/>
        <v/>
      </c>
      <c r="H551" s="1"/>
      <c r="I551" s="1"/>
      <c r="J551" s="4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48"/>
      <c r="B552" s="1"/>
      <c r="C552" s="1"/>
      <c r="D552" s="1"/>
      <c r="E552" s="1"/>
      <c r="F552" s="1"/>
      <c r="G552" s="26" t="str">
        <f t="shared" si="15"/>
        <v/>
      </c>
      <c r="H552" s="1"/>
      <c r="I552" s="1"/>
      <c r="J552" s="4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48"/>
      <c r="B553" s="1"/>
      <c r="C553" s="1"/>
      <c r="D553" s="1"/>
      <c r="E553" s="1"/>
      <c r="F553" s="1"/>
      <c r="G553" s="26" t="str">
        <f t="shared" si="15"/>
        <v/>
      </c>
      <c r="H553" s="1"/>
      <c r="I553" s="1"/>
      <c r="J553" s="4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48"/>
      <c r="B554" s="1"/>
      <c r="C554" s="1"/>
      <c r="D554" s="1"/>
      <c r="E554" s="1"/>
      <c r="F554" s="1"/>
      <c r="G554" s="26" t="str">
        <f t="shared" si="15"/>
        <v/>
      </c>
      <c r="H554" s="1"/>
      <c r="I554" s="1"/>
      <c r="J554" s="4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48"/>
      <c r="B555" s="1"/>
      <c r="C555" s="1"/>
      <c r="D555" s="1"/>
      <c r="E555" s="1"/>
      <c r="F555" s="1"/>
      <c r="G555" s="26" t="str">
        <f t="shared" si="15"/>
        <v/>
      </c>
      <c r="H555" s="1"/>
      <c r="I555" s="1"/>
      <c r="J555" s="4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48"/>
      <c r="B556" s="1"/>
      <c r="C556" s="1"/>
      <c r="D556" s="1"/>
      <c r="E556" s="1"/>
      <c r="F556" s="1"/>
      <c r="G556" s="26" t="str">
        <f t="shared" si="15"/>
        <v/>
      </c>
      <c r="H556" s="1"/>
      <c r="I556" s="1"/>
      <c r="J556" s="4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</sheetData>
  <mergeCells count="2">
    <mergeCell ref="U1:W1"/>
    <mergeCell ref="U9:W9"/>
  </mergeCells>
  <conditionalFormatting sqref="K1">
    <cfRule type="expression" dxfId="3" priority="1">
      <formula>$C3="Sell"</formula>
    </cfRule>
  </conditionalFormatting>
  <conditionalFormatting sqref="K1">
    <cfRule type="expression" dxfId="2" priority="2">
      <formula>$C3="Buy"</formula>
    </cfRule>
  </conditionalFormatting>
  <conditionalFormatting sqref="A3:C556 E3:J556 K3:K176 D46 D52:D556">
    <cfRule type="expression" dxfId="1" priority="3">
      <formula>$C3="Sell"</formula>
    </cfRule>
  </conditionalFormatting>
  <conditionalFormatting sqref="A3:C556 E3:J556 K3:K176 D46 D52:D556">
    <cfRule type="expression" dxfId="0" priority="4">
      <formula>$C3="Buy"</formula>
    </cfRule>
  </conditionalFormatting>
  <dataValidations count="1">
    <dataValidation type="list" allowBlank="1" showErrorMessage="1" sqref="C3:C556" xr:uid="{DA445F1C-9C96-4C5D-A1C4-9972A09B196E}">
      <formula1>"Buy,Sell,Cash Deposit,Cash Withdrawal,Fees,Cash Dividend,Dividend Reinvestment"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Patel</dc:creator>
  <cp:lastModifiedBy>Saumya Patel</cp:lastModifiedBy>
  <dcterms:created xsi:type="dcterms:W3CDTF">2024-08-10T21:30:43Z</dcterms:created>
  <dcterms:modified xsi:type="dcterms:W3CDTF">2024-08-14T11:11:25Z</dcterms:modified>
</cp:coreProperties>
</file>