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H60" i="1"/>
  <c r="D60" i="1"/>
  <c r="E60" i="1"/>
  <c r="F60" i="1"/>
  <c r="G60" i="1"/>
  <c r="C60" i="1"/>
  <c r="B57" i="1"/>
  <c r="B55" i="1" l="1"/>
  <c r="C42" i="1"/>
  <c r="C55" i="1"/>
  <c r="D55" i="1"/>
  <c r="E55" i="1"/>
  <c r="F55" i="1"/>
  <c r="G55" i="1"/>
  <c r="H55" i="1"/>
  <c r="I22" i="1"/>
  <c r="H20" i="1"/>
  <c r="C53" i="1"/>
  <c r="D42" i="1"/>
  <c r="E42" i="1"/>
  <c r="F42" i="1"/>
  <c r="G42" i="1"/>
  <c r="H42" i="1"/>
  <c r="H19" i="1"/>
  <c r="D53" i="1"/>
  <c r="E53" i="1"/>
  <c r="F53" i="1"/>
  <c r="G53" i="1"/>
  <c r="H53" i="1"/>
  <c r="C40" i="1"/>
  <c r="C51" i="1" l="1"/>
  <c r="D51" i="1" s="1"/>
  <c r="D50" i="1"/>
  <c r="C50" i="1"/>
  <c r="E45" i="1"/>
  <c r="F45" i="1"/>
  <c r="C45" i="1"/>
  <c r="D45" i="1"/>
  <c r="G45" i="1"/>
  <c r="H45" i="1"/>
  <c r="H30" i="1"/>
  <c r="H26" i="1"/>
  <c r="H29" i="1"/>
  <c r="I20" i="1"/>
  <c r="H23" i="1"/>
  <c r="H24" i="1"/>
  <c r="H25" i="1"/>
  <c r="I19" i="1"/>
  <c r="G9" i="1"/>
  <c r="D7" i="1"/>
  <c r="D26" i="1" l="1"/>
  <c r="I16" i="1"/>
  <c r="B20" i="1"/>
  <c r="D21" i="1" l="1"/>
  <c r="D23" i="1"/>
  <c r="G38" i="1" l="1"/>
  <c r="G40" i="1" s="1"/>
  <c r="G37" i="1"/>
  <c r="B41" i="1"/>
  <c r="D41" i="1"/>
  <c r="E41" i="1"/>
  <c r="F41" i="1"/>
  <c r="H41" i="1"/>
  <c r="C41" i="1"/>
  <c r="D40" i="1"/>
  <c r="E40" i="1"/>
  <c r="F40" i="1"/>
  <c r="H40" i="1"/>
  <c r="B40" i="1"/>
  <c r="C29" i="1"/>
  <c r="D29" i="1" s="1"/>
  <c r="C30" i="1"/>
  <c r="D30" i="1" s="1"/>
  <c r="C28" i="1"/>
  <c r="D28" i="1" s="1"/>
  <c r="C26" i="1"/>
  <c r="B22" i="1"/>
  <c r="B15" i="1"/>
  <c r="B18" i="1" s="1"/>
  <c r="C14" i="1"/>
  <c r="B14" i="1"/>
  <c r="D14" i="1" s="1"/>
  <c r="C13" i="1"/>
  <c r="D13" i="1" s="1"/>
  <c r="H5" i="1"/>
  <c r="C12" i="1"/>
  <c r="D12" i="1" s="1"/>
  <c r="C11" i="1"/>
  <c r="D11" i="1" s="1"/>
  <c r="C9" i="1"/>
  <c r="C3" i="1"/>
  <c r="D3" i="1" s="1"/>
  <c r="C4" i="1"/>
  <c r="D4" i="1" s="1"/>
  <c r="C5" i="1"/>
  <c r="D5" i="1" s="1"/>
  <c r="C6" i="1"/>
  <c r="D6" i="1" s="1"/>
  <c r="C8" i="1"/>
  <c r="C2" i="1"/>
  <c r="D2" i="1" s="1"/>
  <c r="G41" i="1" l="1"/>
  <c r="B7" i="1"/>
  <c r="D9" i="1" s="1"/>
</calcChain>
</file>

<file path=xl/sharedStrings.xml><?xml version="1.0" encoding="utf-8"?>
<sst xmlns="http://schemas.openxmlformats.org/spreadsheetml/2006/main" count="59" uniqueCount="57">
  <si>
    <t xml:space="preserve">Кол-во полупериодов, маятник пустой </t>
  </si>
  <si>
    <t>Кол-во периодов пустого маятника</t>
  </si>
  <si>
    <t xml:space="preserve">Период колебаний пустого маятника, с </t>
  </si>
  <si>
    <t>Время, с</t>
  </si>
  <si>
    <t>Длина нити, см</t>
  </si>
  <si>
    <t xml:space="preserve">Радиус платформы, см </t>
  </si>
  <si>
    <t>T среднее</t>
  </si>
  <si>
    <t xml:space="preserve">расчет тау </t>
  </si>
  <si>
    <t xml:space="preserve">Рабочий диапазон амплитуд колебаний  . Меньш  и большо </t>
  </si>
  <si>
    <t>10Гр</t>
  </si>
  <si>
    <t>5 гр</t>
  </si>
  <si>
    <t>10 гр</t>
  </si>
  <si>
    <t>20 гр</t>
  </si>
  <si>
    <t>z0</t>
  </si>
  <si>
    <t xml:space="preserve">R </t>
  </si>
  <si>
    <t>30,2(+-0,3)мм</t>
  </si>
  <si>
    <t>11,46 (+-0,05)см</t>
  </si>
  <si>
    <t xml:space="preserve"> малое r</t>
  </si>
  <si>
    <t>k</t>
  </si>
  <si>
    <t>m</t>
  </si>
  <si>
    <t>(1066,8+-0,5)г</t>
  </si>
  <si>
    <t>I 0</t>
  </si>
  <si>
    <t>m одного полуцилиндра , г</t>
  </si>
  <si>
    <t>м двух полуцилиндров, г</t>
  </si>
  <si>
    <t>м кольца, г 0</t>
  </si>
  <si>
    <t xml:space="preserve">812, 46 </t>
  </si>
  <si>
    <t xml:space="preserve">T с двумя цилиндрами </t>
  </si>
  <si>
    <t xml:space="preserve">Кол-во периодов установки </t>
  </si>
  <si>
    <t>Период колебаний установки</t>
  </si>
  <si>
    <t>T с кольцом С ЦИЛИНДРОМ</t>
  </si>
  <si>
    <t xml:space="preserve">T с кольцом </t>
  </si>
  <si>
    <t>2h,см</t>
  </si>
  <si>
    <t>h,см</t>
  </si>
  <si>
    <t>,с</t>
  </si>
  <si>
    <t>,</t>
  </si>
  <si>
    <t>T ср,с</t>
  </si>
  <si>
    <t>r полуцилиндра, мм</t>
  </si>
  <si>
    <t>r кольца, мм</t>
  </si>
  <si>
    <t>m цилиндра</t>
  </si>
  <si>
    <t>r цилиндра</t>
  </si>
  <si>
    <t>T палтформа + цилиндр</t>
  </si>
  <si>
    <t xml:space="preserve">I общ </t>
  </si>
  <si>
    <t>gkfnajhvf</t>
  </si>
  <si>
    <t>палтформа</t>
  </si>
  <si>
    <t>дk</t>
  </si>
  <si>
    <t>I' погрешность</t>
  </si>
  <si>
    <t xml:space="preserve">I' </t>
  </si>
  <si>
    <t>I кольцо платформа</t>
  </si>
  <si>
    <t>Iпогр колцо платформа</t>
  </si>
  <si>
    <t>суперсистема</t>
  </si>
  <si>
    <t>погрешность суперсистемы</t>
  </si>
  <si>
    <t>теория</t>
  </si>
  <si>
    <t>кольцо</t>
  </si>
  <si>
    <t>цилиндр</t>
  </si>
  <si>
    <t xml:space="preserve">погрешность </t>
  </si>
  <si>
    <t>h^2, см</t>
  </si>
  <si>
    <t>I * 10^-4 кг*м*м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</si>
</sst>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момента инерции системы от расстояния половинок до оси вращения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Лист1!$B$60:$H$60</c:f>
              <c:numCache>
                <c:formatCode>0.00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2.25</c:v>
                </c:pt>
                <c:pt idx="4">
                  <c:v>4</c:v>
                </c:pt>
                <c:pt idx="5">
                  <c:v>6.25</c:v>
                </c:pt>
                <c:pt idx="6">
                  <c:v>9</c:v>
                </c:pt>
              </c:numCache>
            </c:numRef>
          </c:xVal>
          <c:yVal>
            <c:numRef>
              <c:f>Лист1!$B$61:$H$61</c:f>
              <c:numCache>
                <c:formatCode>General</c:formatCode>
                <c:ptCount val="7"/>
                <c:pt idx="0">
                  <c:v>98.46</c:v>
                </c:pt>
                <c:pt idx="1">
                  <c:v>98.82</c:v>
                </c:pt>
                <c:pt idx="2">
                  <c:v>99.9</c:v>
                </c:pt>
                <c:pt idx="3">
                  <c:v>101.7</c:v>
                </c:pt>
                <c:pt idx="4">
                  <c:v>104.23</c:v>
                </c:pt>
                <c:pt idx="5">
                  <c:v>107.47</c:v>
                </c:pt>
                <c:pt idx="6">
                  <c:v>111.44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0-4174-A069-4C11A43B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82928"/>
        <c:axId val="1512508304"/>
      </c:scatterChart>
      <c:valAx>
        <c:axId val="15124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h^2, </a:t>
                </a:r>
                <a:r>
                  <a:rPr lang="ru-RU"/>
                  <a:t>см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86131746286816191"/>
              <c:y val="0.86311745334796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508304"/>
        <c:crosses val="autoZero"/>
        <c:crossBetween val="midCat"/>
      </c:valAx>
      <c:valAx>
        <c:axId val="15125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* 10^-4 </a:t>
                </a:r>
                <a:r>
                  <a:rPr lang="ru-RU"/>
                  <a:t>кг*м*м</a:t>
                </a:r>
              </a:p>
            </c:rich>
          </c:tx>
          <c:layout>
            <c:manualLayout>
              <c:xMode val="edge"/>
              <c:yMode val="edge"/>
              <c:x val="2.1865889212827987E-2"/>
              <c:y val="0.2649956351504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0</xdr:col>
      <xdr:colOff>91440</xdr:colOff>
      <xdr:row>36</xdr:row>
      <xdr:rowOff>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652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182880</xdr:colOff>
      <xdr:row>37</xdr:row>
      <xdr:rowOff>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828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60960</xdr:colOff>
      <xdr:row>42</xdr:row>
      <xdr:rowOff>7620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244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350520</xdr:colOff>
      <xdr:row>43</xdr:row>
      <xdr:rowOff>7620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0560"/>
          <a:ext cx="3505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243840</xdr:colOff>
      <xdr:row>44</xdr:row>
      <xdr:rowOff>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868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152400</xdr:colOff>
      <xdr:row>45</xdr:row>
      <xdr:rowOff>7620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4420"/>
          <a:ext cx="1524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350520</xdr:colOff>
      <xdr:row>46</xdr:row>
      <xdr:rowOff>7620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2540"/>
          <a:ext cx="3505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243840</xdr:colOff>
      <xdr:row>47</xdr:row>
      <xdr:rowOff>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066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137160</xdr:colOff>
      <xdr:row>41</xdr:row>
      <xdr:rowOff>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5220"/>
          <a:ext cx="1371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1234440</xdr:colOff>
      <xdr:row>63</xdr:row>
      <xdr:rowOff>26670</xdr:rowOff>
    </xdr:from>
    <xdr:to>
      <xdr:col>3</xdr:col>
      <xdr:colOff>1150620</xdr:colOff>
      <xdr:row>82</xdr:row>
      <xdr:rowOff>22860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C1" workbookViewId="0">
      <selection activeCell="D18" sqref="D18"/>
    </sheetView>
  </sheetViews>
  <sheetFormatPr defaultRowHeight="14.4" x14ac:dyDescent="0.3"/>
  <cols>
    <col min="1" max="2" width="29.33203125" customWidth="1"/>
    <col min="3" max="3" width="18.77734375" customWidth="1"/>
    <col min="4" max="4" width="33.6640625" customWidth="1"/>
    <col min="7" max="7" width="17.109375" customWidth="1"/>
    <col min="8" max="8" width="23.21875" customWidth="1"/>
    <col min="9" max="9" width="21.88671875" customWidth="1"/>
  </cols>
  <sheetData>
    <row r="1" spans="1:9" x14ac:dyDescent="0.3">
      <c r="A1" t="s">
        <v>0</v>
      </c>
      <c r="B1" t="s">
        <v>3</v>
      </c>
      <c r="C1" t="s">
        <v>1</v>
      </c>
      <c r="D1" t="s">
        <v>2</v>
      </c>
      <c r="G1" t="s">
        <v>4</v>
      </c>
      <c r="H1" t="s">
        <v>5</v>
      </c>
    </row>
    <row r="2" spans="1:9" x14ac:dyDescent="0.3">
      <c r="A2">
        <v>100</v>
      </c>
      <c r="B2">
        <v>217.28700000000001</v>
      </c>
      <c r="C2">
        <f>A2/2</f>
        <v>50</v>
      </c>
      <c r="D2">
        <f>B2/C2</f>
        <v>4.3457400000000002</v>
      </c>
      <c r="G2">
        <v>214.1</v>
      </c>
      <c r="H2">
        <v>12.4</v>
      </c>
    </row>
    <row r="3" spans="1:9" x14ac:dyDescent="0.3">
      <c r="A3">
        <v>50</v>
      </c>
      <c r="B3">
        <v>109.83499999999999</v>
      </c>
      <c r="C3">
        <f t="shared" ref="C3:C9" si="0">A3/2</f>
        <v>25</v>
      </c>
      <c r="D3">
        <f t="shared" ref="D3:D6" si="1">B3/C3</f>
        <v>4.3933999999999997</v>
      </c>
      <c r="H3">
        <v>12.4</v>
      </c>
    </row>
    <row r="4" spans="1:9" x14ac:dyDescent="0.3">
      <c r="A4">
        <v>30</v>
      </c>
      <c r="B4">
        <v>65.974000000000004</v>
      </c>
      <c r="C4">
        <f t="shared" si="0"/>
        <v>15</v>
      </c>
      <c r="D4">
        <f t="shared" si="1"/>
        <v>4.3982666666666672</v>
      </c>
    </row>
    <row r="5" spans="1:9" x14ac:dyDescent="0.3">
      <c r="A5">
        <v>70</v>
      </c>
      <c r="B5">
        <v>153.667</v>
      </c>
      <c r="C5">
        <f t="shared" si="0"/>
        <v>35</v>
      </c>
      <c r="D5">
        <f t="shared" si="1"/>
        <v>4.3904857142857141</v>
      </c>
      <c r="H5">
        <f>H2*2*3.14159265355/36</f>
        <v>2.1642082724455558</v>
      </c>
    </row>
    <row r="6" spans="1:9" x14ac:dyDescent="0.3">
      <c r="A6">
        <v>80</v>
      </c>
      <c r="B6">
        <v>175.55600000000001</v>
      </c>
      <c r="C6">
        <f t="shared" si="0"/>
        <v>40</v>
      </c>
      <c r="D6">
        <f t="shared" si="1"/>
        <v>4.3889000000000005</v>
      </c>
    </row>
    <row r="7" spans="1:9" x14ac:dyDescent="0.3">
      <c r="A7" t="s">
        <v>6</v>
      </c>
      <c r="B7">
        <f>AVERAGE(D2:D6)</f>
        <v>4.3833584761904758</v>
      </c>
      <c r="D7">
        <f>SQRT(DEVSQ(D2:D6)/5)</f>
        <v>1.9077432235931377E-2</v>
      </c>
    </row>
    <row r="8" spans="1:9" x14ac:dyDescent="0.3">
      <c r="A8" t="s">
        <v>7</v>
      </c>
      <c r="C8" t="e">
        <f t="shared" si="0"/>
        <v>#VALUE!</v>
      </c>
    </row>
    <row r="9" spans="1:9" x14ac:dyDescent="0.3">
      <c r="A9">
        <v>100</v>
      </c>
      <c r="B9">
        <v>218.68199999999999</v>
      </c>
      <c r="C9">
        <f t="shared" si="0"/>
        <v>50</v>
      </c>
      <c r="D9">
        <f xml:space="preserve"> B7/B9</f>
        <v>2.0044441134572009E-2</v>
      </c>
      <c r="F9" t="s">
        <v>44</v>
      </c>
      <c r="G9">
        <f>(0.05/11.46+0.3/30.2+0.1/213.793)</f>
        <v>1.4764518741448508E-2</v>
      </c>
    </row>
    <row r="10" spans="1:9" x14ac:dyDescent="0.3">
      <c r="A10" t="s">
        <v>8</v>
      </c>
    </row>
    <row r="11" spans="1:9" x14ac:dyDescent="0.3">
      <c r="A11">
        <v>20</v>
      </c>
      <c r="B11">
        <v>43.506</v>
      </c>
      <c r="C11">
        <f>A11/2</f>
        <v>10</v>
      </c>
      <c r="D11">
        <f>B11/C11</f>
        <v>4.3506</v>
      </c>
      <c r="E11" t="s">
        <v>10</v>
      </c>
    </row>
    <row r="12" spans="1:9" x14ac:dyDescent="0.3">
      <c r="A12">
        <v>20</v>
      </c>
      <c r="B12">
        <v>43.82</v>
      </c>
      <c r="C12">
        <f>A12/2</f>
        <v>10</v>
      </c>
      <c r="D12">
        <f>B12/C12</f>
        <v>4.3819999999999997</v>
      </c>
      <c r="E12" t="s">
        <v>11</v>
      </c>
    </row>
    <row r="13" spans="1:9" x14ac:dyDescent="0.3">
      <c r="A13">
        <v>40</v>
      </c>
      <c r="B13">
        <v>84.811000000000007</v>
      </c>
      <c r="C13">
        <f>A13/2</f>
        <v>20</v>
      </c>
      <c r="D13">
        <f t="shared" ref="D13:D14" si="2">B13/C13</f>
        <v>4.2405500000000007</v>
      </c>
      <c r="E13" t="s">
        <v>9</v>
      </c>
    </row>
    <row r="14" spans="1:9" x14ac:dyDescent="0.3">
      <c r="A14">
        <v>40</v>
      </c>
      <c r="B14">
        <f>172.221-84.811</f>
        <v>87.41</v>
      </c>
      <c r="C14">
        <f>A14/2</f>
        <v>20</v>
      </c>
      <c r="D14">
        <f t="shared" si="2"/>
        <v>4.3704999999999998</v>
      </c>
      <c r="E14" t="s">
        <v>12</v>
      </c>
    </row>
    <row r="15" spans="1:9" x14ac:dyDescent="0.3">
      <c r="A15" t="s">
        <v>13</v>
      </c>
      <c r="B15">
        <f>SQRT(G2*G2-11.46*11.46)</f>
        <v>213.79307378865201</v>
      </c>
      <c r="G15" t="s">
        <v>38</v>
      </c>
      <c r="H15" t="s">
        <v>39</v>
      </c>
      <c r="I15" t="s">
        <v>40</v>
      </c>
    </row>
    <row r="16" spans="1:9" x14ac:dyDescent="0.3">
      <c r="A16" t="s">
        <v>14</v>
      </c>
      <c r="B16" t="s">
        <v>16</v>
      </c>
      <c r="G16">
        <v>1.4426000000000001</v>
      </c>
      <c r="H16">
        <v>4.0500000000000001E-2</v>
      </c>
      <c r="I16">
        <f>D26</f>
        <v>3.1091666666666669</v>
      </c>
    </row>
    <row r="17" spans="1:9" x14ac:dyDescent="0.3">
      <c r="A17" t="s">
        <v>17</v>
      </c>
      <c r="B17" t="s">
        <v>15</v>
      </c>
      <c r="D17">
        <f>G16*H16*H16*1000</f>
        <v>2.3662246500000004</v>
      </c>
      <c r="G17" t="s">
        <v>42</v>
      </c>
      <c r="H17" t="s">
        <v>43</v>
      </c>
    </row>
    <row r="18" spans="1:9" x14ac:dyDescent="0.3">
      <c r="A18" t="s">
        <v>18</v>
      </c>
      <c r="B18">
        <f>9.81*0.1146*0.0302/4/3.1415/3.1415/B15*100</f>
        <v>4.0228405318963275E-4</v>
      </c>
      <c r="G18">
        <v>0.81545999999999996</v>
      </c>
      <c r="I18">
        <v>4.2464570000000004</v>
      </c>
    </row>
    <row r="19" spans="1:9" x14ac:dyDescent="0.3">
      <c r="A19" t="s">
        <v>19</v>
      </c>
      <c r="B19" t="s">
        <v>20</v>
      </c>
      <c r="G19" t="s">
        <v>41</v>
      </c>
      <c r="H19">
        <f>B18*I16*I16*(G16+1.0668)</f>
        <v>9.7586719036525625E-3</v>
      </c>
      <c r="I19">
        <f>(0.05/11.46+0.3/30.2+0.1/213.793)</f>
        <v>1.4764518741448508E-2</v>
      </c>
    </row>
    <row r="20" spans="1:9" x14ac:dyDescent="0.3">
      <c r="A20" t="s">
        <v>21</v>
      </c>
      <c r="B20">
        <f>(1.0668+G16)*I16*I16*B18</f>
        <v>9.7586719036525625E-3</v>
      </c>
      <c r="H20">
        <f>I18*I18*B18*(G18+1.4426)</f>
        <v>1.6380296409023658E-2</v>
      </c>
      <c r="I20">
        <f>((0.5+0.1)/(1066.8+1442.6)+0.05/11.43+0.3/30.2+0.1/213.8+2*0.01/D26)*H19</f>
        <v>2.0930055656119751E-4</v>
      </c>
    </row>
    <row r="21" spans="1:9" x14ac:dyDescent="0.3">
      <c r="A21" t="s">
        <v>22</v>
      </c>
      <c r="B21">
        <v>721.3</v>
      </c>
      <c r="C21" t="s">
        <v>36</v>
      </c>
      <c r="D21">
        <f>81/2</f>
        <v>40.5</v>
      </c>
    </row>
    <row r="22" spans="1:9" x14ac:dyDescent="0.3">
      <c r="A22" t="s">
        <v>23</v>
      </c>
      <c r="B22">
        <f>B21*2</f>
        <v>1442.6</v>
      </c>
      <c r="I22">
        <f>H20-H24</f>
        <v>8.1345532594103102E-3</v>
      </c>
    </row>
    <row r="23" spans="1:9" x14ac:dyDescent="0.3">
      <c r="A23" t="s">
        <v>24</v>
      </c>
      <c r="B23" t="s">
        <v>25</v>
      </c>
      <c r="C23" t="s">
        <v>37</v>
      </c>
      <c r="D23">
        <f>158.3/2</f>
        <v>79.150000000000006</v>
      </c>
      <c r="G23" t="s">
        <v>45</v>
      </c>
      <c r="H23">
        <f>(0.5/1066.8+0.05/11.43+0.3/30.2+0.1/213.8+2*D7/B7)*H24</f>
        <v>1.9747835961738007E-4</v>
      </c>
    </row>
    <row r="24" spans="1:9" x14ac:dyDescent="0.3">
      <c r="A24" t="s">
        <v>26</v>
      </c>
      <c r="B24" t="s">
        <v>3</v>
      </c>
      <c r="C24" t="s">
        <v>27</v>
      </c>
      <c r="D24" t="s">
        <v>28</v>
      </c>
      <c r="G24" t="s">
        <v>46</v>
      </c>
      <c r="H24">
        <f>B18*1.0668*B7*B7</f>
        <v>8.2457431496133476E-3</v>
      </c>
    </row>
    <row r="25" spans="1:9" x14ac:dyDescent="0.3">
      <c r="G25" t="s">
        <v>47</v>
      </c>
      <c r="H25">
        <f>B18*D30*D30*(0.81246+1.0668)</f>
        <v>1.3632426906629053E-2</v>
      </c>
    </row>
    <row r="26" spans="1:9" x14ac:dyDescent="0.3">
      <c r="A26">
        <v>60</v>
      </c>
      <c r="B26">
        <v>93.275000000000006</v>
      </c>
      <c r="C26">
        <f>A26/2</f>
        <v>30</v>
      </c>
      <c r="D26">
        <f>B26/C26</f>
        <v>3.1091666666666669</v>
      </c>
      <c r="G26" t="s">
        <v>48</v>
      </c>
      <c r="H26">
        <f>((0.5+0.1)/(1066.8+812.46)+0.05/11.43+0.3/30.2+0.1/213.8+2*0.01/D30)*H25</f>
        <v>2.6999073286405173E-4</v>
      </c>
    </row>
    <row r="27" spans="1:9" x14ac:dyDescent="0.3">
      <c r="A27" t="s">
        <v>29</v>
      </c>
    </row>
    <row r="28" spans="1:9" x14ac:dyDescent="0.3">
      <c r="A28">
        <v>60</v>
      </c>
      <c r="B28">
        <v>100.65900000000001</v>
      </c>
      <c r="C28">
        <f>A28/2</f>
        <v>30</v>
      </c>
      <c r="D28">
        <f>B28/C28</f>
        <v>3.3553000000000002</v>
      </c>
    </row>
    <row r="29" spans="1:9" x14ac:dyDescent="0.3">
      <c r="A29" t="s">
        <v>30</v>
      </c>
      <c r="C29" t="e">
        <f t="shared" ref="C29:C30" si="3">A29/2</f>
        <v>#VALUE!</v>
      </c>
      <c r="D29" t="e">
        <f t="shared" ref="D29:D30" si="4">B29/C29</f>
        <v>#VALUE!</v>
      </c>
      <c r="G29" t="s">
        <v>49</v>
      </c>
      <c r="H29">
        <f>B18*D28*D28*(0.81246+1.4426+1.0668)</f>
        <v>1.5044468731744611E-2</v>
      </c>
    </row>
    <row r="30" spans="1:9" x14ac:dyDescent="0.3">
      <c r="A30">
        <v>70</v>
      </c>
      <c r="B30">
        <v>148.626</v>
      </c>
      <c r="C30">
        <f t="shared" si="3"/>
        <v>35</v>
      </c>
      <c r="D30">
        <f t="shared" si="4"/>
        <v>4.2464571428571434</v>
      </c>
      <c r="G30" t="s">
        <v>50</v>
      </c>
      <c r="H30">
        <f>((0.5+0.1+0.1)/(1066.8+812.46+1442.6)+0.05/11.43+0.3/30.2+0.1/213.8+2*0.01/D28)*H29</f>
        <v>3.1514249008745383E-4</v>
      </c>
    </row>
    <row r="33" spans="1:11" ht="15" thickBot="1" x14ac:dyDescent="0.35"/>
    <row r="34" spans="1:11" ht="16.2" thickBot="1" x14ac:dyDescent="0.35">
      <c r="A34" s="1" t="s">
        <v>31</v>
      </c>
      <c r="B34" s="2">
        <v>0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0</v>
      </c>
      <c r="J34" s="2">
        <v>0</v>
      </c>
      <c r="K34" s="2">
        <v>0</v>
      </c>
    </row>
    <row r="35" spans="1:11" ht="15.6" x14ac:dyDescent="0.3">
      <c r="A35" s="3">
        <v>2</v>
      </c>
      <c r="B35" s="17">
        <v>0.1</v>
      </c>
      <c r="C35" s="18"/>
      <c r="D35" s="18"/>
      <c r="E35" s="18"/>
      <c r="F35" s="18"/>
      <c r="G35" s="18"/>
      <c r="H35" s="18"/>
      <c r="I35" s="7"/>
      <c r="J35" s="7"/>
      <c r="K35" s="8"/>
    </row>
    <row r="36" spans="1:11" ht="16.2" thickBot="1" x14ac:dyDescent="0.35">
      <c r="A36" s="4" t="s">
        <v>32</v>
      </c>
      <c r="B36" s="19"/>
      <c r="C36" s="20"/>
      <c r="D36" s="20"/>
      <c r="E36" s="20"/>
      <c r="F36" s="20"/>
      <c r="G36" s="20"/>
      <c r="H36" s="20"/>
      <c r="I36" s="9"/>
      <c r="J36" s="9"/>
      <c r="K36" s="10"/>
    </row>
    <row r="37" spans="1:11" ht="16.2" thickBot="1" x14ac:dyDescent="0.35">
      <c r="A37" s="22" t="s">
        <v>33</v>
      </c>
      <c r="B37" s="5">
        <v>0</v>
      </c>
      <c r="C37" s="5">
        <v>3.1190000000000002</v>
      </c>
      <c r="D37" s="5">
        <v>3.1419999999999999</v>
      </c>
      <c r="E37" s="5">
        <v>3.165</v>
      </c>
      <c r="F37" s="5">
        <v>3.1989999999999998</v>
      </c>
      <c r="G37" s="5">
        <f>6.444-3.203</f>
        <v>3.2410000000000001</v>
      </c>
      <c r="H37" s="5">
        <v>3.3029999999999999</v>
      </c>
    </row>
    <row r="38" spans="1:11" ht="16.2" thickBot="1" x14ac:dyDescent="0.35">
      <c r="A38" s="23"/>
      <c r="B38" s="5">
        <v>0</v>
      </c>
      <c r="C38" s="5">
        <v>3.125</v>
      </c>
      <c r="D38" s="5">
        <v>3.1389999999999998</v>
      </c>
      <c r="E38" s="5">
        <v>3.1589999999999998</v>
      </c>
      <c r="F38" s="5">
        <v>3.2080000000000002</v>
      </c>
      <c r="G38" s="5">
        <f>34.05/10.5</f>
        <v>3.2428571428571424</v>
      </c>
      <c r="H38" s="5">
        <v>3.3029999999999999</v>
      </c>
    </row>
    <row r="39" spans="1:11" ht="16.2" thickBot="1" x14ac:dyDescent="0.35">
      <c r="A39" s="24"/>
      <c r="B39" s="5">
        <v>0</v>
      </c>
      <c r="C39" s="5">
        <v>3.1124999999999998</v>
      </c>
      <c r="D39" s="5">
        <v>3.1349999999999998</v>
      </c>
      <c r="E39" s="5">
        <v>3.173</v>
      </c>
      <c r="F39" s="5">
        <v>3.202</v>
      </c>
      <c r="G39" s="5">
        <v>3.2429999999999999</v>
      </c>
      <c r="H39" s="5">
        <v>3.3</v>
      </c>
    </row>
    <row r="40" spans="1:11" ht="16.2" thickBot="1" x14ac:dyDescent="0.35">
      <c r="A40" s="4" t="s">
        <v>35</v>
      </c>
      <c r="B40" s="5">
        <f>AVERAGE(B37:B39)</f>
        <v>0</v>
      </c>
      <c r="C40" s="5">
        <f>AVERAGE(C37:C39)</f>
        <v>3.1188333333333333</v>
      </c>
      <c r="D40" s="5">
        <f t="shared" ref="D40:H40" si="5">AVERAGE(D37:D39)</f>
        <v>3.1386666666666669</v>
      </c>
      <c r="E40" s="5">
        <f t="shared" si="5"/>
        <v>3.1656666666666666</v>
      </c>
      <c r="F40" s="5">
        <f t="shared" si="5"/>
        <v>3.2029999999999998</v>
      </c>
      <c r="G40" s="5">
        <f t="shared" si="5"/>
        <v>3.242285714285714</v>
      </c>
      <c r="H40" s="5">
        <f t="shared" si="5"/>
        <v>3.3019999999999996</v>
      </c>
    </row>
    <row r="41" spans="1:11" ht="16.2" thickBot="1" x14ac:dyDescent="0.35">
      <c r="A41" s="6"/>
      <c r="B41" s="5">
        <f>SQRT(DEVSQ(B37:B39)/3)</f>
        <v>0</v>
      </c>
      <c r="C41" s="5">
        <f>SQRT(DEVSQ(C37:C39)/3)</f>
        <v>5.1044642770379269E-3</v>
      </c>
      <c r="D41" s="5">
        <f t="shared" ref="D41:H41" si="6">SQRT(DEVSQ(D37:D39)/3)</f>
        <v>2.8674417556809211E-3</v>
      </c>
      <c r="E41" s="5">
        <f t="shared" si="6"/>
        <v>5.7348835113618423E-3</v>
      </c>
      <c r="F41" s="5">
        <f t="shared" si="6"/>
        <v>3.7416573867740835E-3</v>
      </c>
      <c r="G41" s="5">
        <f t="shared" si="6"/>
        <v>9.1100602236692809E-4</v>
      </c>
      <c r="H41" s="5">
        <f t="shared" si="6"/>
        <v>1.4142135623731486E-3</v>
      </c>
    </row>
    <row r="42" spans="1:11" x14ac:dyDescent="0.3">
      <c r="A42" s="22" t="s">
        <v>34</v>
      </c>
      <c r="B42" s="14">
        <v>16</v>
      </c>
      <c r="C42" s="14">
        <f>($B$42+$G$16*C34*C34/4)</f>
        <v>16.36065</v>
      </c>
      <c r="D42" s="14">
        <f t="shared" ref="D42:H42" si="7">($B$42+$G$16*D34*D34/4)</f>
        <v>17.442599999999999</v>
      </c>
      <c r="E42" s="14">
        <f t="shared" si="7"/>
        <v>19.245850000000001</v>
      </c>
      <c r="F42" s="14">
        <f t="shared" si="7"/>
        <v>21.770400000000002</v>
      </c>
      <c r="G42" s="14">
        <f t="shared" si="7"/>
        <v>25.016249999999999</v>
      </c>
      <c r="H42" s="14">
        <f t="shared" si="7"/>
        <v>28.9834</v>
      </c>
    </row>
    <row r="43" spans="1:11" x14ac:dyDescent="0.3">
      <c r="A43" s="23"/>
      <c r="B43" s="15"/>
      <c r="C43" s="15"/>
      <c r="D43" s="15"/>
      <c r="E43" s="15"/>
      <c r="F43" s="15"/>
      <c r="G43" s="15"/>
      <c r="H43" s="15"/>
    </row>
    <row r="44" spans="1:11" ht="15.6" customHeight="1" thickBot="1" x14ac:dyDescent="0.35">
      <c r="A44" s="24"/>
      <c r="B44" s="16"/>
      <c r="C44" s="16"/>
      <c r="D44" s="16"/>
      <c r="E44" s="16"/>
      <c r="F44" s="16"/>
      <c r="G44" s="16"/>
      <c r="H44" s="16"/>
    </row>
    <row r="45" spans="1:11" x14ac:dyDescent="0.3">
      <c r="A45" s="22" t="s">
        <v>34</v>
      </c>
      <c r="B45" s="14">
        <v>4</v>
      </c>
      <c r="C45" s="14">
        <f>(0.5/1442.6+0.25)*C42</f>
        <v>4.095833042769998</v>
      </c>
      <c r="D45" s="14">
        <f t="shared" ref="D45:H45" si="8">(0.5/1442.6+0.25)*D42</f>
        <v>4.3666955427699978</v>
      </c>
      <c r="E45" s="14">
        <f t="shared" si="8"/>
        <v>4.8181330427699987</v>
      </c>
      <c r="F45" s="14">
        <f t="shared" si="8"/>
        <v>5.4501455427699987</v>
      </c>
      <c r="G45" s="14">
        <f t="shared" si="8"/>
        <v>6.2627330427699981</v>
      </c>
      <c r="H45" s="14">
        <f t="shared" si="8"/>
        <v>7.2558955427699985</v>
      </c>
    </row>
    <row r="46" spans="1:11" x14ac:dyDescent="0.3">
      <c r="A46" s="23"/>
      <c r="B46" s="15"/>
      <c r="C46" s="15"/>
      <c r="D46" s="15"/>
      <c r="E46" s="15"/>
      <c r="F46" s="15"/>
      <c r="G46" s="15"/>
      <c r="H46" s="15"/>
    </row>
    <row r="47" spans="1:11" ht="15.6" customHeight="1" thickBot="1" x14ac:dyDescent="0.35">
      <c r="A47" s="25"/>
      <c r="B47" s="21"/>
      <c r="C47" s="21"/>
      <c r="D47" s="21"/>
      <c r="E47" s="21"/>
      <c r="F47" s="21"/>
      <c r="G47" s="21"/>
      <c r="H47" s="21"/>
    </row>
    <row r="49" spans="1:8" x14ac:dyDescent="0.3">
      <c r="B49" t="s">
        <v>51</v>
      </c>
      <c r="D49" t="s">
        <v>54</v>
      </c>
    </row>
    <row r="50" spans="1:8" x14ac:dyDescent="0.3">
      <c r="B50" t="s">
        <v>52</v>
      </c>
      <c r="C50">
        <f>0.81246*0.07915*0.07915*10000</f>
        <v>50.898364423499991</v>
      </c>
      <c r="D50">
        <f>(0.1/812.46+2*0.1/40.5)*C50</f>
        <v>0.25761467027037033</v>
      </c>
    </row>
    <row r="51" spans="1:8" x14ac:dyDescent="0.3">
      <c r="B51" t="s">
        <v>53</v>
      </c>
      <c r="C51">
        <f>1.4426*0.0405*0.0405*10000</f>
        <v>23.662246500000006</v>
      </c>
      <c r="D51">
        <f>(0.1/1442.6+2*0.1/79.15)*C51</f>
        <v>6.1431144504106139E-2</v>
      </c>
    </row>
    <row r="53" spans="1:8" x14ac:dyDescent="0.3">
      <c r="C53">
        <f>(C40*C40*(1.4426+1.0668)*$B$18-$H$24)*10000</f>
        <v>15.737041865106859</v>
      </c>
      <c r="D53">
        <f t="shared" ref="D53:H53" si="9">(D40*D40*(1.4426+1.0668)*$B$18-$H$24)*10000</f>
        <v>16.989892450177003</v>
      </c>
      <c r="E53">
        <f t="shared" si="9"/>
        <v>18.708218772181539</v>
      </c>
      <c r="F53">
        <f t="shared" si="9"/>
        <v>21.108421900685215</v>
      </c>
      <c r="G53">
        <f t="shared" si="9"/>
        <v>23.664531896679179</v>
      </c>
      <c r="H53">
        <f t="shared" si="9"/>
        <v>27.609497349902028</v>
      </c>
    </row>
    <row r="55" spans="1:8" x14ac:dyDescent="0.3">
      <c r="B55">
        <f>B42+$H$24*10000</f>
        <v>98.457431496133481</v>
      </c>
      <c r="C55">
        <f t="shared" ref="C55:H55" si="10">C42+$H$24*10000</f>
        <v>98.818081496133487</v>
      </c>
      <c r="D55">
        <f t="shared" si="10"/>
        <v>99.900031496133479</v>
      </c>
      <c r="E55">
        <f t="shared" si="10"/>
        <v>101.70328149613349</v>
      </c>
      <c r="F55">
        <f t="shared" si="10"/>
        <v>104.22783149613349</v>
      </c>
      <c r="G55">
        <f t="shared" si="10"/>
        <v>107.47368149613348</v>
      </c>
      <c r="H55">
        <f t="shared" si="10"/>
        <v>111.44083149613348</v>
      </c>
    </row>
    <row r="57" spans="1:8" x14ac:dyDescent="0.3">
      <c r="B57">
        <f>G16*D21*D21/1000000*10000</f>
        <v>23.662246500000002</v>
      </c>
    </row>
    <row r="59" spans="1:8" ht="15" thickBot="1" x14ac:dyDescent="0.35"/>
    <row r="60" spans="1:8" ht="18.600000000000001" thickBot="1" x14ac:dyDescent="0.35">
      <c r="A60" s="11" t="s">
        <v>55</v>
      </c>
      <c r="B60" s="26">
        <v>0</v>
      </c>
      <c r="C60" s="26">
        <f>(C34/2)*(C34/2)</f>
        <v>0.25</v>
      </c>
      <c r="D60" s="26">
        <f t="shared" ref="D60:H60" si="11">(D34/2)*(D34/2)</f>
        <v>1</v>
      </c>
      <c r="E60" s="26">
        <f t="shared" si="11"/>
        <v>2.25</v>
      </c>
      <c r="F60" s="26">
        <f t="shared" si="11"/>
        <v>4</v>
      </c>
      <c r="G60" s="26">
        <f t="shared" si="11"/>
        <v>6.25</v>
      </c>
      <c r="H60" s="26">
        <f t="shared" si="11"/>
        <v>9</v>
      </c>
    </row>
    <row r="61" spans="1:8" ht="18.600000000000001" thickBot="1" x14ac:dyDescent="0.35">
      <c r="A61" s="12" t="s">
        <v>56</v>
      </c>
      <c r="B61" s="13">
        <v>98.46</v>
      </c>
      <c r="C61" s="13">
        <v>98.82</v>
      </c>
      <c r="D61" s="13">
        <v>99.9</v>
      </c>
      <c r="E61" s="13">
        <v>101.7</v>
      </c>
      <c r="F61" s="13">
        <v>104.23</v>
      </c>
      <c r="G61" s="13">
        <v>107.47</v>
      </c>
      <c r="H61" s="13">
        <v>111.44</v>
      </c>
    </row>
  </sheetData>
  <mergeCells count="18">
    <mergeCell ref="A42:A44"/>
    <mergeCell ref="A45:A47"/>
    <mergeCell ref="A37:A39"/>
    <mergeCell ref="B45:B47"/>
    <mergeCell ref="C45:C47"/>
    <mergeCell ref="G42:G44"/>
    <mergeCell ref="H42:H44"/>
    <mergeCell ref="B35:H36"/>
    <mergeCell ref="D45:D47"/>
    <mergeCell ref="E45:E47"/>
    <mergeCell ref="F45:F47"/>
    <mergeCell ref="G45:G47"/>
    <mergeCell ref="H45:H47"/>
    <mergeCell ref="B42:B44"/>
    <mergeCell ref="C42:C44"/>
    <mergeCell ref="D42:D44"/>
    <mergeCell ref="E42:E44"/>
    <mergeCell ref="F42:F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2018-10-11T22:38:47Z</dcterms:modified>
</cp:coreProperties>
</file>