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xr:revisionPtr revIDLastSave="0" documentId="8_{837C52D1-0555-4796-86CF-65E87AD45C33}" xr6:coauthVersionLast="47" xr6:coauthVersionMax="47" xr10:uidLastSave="{00000000-0000-0000-0000-000000000000}"/>
  <bookViews>
    <workbookView xWindow="240" yWindow="105" windowWidth="14805" windowHeight="8010" activeTab="1" xr2:uid="{00000000-000D-0000-FFFF-FFFF00000000}"/>
  </bookViews>
  <sheets>
    <sheet name="Sheet1" sheetId="1" r:id="rId1"/>
    <sheet name="interfac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3" i="2" l="1"/>
  <c r="E253" i="2"/>
  <c r="C253" i="2"/>
  <c r="F252" i="2"/>
  <c r="F251" i="2"/>
  <c r="G250" i="2"/>
  <c r="F250" i="2"/>
  <c r="G249" i="2"/>
  <c r="F249" i="2"/>
  <c r="G248" i="2"/>
  <c r="F248" i="2"/>
  <c r="C247" i="2"/>
  <c r="C246" i="2"/>
  <c r="C245" i="2"/>
  <c r="G244" i="2"/>
  <c r="E244" i="2"/>
  <c r="D244" i="2"/>
  <c r="C244" i="2"/>
  <c r="G243" i="2"/>
  <c r="C243" i="2"/>
  <c r="C242" i="2"/>
  <c r="C241" i="2"/>
  <c r="C240" i="2"/>
  <c r="C239" i="2"/>
  <c r="C238" i="2"/>
  <c r="C237" i="2"/>
  <c r="C236" i="2"/>
  <c r="C235" i="2"/>
  <c r="C234" i="2"/>
  <c r="C226" i="2"/>
  <c r="C225" i="2"/>
  <c r="G217" i="2"/>
  <c r="G216" i="2"/>
  <c r="G215" i="2"/>
  <c r="G214" i="2"/>
  <c r="Z211" i="2"/>
  <c r="W211" i="2"/>
  <c r="T211" i="2"/>
  <c r="Q211" i="2"/>
  <c r="N211" i="2"/>
  <c r="Z210" i="2"/>
  <c r="X212" i="2" s="1"/>
  <c r="W210" i="2"/>
  <c r="T210" i="2"/>
  <c r="Q210" i="2"/>
  <c r="N210" i="2"/>
  <c r="X209" i="2"/>
  <c r="W209" i="2"/>
  <c r="T209" i="2"/>
  <c r="Q209" i="2"/>
  <c r="N209" i="2"/>
  <c r="Y208" i="2"/>
  <c r="X208" i="2"/>
  <c r="W208" i="2"/>
  <c r="U212" i="2" s="1"/>
  <c r="T208" i="2"/>
  <c r="R212" i="2" s="1"/>
  <c r="Q208" i="2"/>
  <c r="O212" i="2" s="1"/>
  <c r="N208" i="2"/>
  <c r="L212" i="2" s="1"/>
  <c r="Y207" i="2"/>
  <c r="X207" i="2"/>
  <c r="U207" i="2"/>
  <c r="R207" i="2"/>
  <c r="O207" i="2"/>
  <c r="L207" i="2"/>
  <c r="X206" i="2"/>
  <c r="U206" i="2"/>
  <c r="R206" i="2"/>
  <c r="O206" i="2"/>
  <c r="L206" i="2"/>
  <c r="X205" i="2"/>
  <c r="U205" i="2"/>
  <c r="R205" i="2"/>
  <c r="O205" i="2"/>
  <c r="L205" i="2"/>
  <c r="Y204" i="2"/>
  <c r="X204" i="2"/>
  <c r="U204" i="2"/>
  <c r="R204" i="2"/>
  <c r="O204" i="2"/>
  <c r="L204" i="2"/>
  <c r="X203" i="2"/>
  <c r="U203" i="2"/>
  <c r="R203" i="2"/>
  <c r="O203" i="2"/>
  <c r="L203" i="2"/>
  <c r="G199" i="2"/>
  <c r="E199" i="2"/>
  <c r="D199" i="2"/>
  <c r="C199" i="2"/>
  <c r="G198" i="2"/>
  <c r="E198" i="2"/>
  <c r="D198" i="2"/>
  <c r="C198" i="2"/>
  <c r="E197" i="2"/>
  <c r="D197" i="2"/>
  <c r="C197" i="2"/>
  <c r="E196" i="2"/>
  <c r="D196" i="2"/>
  <c r="C196" i="2"/>
  <c r="E195" i="2"/>
  <c r="D195" i="2"/>
  <c r="C195" i="2"/>
  <c r="E194" i="2"/>
  <c r="D194" i="2"/>
  <c r="C194" i="2"/>
  <c r="D193" i="2"/>
  <c r="C193" i="2"/>
  <c r="D192" i="2"/>
  <c r="C192" i="2"/>
  <c r="D191" i="2"/>
  <c r="C191" i="2"/>
  <c r="E190" i="2"/>
  <c r="D190" i="2"/>
  <c r="E189" i="2"/>
  <c r="D189" i="2"/>
  <c r="C189" i="2"/>
  <c r="C188" i="2"/>
  <c r="C187" i="2"/>
  <c r="E181" i="2"/>
  <c r="D181" i="2"/>
  <c r="C181" i="2"/>
  <c r="D180" i="2"/>
  <c r="C180" i="2"/>
  <c r="E178" i="2"/>
  <c r="D178" i="2"/>
  <c r="C178" i="2"/>
  <c r="E177" i="2"/>
  <c r="D177" i="2"/>
  <c r="C177" i="2"/>
  <c r="E176" i="2"/>
  <c r="D176" i="2"/>
  <c r="C176" i="2"/>
  <c r="E172" i="2"/>
  <c r="D172" i="2"/>
  <c r="E171" i="2"/>
  <c r="D171" i="2"/>
  <c r="D141" i="2"/>
  <c r="D140" i="2"/>
  <c r="D139" i="2"/>
  <c r="E127" i="2"/>
  <c r="C127" i="2"/>
  <c r="C121" i="2"/>
  <c r="E118" i="2"/>
  <c r="C118" i="2"/>
  <c r="E117" i="2"/>
  <c r="C117" i="2"/>
  <c r="E116" i="2"/>
  <c r="C116" i="2"/>
  <c r="E115" i="2"/>
  <c r="C115" i="2"/>
  <c r="C114" i="2"/>
  <c r="C113" i="2"/>
  <c r="C112" i="2"/>
  <c r="C111" i="2"/>
  <c r="C110" i="2"/>
  <c r="C100" i="2"/>
  <c r="G91" i="2"/>
  <c r="D91" i="2"/>
  <c r="C91" i="2"/>
  <c r="G90" i="2"/>
  <c r="D90" i="2"/>
  <c r="C90" i="2"/>
  <c r="G89" i="2"/>
  <c r="D89" i="2"/>
  <c r="C89" i="2"/>
  <c r="D88" i="2"/>
  <c r="G88" i="2" s="1"/>
  <c r="C88" i="2"/>
  <c r="D87" i="2"/>
  <c r="D86" i="2"/>
  <c r="E85" i="2"/>
  <c r="D85" i="2"/>
  <c r="E84" i="2"/>
  <c r="D84" i="2"/>
  <c r="E83" i="2"/>
  <c r="D83" i="2"/>
  <c r="C82" i="2"/>
  <c r="C81" i="2"/>
  <c r="C80" i="2"/>
  <c r="C79" i="2"/>
  <c r="C78" i="2"/>
  <c r="C77" i="2"/>
  <c r="C76" i="2"/>
  <c r="C75" i="2"/>
  <c r="C74" i="2"/>
  <c r="F56" i="2"/>
  <c r="D56" i="2"/>
  <c r="G46" i="2"/>
  <c r="G45" i="2"/>
  <c r="C30" i="2"/>
  <c r="C29" i="2"/>
  <c r="C28" i="2"/>
  <c r="E27" i="2"/>
  <c r="D27" i="2"/>
  <c r="C27" i="2"/>
  <c r="E26" i="2"/>
  <c r="D26" i="2"/>
  <c r="C26" i="2"/>
  <c r="E25" i="2"/>
  <c r="D25" i="2"/>
  <c r="C25" i="2"/>
  <c r="E24" i="2"/>
  <c r="D24" i="2"/>
  <c r="C24" i="2"/>
  <c r="E23" i="2"/>
  <c r="D23" i="2"/>
  <c r="C23" i="2"/>
  <c r="E22" i="2"/>
  <c r="D22" i="2"/>
  <c r="C22" i="2"/>
  <c r="E21" i="2"/>
  <c r="D21" i="2"/>
  <c r="C21" i="2"/>
  <c r="G20" i="2"/>
  <c r="E20" i="2"/>
  <c r="D20" i="2"/>
  <c r="C20" i="2"/>
  <c r="G19" i="2"/>
  <c r="C19" i="2"/>
  <c r="E15" i="2"/>
  <c r="D15" i="2"/>
  <c r="E14" i="2"/>
  <c r="D14" i="2"/>
  <c r="E13" i="2"/>
  <c r="D13" i="2"/>
  <c r="C13" i="2"/>
  <c r="G12" i="2"/>
  <c r="E12" i="2"/>
  <c r="D12" i="2"/>
  <c r="C12" i="2"/>
  <c r="E11" i="2"/>
  <c r="D11" i="2"/>
  <c r="C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tc={FD3805B2-BC2A-4F75-9787-6A2971B24A55}</author>
    <author>tc={CA7B132A-E9E7-419A-89FB-9DCBF1BCE6A7}</author>
    <author>tc={8BBB35A8-3A64-46A6-A550-72327C255572}</author>
    <author>tc={6C70B834-CD99-4703-8D14-8AB5D37D6943}</author>
    <author>tc={42667977-CFDC-4709-96C6-4D6E5F1B7E5D}</author>
    <author>tc={EBDB5B7C-A7B8-4ADD-B59F-1D69AB347F6E}</author>
    <author>tc={FF87D508-8AFA-4A4F-A817-E4580D53838C}</author>
    <author>tc={07A13948-8E23-4912-AB2B-0127083BA147}</author>
    <author>tc={292CEEF4-B72C-48E5-9B11-F2AF338148CC}</author>
    <author>tc={554D221F-A2D0-4D88-9E82-03B6E695EC3A}</author>
    <author>tc={933D9FA0-0DBC-4944-BEED-B918826609CD}</author>
    <author>tc={6AD8A232-7526-4BBD-B662-D8070847724C}</author>
    <author>tc={BD32A17B-EDD3-4EAA-BD25-7CE243C8FF38}</author>
    <author>tc={90F4B4BF-44BA-4309-9D53-EF154A68C28D}</author>
    <author>tc={F674D2AE-15EC-49F8-A335-A6B095534FDC}</author>
    <author>tc={9F231F8B-2224-46EF-B2AC-D3FDF30E0D0C}</author>
    <author>tc={BD350DB4-BEA4-4C3B-B48C-4142CF16E0DE}</author>
    <author>tc={27B1C7BC-B0AB-417D-85D6-314952AD7913}</author>
    <author>tc={4D3F404D-BC64-4514-8F23-6B3CC2C2A3D1}</author>
    <author>tc={CFDFAA40-D9B8-40E6-A3E4-12E60965D8AA}</author>
    <author>tc={4CDBD57B-F8BF-4497-B38D-D36B86597E9C}</author>
    <author>tc={F9B5610E-BF64-437A-80B3-CF22ED924FEF}</author>
    <author>tc={4910D197-64F6-44D9-8C28-A01DEB19BB35}</author>
    <author>tc={8339A8C3-C603-4559-9BA7-89719B3AB574}</author>
    <author>tc={C0EF761C-3212-4FFF-B931-F80C0523E9D3}</author>
    <author>tc={909331F2-5E55-454D-AEBF-671B36D72A68}</author>
    <author>tc={F0FA3DC7-5018-4AE3-8731-366F9BD8C8B8}</author>
    <author>tc={936B05B3-20C2-418D-8677-3BE821D21355}</author>
    <author>tc={881C95B6-F9B3-494A-B895-1697AD8841D5}</author>
    <author>tc={2B4295DB-583C-4406-93F0-9E0E35D10074}</author>
    <author>tc={90080C02-B0A7-424C-B266-0F4521D3B44D}</author>
    <author>tc={3C5968EA-208A-4B9A-90FE-E5EEDD884740}</author>
    <author>tc={CC6B759D-C259-4FB3-88A2-A3D8F6466149}</author>
    <author>tc={123A50E3-9458-4164-8C7E-D945FCD5F6CD}</author>
    <author>tc={1E2A362D-F61A-4F89-9443-6D1D72AD7A69}</author>
    <author>tc={4F7EFF87-13C4-44A7-A4BB-42C2065A55D7}</author>
    <author>tc={22F98CFD-3FF7-4323-A7C5-133609D4A2A0}</author>
    <author>tc={9E5A7B1D-4832-4092-A5A5-A104805F0087}</author>
    <author>tc={2AB7D523-F00A-42A6-A283-CFF60EC4280B}</author>
    <author>tc={9818D8CD-3021-4D27-A48A-69EA02452422}</author>
    <author>tc={376504FD-FB74-4DE9-B402-65FA68B3C564}</author>
    <author>tc={BE574268-4823-46EA-B3D0-2B198AAD223F}</author>
    <author>tc={1266764D-5D21-4F09-B97B-366ED8E4C350}</author>
    <author>tc={0519932A-B4D2-45C9-B2CB-B757598E5980}</author>
    <author>tc={F0844026-F26D-4F4E-A00B-76B6BC9201F9}</author>
    <author>tc={409B75FC-CF94-4641-9316-991C6F32E446}</author>
    <author>tc={EEB5FE1B-396A-4C72-A754-6653464FF2A0}</author>
    <author>tc={E8FAA7DB-678A-4B05-B9B7-EEF22E5BD1B5}</author>
    <author>tc={CE63A835-C4A6-490E-9667-D3AA494D30A5}</author>
    <author>tc={16A4DC58-02EC-4C6C-AC3D-691383345FEE}</author>
    <author>tc={94086503-8DB3-4293-AA82-387E278C5CB0}</author>
    <author>tc={35367A59-E32B-43A2-BE93-C4ACC157E795}</author>
    <author>tc={690E8828-C97A-47A3-9F2B-BCC34D433472}</author>
    <author>tc={6B168F35-E944-418C-BD0A-864E5ED0D994}</author>
    <author>tc={0A47A225-80BD-4853-8B71-380D6649F65A}</author>
    <author>tc={7D054A40-4F41-4835-8817-4AE5EB4EA255}</author>
    <author>tc={F78D598C-5480-4EA3-AEE2-BEC4D6EC5C4B}</author>
    <author>tc={69DC04C2-AAAC-43B4-925F-36331ECEB545}</author>
    <author>tc={F38B75A3-FE07-42A7-B5BC-33F0AC26BA77}</author>
    <author>tc={E297CD01-E39F-47C9-A45A-367B0D170B11}</author>
    <author>tc={F3CC2786-0A59-4E2E-9EDB-097F3FD19165}</author>
    <author>tc={A07DE79D-278C-4FD3-B39E-EB220D7AE5BB}</author>
    <author>tc={3B1915C1-FA57-4C5B-8891-AD9625815BCA}</author>
    <author>tc={D79A9884-19E5-4B84-A308-F5D5D0F10421}</author>
    <author>tc={3206653B-7AD1-415F-9E74-3CA878E966C3}</author>
    <author>tc={193B4FEA-8810-4A03-892E-51FDE7478914}</author>
    <author>tc={F462A779-8AC0-4CC1-A31A-6B870B3408C9}</author>
    <author>tc={E90B46AE-0940-4858-BBBB-F4FAF74A95E9}</author>
    <author>tc={E5D145E0-3FC8-4FCF-8910-3C58BAFDD8A2}</author>
    <author>tc={BEA3B806-66C7-4A14-9038-14ADC50CC7FD}</author>
    <author>tc={7F19ED7F-7EF8-4E8E-A463-DBDFFA913C0E}</author>
  </authors>
  <commentList>
    <comment ref="F4" authorId="0" shapeId="0" xr:uid="{FD3805B2-BC2A-4F75-9787-6A2971B24A55}">
      <text>
        <t>[Threaded comment]
Your version of Excel allows you to read this threaded comment; however, any edits to it will get removed if the file is opened in a newer version of Excel. Learn more: https://go.microsoft.com/fwlink/?linkid=870924
Comment:
    2016-2017: These values are provided in the 2020 CSR Report, but we can confidently conclude that it is a typo since the values are identical to the Scope 2 Market-based emissions for exclusively the subsidiaries (found in the row directly above)</t>
      </text>
    </comment>
    <comment ref="D10" authorId="1" shapeId="0" xr:uid="{CA7B132A-E9E7-419A-89FB-9DCBF1BCE6A7}">
      <text>
        <t>[Threaded comment]
Your version of Excel allows you to read this threaded comment; however, any edits to it will get removed if the file is opened in a newer version of Excel. Learn more: https://go.microsoft.com/fwlink/?linkid=870924
Comment:
    For all years: Subsidiaries are included</t>
      </text>
    </comment>
    <comment ref="C19" authorId="2" shapeId="0" xr:uid="{8BBB35A8-3A64-46A6-A550-72327C255572}">
      <text>
        <t>[Threaded comment]
Your version of Excel allows you to read this threaded comment; however, any edits to it will get removed if the file is opened in a newer version of Excel. Learn more: https://go.microsoft.com/fwlink/?linkid=870924
Comment:
    For all years: Energy values are energy consumed, including renewable energy.
For all years: Subsidiaries are not included
Energy value for 2023 including subsidiaries is 4060,941 GWh. This is for UMC Group including HJ, USCXM, Wavetek, and USJC.</t>
      </text>
    </comment>
    <comment ref="D19" authorId="3" shapeId="0" xr:uid="{6C70B834-CD99-4703-8D14-8AB5D37D6943}">
      <text>
        <t xml:space="preserve">[Threaded comment]
Your version of Excel allows you to read this threaded comment; however, any edits to it will get removed if the file is opened in a newer version of Excel. Learn more: https://go.microsoft.com/fwlink/?linkid=870924
Comment:
    For all years: Subsidiaries are included </t>
      </text>
    </comment>
    <comment ref="E19" authorId="4" shapeId="0" xr:uid="{42667977-CFDC-4709-96C6-4D6E5F1B7E5D}">
      <text>
        <t xml:space="preserve">[Threaded comment]
Your version of Excel allows you to read this threaded comment; however, any edits to it will get removed if the file is opened in a newer version of Excel. Learn more: https://go.microsoft.com/fwlink/?linkid=870924
Comment:
    For all years: Subsidiaries are included </t>
      </text>
    </comment>
    <comment ref="G19" authorId="5" shapeId="0" xr:uid="{EBDB5B7C-A7B8-4ADD-B59F-1D69AB347F6E}">
      <text>
        <t xml:space="preserve">[Threaded comment]
Your version of Excel allows you to read this threaded comment; however, any edits to it will get removed if the file is opened in a newer version of Excel. Learn more: https://go.microsoft.com/fwlink/?linkid=870924
Comment:
    For all years: Subsidiaries are not included </t>
      </text>
    </comment>
    <comment ref="D24" authorId="6" shapeId="0" xr:uid="{FF87D508-8AFA-4A4F-A817-E4580D53838C}">
      <text>
        <t>[Threaded comment]
Your version of Excel allows you to read this threaded comment; however, any edits to it will get removed if the file is opened in a newer version of Excel. Learn more: https://go.microsoft.com/fwlink/?linkid=870924
Comment:
    "Our combined Scope 1 (direct) and Scope 2 (indirect) GHG emissions decreased 43% on an absolute basis in 2023 from the 2019 baseline. In 2023, we recalculated our GHG emissions for the 2019 baseline year and going forward to incorporate refinements in emission factors used in our GHG inventory and amendments to calculation parameters based on the most recent data available and industry best practices."</t>
      </text>
    </comment>
    <comment ref="C30" authorId="7" shapeId="0" xr:uid="{07A13948-8E23-4912-AB2B-0127083BA147}">
      <text>
        <t>[Threaded comment]
Your version of Excel allows you to read this threaded comment; however, any edits to it will get removed if the file is opened in a newer version of Excel. Learn more: https://go.microsoft.com/fwlink/?linkid=870924
Comment:
    2015-2016: Converted MMBtu to GWh</t>
      </text>
    </comment>
    <comment ref="D36" authorId="8" shapeId="0" xr:uid="{292CEEF4-B72C-48E5-9B11-F2AF338148CC}">
      <text>
        <t>[Threaded comment]
Your version of Excel allows you to read this threaded comment; however, any edits to it will get removed if the file is opened in a newer version of Excel. Learn more: https://go.microsoft.com/fwlink/?linkid=870924
Comment:
    TI has not included fluorinated heat transfer fluids (FHTF) in previous Corporate Citizenship Reports due to the varying calculation methodologies and guidance. Under current World Semiconductor Council (WSC) reporting guidance, the association that tracks semiconductor emissions, there is no requirement to track and report FHTF. Recently introduced U.S. Environmental Protection Agency (EPA) rules for disclosure to the EPA included FHTF and we comply with this requirement. Recently, the WSC has aligned on all regions will moving to 2019 Intergovernmental Panel on Climate Change (IPCC) guidance, which includes FHTF. TI is considering the timing of a transition to the 2019 IPCC guidance and will include FHTF emissions upon adoption.</t>
      </text>
    </comment>
    <comment ref="G37" authorId="9" shapeId="0" xr:uid="{554D221F-A2D0-4D88-9E82-03B6E695EC3A}">
      <text>
        <t>[Threaded comment]
Your version of Excel allows you to read this threaded comment; however, any edits to it will get removed if the file is opened in a newer version of Excel. Learn more: https://go.microsoft.com/fwlink/?linkid=870924
Comment:
    "TI reports scope 3 emissions for business travel in its annual CDP survey. In 2024, we will engage a third party to conduct a full accounting and analysis of all applicable upstream and downstream scope 3 categories. TI plans to begin reporting additional relevant scope 3 emission categories in 2025."</t>
      </text>
    </comment>
    <comment ref="D43" authorId="10" shapeId="0" xr:uid="{933D9FA0-0DBC-4944-BEED-B918826609CD}">
      <text>
        <t>[Threaded comment]
Your version of Excel allows you to read this threaded comment; however, any edits to it will get removed if the file is opened in a newer version of Excel. Learn more: https://go.microsoft.com/fwlink/?linkid=870924
Comment:
    GHG Protocol and IPCC Guidelines, 2019</t>
      </text>
    </comment>
    <comment ref="E43" authorId="11" shapeId="0" xr:uid="{6AD8A232-7526-4BBD-B662-D8070847724C}">
      <text>
        <t>[Threaded comment]
Your version of Excel allows you to read this threaded comment; however, any edits to it will get removed if the file is opened in a newer version of Excel. Learn more: https://go.microsoft.com/fwlink/?linkid=870924
Comment:
    GHG Protocol and IPCC Guidelines, 2019</t>
      </text>
    </comment>
    <comment ref="C44" authorId="12" shapeId="0" xr:uid="{BD32A17B-EDD3-4EAA-BD25-7CE243C8FF38}">
      <text>
        <t>[Threaded comment]
Your version of Excel allows you to read this threaded comment; however, any edits to it will get removed if the file is opened in a newer version of Excel. Learn more: https://go.microsoft.com/fwlink/?linkid=870924
Comment:
    2020-2021: Data revised from prior annual disclosures to reflect the divestiture of Lehi, Utah, operations</t>
      </text>
    </comment>
    <comment ref="D44" authorId="13" shapeId="0" xr:uid="{90F4B4BF-44BA-4309-9D53-EF154A68C28D}">
      <text>
        <t>[Threaded comment]
Your version of Excel allows you to read this threaded comment; however, any edits to it will get removed if the file is opened in a newer version of Excel. Learn more: https://go.microsoft.com/fwlink/?linkid=870924
Comment:
    GHG Protocol and IPCC Guidelines, 2006
2020-2021: Data revised from prior annual disclosures to reflect the divestiture of Lehi, Utah, operations</t>
      </text>
    </comment>
    <comment ref="E44" authorId="14" shapeId="0" xr:uid="{F674D2AE-15EC-49F8-A335-A6B095534FDC}">
      <text>
        <t>[Threaded comment]
Your version of Excel allows you to read this threaded comment; however, any edits to it will get removed if the file is opened in a newer version of Excel. Learn more: https://go.microsoft.com/fwlink/?linkid=870924
Comment:
    GHG Protocol and IPCC Guidelines,  2006
2020-2021: Data revised from prior annual disclosures to reflect the divestiture of Lehi, Utah, operations</t>
      </text>
    </comment>
    <comment ref="D45" authorId="15" shapeId="0" xr:uid="{9F231F8B-2224-46EF-B2AC-D3FDF30E0D0C}">
      <text>
        <t>[Threaded comment]
Your version of Excel allows you to read this threaded comment; however, any edits to it will get removed if the file is opened in a newer version of Excel. Learn more: https://go.microsoft.com/fwlink/?linkid=870924
Comment:
    GHG Protocol and IPCC Guidelines,  2019</t>
      </text>
    </comment>
    <comment ref="E45" authorId="16" shapeId="0" xr:uid="{BD350DB4-BEA4-4C3B-B48C-4142CF16E0DE}">
      <text>
        <t xml:space="preserve">[Threaded comment]
Your version of Excel allows you to read this threaded comment; however, any edits to it will get removed if the file is opened in a newer version of Excel. Learn more: https://go.microsoft.com/fwlink/?linkid=870924
Comment:
    GHG Protocol and IPCC Guidelines,  2019 </t>
      </text>
    </comment>
    <comment ref="D46" authorId="17" shapeId="0" xr:uid="{27B1C7BC-B0AB-417D-85D6-314952AD7913}">
      <text>
        <t>[Threaded comment]
Your version of Excel allows you to read this threaded comment; however, any edits to it will get removed if the file is opened in a newer version of Excel. Learn more: https://go.microsoft.com/fwlink/?linkid=870924
Comment:
    GHG Protocol and IPCC Guidelines,  2006</t>
      </text>
    </comment>
    <comment ref="E46" authorId="18" shapeId="0" xr:uid="{4D3F404D-BC64-4514-8F23-6B3CC2C2A3D1}">
      <text>
        <t>[Threaded comment]
Your version of Excel allows you to read this threaded comment; however, any edits to it will get removed if the file is opened in a newer version of Excel. Learn more: https://go.microsoft.com/fwlink/?linkid=870924
Comment:
    GHG Protocol and IPCC Guidelines, 2006</t>
      </text>
    </comment>
    <comment ref="F46" authorId="19" shapeId="0" xr:uid="{CFDFAA40-D9B8-40E6-A3E4-12E60965D8AA}">
      <text>
        <t>[Threaded comment]
Your version of Excel allows you to read this threaded comment; however, any edits to it will get removed if the file is opened in a newer version of Excel. Learn more: https://go.microsoft.com/fwlink/?linkid=870924
Comment:
    For all years: Data found in CDP responses</t>
      </text>
    </comment>
    <comment ref="G46" authorId="20" shapeId="0" xr:uid="{4CDBD57B-F8BF-4497-B38D-D36B86597E9C}">
      <text>
        <t>[Threaded comment]
Your version of Excel allows you to read this threaded comment; however, any edits to it will get removed if the file is opened in a newer version of Excel. Learn more: https://go.microsoft.com/fwlink/?linkid=870924
Comment:
    For all years: Data found in CDP responses</t>
      </text>
    </comment>
    <comment ref="D47" authorId="21" shapeId="0" xr:uid="{F9B5610E-BF64-437A-80B3-CF22ED924FEF}">
      <text>
        <t>[Threaded comment]
Your version of Excel allows you to read this threaded comment; however, any edits to it will get removed if the file is opened in a newer version of Excel. Learn more: https://go.microsoft.com/fwlink/?linkid=870924
Comment:
    Aggregate Scope 1+Scope 2: 1241000</t>
      </text>
    </comment>
    <comment ref="E47" authorId="22" shapeId="0" xr:uid="{4910D197-64F6-44D9-8C28-A01DEB19BB35}">
      <text>
        <t>[Threaded comment]
Your version of Excel allows you to read this threaded comment; however, any edits to it will get removed if the file is opened in a newer version of Excel. Learn more: https://go.microsoft.com/fwlink/?linkid=870924
Comment:
    Aggregate Scope 1+Scope 2: 1241000</t>
      </text>
    </comment>
    <comment ref="D48" authorId="23" shapeId="0" xr:uid="{8339A8C3-C603-4559-9BA7-89719B3AB574}">
      <text>
        <t>[Threaded comment]
Your version of Excel allows you to read this threaded comment; however, any edits to it will get removed if the file is opened in a newer version of Excel. Learn more: https://go.microsoft.com/fwlink/?linkid=870924
Comment:
    Aggregate Scope 1+Scope 2: 1404000</t>
      </text>
    </comment>
    <comment ref="E48" authorId="24" shapeId="0" xr:uid="{C0EF761C-3212-4FFF-B931-F80C0523E9D3}">
      <text>
        <t>[Threaded comment]
Your version of Excel allows you to read this threaded comment; however, any edits to it will get removed if the file is opened in a newer version of Excel. Learn more: https://go.microsoft.com/fwlink/?linkid=870924
Comment:
    Aggregate Scope 1+Scope 2: 1404000</t>
      </text>
    </comment>
    <comment ref="D49" authorId="25" shapeId="0" xr:uid="{909331F2-5E55-454D-AEBF-671B36D72A68}">
      <text>
        <t>[Threaded comment]
Your version of Excel allows you to read this threaded comment; however, any edits to it will get removed if the file is opened in a newer version of Excel. Learn more: https://go.microsoft.com/fwlink/?linkid=870924
Comment:
    Found in "Third Party Verification" in the 2019 CSR report on page 121</t>
      </text>
    </comment>
    <comment ref="E49" authorId="26" shapeId="0" xr:uid="{F0FA3DC7-5018-4AE3-8731-366F9BD8C8B8}">
      <text>
        <t>[Threaded comment]
Your version of Excel allows you to read this threaded comment; however, any edits to it will get removed if the file is opened in a newer version of Excel. Learn more: https://go.microsoft.com/fwlink/?linkid=870924
Comment:
    Found in "Third Party Verification" in the 2019 CSR report on page 121</t>
      </text>
    </comment>
    <comment ref="C50" authorId="27" shapeId="0" xr:uid="{936B05B3-20C2-418D-8677-3BE821D21355}">
      <text>
        <t>[Threaded comment]
Your version of Excel allows you to read this threaded comment; however, any edits to it will get removed if the file is opened in a newer version of Excel. Learn more: https://go.microsoft.com/fwlink/?linkid=870924
Comment:
    Approximated value from a chart in the 2021 CSR report on page 67</t>
      </text>
    </comment>
    <comment ref="C51" authorId="28" shapeId="0" xr:uid="{881C95B6-F9B3-494A-B895-1697AD8841D5}">
      <text>
        <t>[Threaded comment]
Your version of Excel allows you to read this threaded comment; however, any edits to it will get removed if the file is opened in a newer version of Excel. Learn more: https://go.microsoft.com/fwlink/?linkid=870924
Comment:
    Approximated value from a chart in the 2021 CSR report on page 67</t>
      </text>
    </comment>
    <comment ref="D56" authorId="29" shapeId="0" xr:uid="{2B4295DB-583C-4406-93F0-9E0E35D10074}">
      <text>
        <t>[Threaded comment]
Your version of Excel allows you to read this threaded comment; however, any edits to it will get removed if the file is opened in a newer version of Excel. Learn more: https://go.microsoft.com/fwlink/?linkid=870924
Comment:
    Converted MTCE to MTCO2</t>
      </text>
    </comment>
    <comment ref="F56" authorId="30" shapeId="0" xr:uid="{90080C02-B0A7-424C-B266-0F4521D3B44D}">
      <text>
        <t>[Threaded comment]
Your version of Excel allows you to read this threaded comment; however, any edits to it will get removed if the file is opened in a newer version of Excel. Learn more: https://go.microsoft.com/fwlink/?linkid=870924
Comment:
    Converted MTCE to MTCO2</t>
      </text>
    </comment>
    <comment ref="G62" authorId="31" shapeId="0" xr:uid="{3C5968EA-208A-4B9A-90FE-E5EEDD884740}">
      <text>
        <t>[Threaded comment]
Your version of Excel allows you to read this threaded comment; however, any edits to it will get removed if the file is opened in a newer version of Excel. Learn more: https://go.microsoft.com/fwlink/?linkid=870924
Comment:
    2019-2021: Only Business travel reported</t>
      </text>
    </comment>
    <comment ref="D63" authorId="32" shapeId="0" xr:uid="{CC6B759D-C259-4FB3-88A2-A3D8F6466149}">
      <text>
        <t>[Threaded comment]
Your version of Excel allows you to read this threaded comment; however, any edits to it will get removed if the file is opened in a newer version of Excel. Learn more: https://go.microsoft.com/fwlink/?linkid=870924
Comment:
    Emissions in 2022 are the "enterprise-wide emissions inventories by year"</t>
      </text>
    </comment>
    <comment ref="F63" authorId="33" shapeId="0" xr:uid="{123A50E3-9458-4164-8C7E-D945FCD5F6CD}">
      <text>
        <t>[Threaded comment]
Your version of Excel allows you to read this threaded comment; however, any edits to it will get removed if the file is opened in a newer version of Excel. Learn more: https://go.microsoft.com/fwlink/?linkid=870924
Comment:
    Emissions in 2022 are the "enterprise-wide emissions inventories by year"</t>
      </text>
    </comment>
    <comment ref="G63" authorId="34" shapeId="0" xr:uid="{1E2A362D-F61A-4F89-9443-6D1D72AD7A69}">
      <text>
        <t>[Threaded comment]
Your version of Excel allows you to read this threaded comment; however, any edits to it will get removed if the file is opened in a newer version of Excel. Learn more: https://go.microsoft.com/fwlink/?linkid=870924
Comment:
    "2022 baseline emissions have been recalculated from last year’s disclosure to include emissions from the acquisition of EFK and Scope 1 and 2 has been adjusted to only include manufacturing sites"</t>
      </text>
    </comment>
    <comment ref="D65" authorId="35" shapeId="0" xr:uid="{4F7EFF87-13C4-44A7-A4BB-42C2065A55D7}">
      <text>
        <t>[Threaded comment]
Your version of Excel allows you to read this threaded comment; however, any edits to it will get removed if the file is opened in a newer version of Excel. Learn more: https://go.microsoft.com/fwlink/?linkid=870924
Comment:
    Note this value is found in an infograph in the 2015 CSR report on page 10.</t>
      </text>
    </comment>
    <comment ref="C82" authorId="36" shapeId="0" xr:uid="{22F98CFD-3FF7-4323-A7C5-133609D4A2A0}">
      <text>
        <t>[Threaded comment]
Your version of Excel allows you to read this threaded comment; however, any edits to it will get removed if the file is opened in a newer version of Excel. Learn more: https://go.microsoft.com/fwlink/?linkid=870924
Comment:
    For all years: Converted TJ to GWh</t>
      </text>
    </comment>
    <comment ref="G111" authorId="37" shapeId="0" xr:uid="{9E5A7B1D-4832-4092-A5A5-A104805F0087}">
      <text>
        <t>[Threaded comment]
Your version of Excel allows you to read this threaded comment; however, any edits to it will get removed if the file is opened in a newer version of Excel. Learn more: https://go.microsoft.com/fwlink/?linkid=870924
Comment:
    Drop in emissions is due to significant decrease in emissions in Overseas Business Trip category</t>
      </text>
    </comment>
    <comment ref="G114" authorId="38" shapeId="0" xr:uid="{2AB7D523-F00A-42A6-A283-CFF60EC4280B}">
      <text>
        <t>[Threaded comment]
Your version of Excel allows you to read this threaded comment; however, any edits to it will get removed if the file is opened in a newer version of Excel. Learn more: https://go.microsoft.com/fwlink/?linkid=870924
Comment:
    Jump in emissions is due to the inclusion of the Purchased Raw Materials category</t>
      </text>
    </comment>
    <comment ref="E115" authorId="39" shapeId="0" xr:uid="{9818D8CD-3021-4D27-A48A-69EA02452422}">
      <text>
        <t xml:space="preserve">[Threaded comment]
Your version of Excel allows you to read this threaded comment; however, any edits to it will get removed if the file is opened in a newer version of Excel. Learn more: https://go.microsoft.com/fwlink/?linkid=870924
Comment:
    Scope 1+Scope 2 aggregated market-based data given in the 2024 CSR report. Here we subtract the Scope 1 value from the total to find the Scope 2 market-based value. </t>
      </text>
    </comment>
    <comment ref="E116" authorId="40" shapeId="0" xr:uid="{376504FD-FB74-4DE9-B402-65FA68B3C564}">
      <text>
        <t>[Threaded comment]
Your version of Excel allows you to read this threaded comment; however, any edits to it will get removed if the file is opened in a newer version of Excel. Learn more: https://go.microsoft.com/fwlink/?linkid=870924
Comment:
    Values for market-based data found on table in the 2023 CSR report for 2021-2022. Note that the other years are location-based</t>
      </text>
    </comment>
    <comment ref="C118" authorId="41" shapeId="0" xr:uid="{BE574268-4823-46EA-B3D0-2B198AAD223F}">
      <text>
        <t>[Threaded comment]
Your version of Excel allows you to read this threaded comment; however, any edits to it will get removed if the file is opened in a newer version of Excel. Learn more: https://go.microsoft.com/fwlink/?linkid=870924
Comment:
    For all years: Underestimate of energy consumed because we used the conversion factor from Korea alone (1GWh=9600GJ) rather than (1GWh=3600GJ) which is used in the rest of the world. Since we don't know the proportion of energy consumed in Korea vs energy consumed in China, we are unable to separate the energy values and calculate back to GWh accurately.</t>
      </text>
    </comment>
    <comment ref="E118" authorId="42" shapeId="0" xr:uid="{1266764D-5D21-4F09-B97B-366ED8E4C350}">
      <text>
        <t xml:space="preserve">[Threaded comment]
Your version of Excel allows you to read this threaded comment; however, any edits to it will get removed if the file is opened in a newer version of Excel. Learn more: https://go.microsoft.com/fwlink/?linkid=870924
Comment:
    Scope 1+Scope 2 aggregated market-based data given in the 2024 CSR report. Here we subtract the Scope 1 value from the total to find the Scope 2 market-based value. </t>
      </text>
    </comment>
    <comment ref="C121" authorId="43" shapeId="0" xr:uid="{0519932A-B4D2-45C9-B2CB-B757598E5980}">
      <text>
        <t>[Threaded comment]
Your version of Excel allows you to read this threaded comment; however, any edits to it will get removed if the file is opened in a newer version of Excel. Learn more: https://go.microsoft.com/fwlink/?linkid=870924
Comment:
    Converted MJ to GWh</t>
      </text>
    </comment>
    <comment ref="E123" authorId="44" shapeId="0" xr:uid="{F0844026-F26D-4F4E-A00B-76B6BC9201F9}">
      <text>
        <t>[Threaded comment]
Your version of Excel allows you to read this threaded comment; however, any edits to it will get removed if the file is opened in a newer version of Excel. Learn more: https://go.microsoft.com/fwlink/?linkid=870924
Comment:
    Note that 2015-2019 market based values are assumed to be identical to location-based values which are explicitly given. This is due to the fact that there was no renewable energy consumption, and we know explicitly that the values are identical for 2020-2022</t>
      </text>
    </comment>
    <comment ref="D142" authorId="45" shapeId="0" xr:uid="{409B75FC-CF94-4641-9316-991C6F32E446}">
      <text>
        <t>[Threaded comment]
Your version of Excel allows you to read this threaded comment; however, any edits to it will get removed if the file is opened in a newer version of Excel. Learn more: https://go.microsoft.com/fwlink/?linkid=870924
Comment:
    This value may be available but could not be found during data collection</t>
      </text>
    </comment>
    <comment ref="E142" authorId="46" shapeId="0" xr:uid="{EEB5FE1B-396A-4C72-A754-6653464FF2A0}">
      <text>
        <t>[Threaded comment]
Your version of Excel allows you to read this threaded comment; however, any edits to it will get removed if the file is opened in a newer version of Excel. Learn more: https://go.microsoft.com/fwlink/?linkid=870924
Comment:
    This value may be available but could not be found during data collection</t>
      </text>
    </comment>
    <comment ref="G142" authorId="47" shapeId="0" xr:uid="{E8FAA7DB-678A-4B05-B9B7-EEF22E5BD1B5}">
      <text>
        <t>[Threaded comment]
Your version of Excel allows you to read this threaded comment; however, any edits to it will get removed if the file is opened in a newer version of Excel. Learn more: https://go.microsoft.com/fwlink/?linkid=870924
Comment:
    This value may be available but could not be found during data collection</t>
      </text>
    </comment>
    <comment ref="C172" authorId="48" shapeId="0" xr:uid="{CE63A835-C4A6-490E-9667-D3AA494D30A5}">
      <text>
        <t>[Threaded comment]
Your version of Excel allows you to read this threaded comment; however, any edits to it will get removed if the file is opened in a newer version of Excel. Learn more: https://go.microsoft.com/fwlink/?linkid=870924
Comment:
    Could potentially calculate total energy consumed using values given for natural gas in m^3 and gas/diesel/petroleum in liters.</t>
      </text>
    </comment>
    <comment ref="C181" authorId="49" shapeId="0" xr:uid="{16A4DC58-02EC-4C6C-AC3D-691383345FEE}">
      <text>
        <t>[Threaded comment]
Your version of Excel allows you to read this threaded comment; however, any edits to it will get removed if the file is opened in a newer version of Excel. Learn more: https://go.microsoft.com/fwlink/?linkid=870924
Comment:
    For all years: Converted GJ to GWh</t>
      </text>
    </comment>
    <comment ref="A182" authorId="50" shapeId="0" xr:uid="{94086503-8DB3-4293-AA82-387E278C5CB0}">
      <text>
        <t>[Threaded comment]
Your version of Excel allows you to read this threaded comment; however, any edits to it will get removed if the file is opened in a newer version of Excel. Learn more: https://go.microsoft.com/fwlink/?linkid=870924
Comment:
    Was SMEC, SMIC Shaoxing before</t>
      </text>
    </comment>
    <comment ref="C189" authorId="51" shapeId="0" xr:uid="{35367A59-E32B-43A2-BE93-C4ACC157E795}">
      <text>
        <t>[Threaded comment]
Your version of Excel allows you to read this threaded comment; however, any edits to it will get removed if the file is opened in a newer version of Excel. Learn more: https://go.microsoft.com/fwlink/?linkid=870924
Comment:
    For all years: Converted TCE to GWh</t>
      </text>
    </comment>
    <comment ref="D190" authorId="52" shapeId="0" xr:uid="{690E8828-C97A-47A3-9F2B-BCC34D433472}">
      <text>
        <t>[Threaded comment]
Your version of Excel allows you to read this threaded comment; however, any edits to it will get removed if the file is opened in a newer version of Excel. Learn more: https://go.microsoft.com/fwlink/?linkid=870924
Comment:
    2022-2023 Calculated: 
"CO2 emissions from different types of fossil fuel combustion" + "Emissions generated by gas leakage-emissions 1 generated by leakage of raw gas"</t>
      </text>
    </comment>
    <comment ref="E190" authorId="53" shapeId="0" xr:uid="{6B168F35-E944-418C-BD0A-864E5ED0D994}">
      <text>
        <t>[Threaded comment]
Your version of Excel allows you to read this threaded comment; however, any edits to it will get removed if the file is opened in a newer version of Excel. Learn more: https://go.microsoft.com/fwlink/?linkid=870924
Comment:
    2022-2023: "CO2 emissions generated by net purchased electricity"</t>
      </text>
    </comment>
    <comment ref="C195" authorId="54" shapeId="0" xr:uid="{0A47A225-80BD-4853-8B71-380D6649F65A}">
      <text>
        <t>[Threaded comment]
Your version of Excel allows you to read this threaded comment; however, any edits to it will get removed if the file is opened in a newer version of Excel. Learn more: https://go.microsoft.com/fwlink/?linkid=870924
Comment:
    2015-2019: "Total energy purchased from sources external to the organization or self-generated"</t>
      </text>
    </comment>
    <comment ref="G197" authorId="55" shapeId="0" xr:uid="{7D054A40-4F41-4835-8817-4AE5EB4EA255}">
      <text>
        <t>[Threaded comment]
Your version of Excel allows you to read this threaded comment; however, any edits to it will get removed if the file is opened in a newer version of Excel. Learn more: https://go.microsoft.com/fwlink/?linkid=870924
Comment:
    2015-2021: only Product Transport and Business Travel</t>
      </text>
    </comment>
    <comment ref="C199" authorId="56" shapeId="0" xr:uid="{F78D598C-5480-4EA3-AEE2-BEC4D6EC5C4B}">
      <text>
        <t>[Threaded comment]
Your version of Excel allows you to read this threaded comment; however, any edits to it will get removed if the file is opened in a newer version of Excel. Learn more: https://go.microsoft.com/fwlink/?linkid=870924
Comment:
    For all years: Converted GJ to GWh 
2020-2023: "This data includes manufacturing sites only"</t>
      </text>
    </comment>
    <comment ref="D218" authorId="57" shapeId="0" xr:uid="{69DC04C2-AAAC-43B4-925F-36331ECEB545}">
      <text>
        <t>[Threaded comment]
Your version of Excel allows you to read this threaded comment; however, any edits to it will get removed if the file is opened in a newer version of Excel. Learn more: https://go.microsoft.com/fwlink/?linkid=870924
Comment:
    Aggregate Scope 1+Scope 2: 219057</t>
      </text>
    </comment>
    <comment ref="E218" authorId="58" shapeId="0" xr:uid="{F38B75A3-FE07-42A7-B5BC-33F0AC26BA77}">
      <text>
        <t>[Threaded comment]
Your version of Excel allows you to read this threaded comment; however, any edits to it will get removed if the file is opened in a newer version of Excel. Learn more: https://go.microsoft.com/fwlink/?linkid=870924
Comment:
    Aggregate Scope 1+Scope 2: 219057</t>
      </text>
    </comment>
    <comment ref="D219" authorId="59" shapeId="0" xr:uid="{E297CD01-E39F-47C9-A45A-367B0D170B11}">
      <text>
        <t>[Threaded comment]
Your version of Excel allows you to read this threaded comment; however, any edits to it will get removed if the file is opened in a newer version of Excel. Learn more: https://go.microsoft.com/fwlink/?linkid=870924
Comment:
    Aggregate Scope 1+Scope 2: 217769</t>
      </text>
    </comment>
    <comment ref="E219" authorId="60" shapeId="0" xr:uid="{F3CC2786-0A59-4E2E-9EDB-097F3FD19165}">
      <text>
        <t>[Threaded comment]
Your version of Excel allows you to read this threaded comment; however, any edits to it will get removed if the file is opened in a newer version of Excel. Learn more: https://go.microsoft.com/fwlink/?linkid=870924
Comment:
    Aggregate Scope 1+Scope 2: 217769</t>
      </text>
    </comment>
    <comment ref="D220" authorId="61" shapeId="0" xr:uid="{A07DE79D-278C-4FD3-B39E-EB220D7AE5BB}">
      <text>
        <t>[Threaded comment]
Your version of Excel allows you to read this threaded comment; however, any edits to it will get removed if the file is opened in a newer version of Excel. Learn more: https://go.microsoft.com/fwlink/?linkid=870924
Comment:
    Aggregate Scope 1+Scope 2: 146567</t>
      </text>
    </comment>
    <comment ref="E220" authorId="62" shapeId="0" xr:uid="{3B1915C1-FA57-4C5B-8891-AD9625815BCA}">
      <text>
        <t>[Threaded comment]
Your version of Excel allows you to read this threaded comment; however, any edits to it will get removed if the file is opened in a newer version of Excel. Learn more: https://go.microsoft.com/fwlink/?linkid=870924
Comment:
    Aggregate Scope 1+Scope 2: 146567</t>
      </text>
    </comment>
    <comment ref="D221" authorId="63" shapeId="0" xr:uid="{D79A9884-19E5-4B84-A308-F5D5D0F10421}">
      <text>
        <t>[Threaded comment]
Your version of Excel allows you to read this threaded comment; however, any edits to it will get removed if the file is opened in a newer version of Excel. Learn more: https://go.microsoft.com/fwlink/?linkid=870924
Comment:
    Aggregate Scope 1+Scope 2: 145036</t>
      </text>
    </comment>
    <comment ref="E221" authorId="64" shapeId="0" xr:uid="{3206653B-7AD1-415F-9E74-3CA878E966C3}">
      <text>
        <t>[Threaded comment]
Your version of Excel allows you to read this threaded comment; however, any edits to it will get removed if the file is opened in a newer version of Excel. Learn more: https://go.microsoft.com/fwlink/?linkid=870924
Comment:
    Aggregate Scope 1+Scope 2: 145036</t>
      </text>
    </comment>
    <comment ref="G223" authorId="65" shapeId="0" xr:uid="{193B4FEA-8810-4A03-892E-51FDE7478914}">
      <text>
        <t>[Threaded comment]
Your version of Excel allows you to read this threaded comment; however, any edits to it will get removed if the file is opened in a newer version of Excel. Learn more: https://go.microsoft.com/fwlink/?linkid=870924
Comment:
    2015-2020: only Business Travel</t>
      </text>
    </comment>
    <comment ref="C226" authorId="66" shapeId="0" xr:uid="{F462A779-8AC0-4CC1-A31A-6B870B3408C9}">
      <text>
        <t>[Threaded comment]
Your version of Excel allows you to read this threaded comment; however, any edits to it will get removed if the file is opened in a newer version of Excel. Learn more: https://go.microsoft.com/fwlink/?linkid=870924
Comment:
    2023: Converted GJ to GWh</t>
      </text>
    </comment>
    <comment ref="C231" authorId="67" shapeId="0" xr:uid="{E90B46AE-0940-4858-BBBB-F4FAF74A95E9}">
      <text>
        <t>[Threaded comment]
Your version of Excel allows you to read this threaded comment; however, any edits to it will get removed if the file is opened in a newer version of Excel. Learn more: https://go.microsoft.com/fwlink/?linkid=870924
Comment:
    Potential typo in the 2023 CRS report. Every other report gives 695,844, but the 2023 CSR report has 691,844.</t>
      </text>
    </comment>
    <comment ref="G231" authorId="68" shapeId="0" xr:uid="{E5D145E0-3FC8-4FCF-8910-3C58BAFDD8A2}">
      <text>
        <t>[Threaded comment]
Your version of Excel allows you to read this threaded comment; however, any edits to it will get removed if the file is opened in a newer version of Excel. Learn more: https://go.microsoft.com/fwlink/?linkid=870924
Comment:
    This value may be available but could not be found during data collection</t>
      </text>
    </comment>
    <comment ref="D244" authorId="69" shapeId="0" xr:uid="{BEA3B806-66C7-4A14-9038-14ADC50CC7FD}">
      <text>
        <t>[Threaded comment]
Your version of Excel allows you to read this threaded comment; however, any edits to it will get removed if the file is opened in a newer version of Excel. Learn more: https://go.microsoft.com/fwlink/?linkid=870924
Comment:
    Note that on the Scope emissions chart 18749 is given as the contribution outside of Taiwan, but in a table below 18835 is given.</t>
      </text>
    </comment>
    <comment ref="C247" authorId="70" shapeId="0" xr:uid="{7F19ED7F-7EF8-4E8E-A463-DBDFFA913C0E}">
      <text>
        <t>[Threaded comment]
Your version of Excel allows you to read this threaded comment; however, any edits to it will get removed if the file is opened in a newer version of Excel. Learn more: https://go.microsoft.com/fwlink/?linkid=870924
Comment:
    2015-2017: Converted MJ to GWh.
2015-2017: Summed electricity consumption, natural gas consumption and diesel consumption.</t>
      </text>
    </comment>
  </commentList>
</comments>
</file>

<file path=xl/sharedStrings.xml><?xml version="1.0" encoding="utf-8"?>
<sst xmlns="http://schemas.openxmlformats.org/spreadsheetml/2006/main" count="731" uniqueCount="67">
  <si>
    <t>source</t>
  </si>
  <si>
    <t>year</t>
  </si>
  <si>
    <t>energy consumption
gwh</t>
  </si>
  <si>
    <t>scope 1 emissions
mtco2e</t>
  </si>
  <si>
    <t>scope 2 emissions
market-based
mtco2e</t>
  </si>
  <si>
    <t>scope 2 emissions
location-based
mtco2e</t>
  </si>
  <si>
    <t>scope 3 emissions
mtco2e</t>
  </si>
  <si>
    <t>Comments</t>
  </si>
  <si>
    <t>TSMC</t>
  </si>
  <si>
    <t>N/A</t>
  </si>
  <si>
    <t>Note that there are values for 2016 and 2017 Scope 2 Location-based emissions, but we assume they are typos since they are identical to the values for Scope 2 Market-based emissions for subsidiaries alone for the same years.</t>
  </si>
  <si>
    <t>UMC</t>
  </si>
  <si>
    <t>Note that there are no subsidiaries included in the values for energy consumption or Scope 3 emissions.</t>
  </si>
  <si>
    <t>Intel</t>
  </si>
  <si>
    <t>Note that the Scope 2 Market-based values have been updated, but the Scope 2 Location-based values have not been. Thus, comparison between the Market-based values and Location-based values leads to inaccuracies as the Location-based values would most likely change significantly if they were updated.</t>
  </si>
  <si>
    <t>Texas Instruments</t>
  </si>
  <si>
    <t xml:space="preserve">Note that Scope 3 emissions for Business Travel are provided in the CDP responses.  </t>
  </si>
  <si>
    <t>Micron</t>
  </si>
  <si>
    <t xml:space="preserve">Note that Scope 2 Location-based emissions and Scope 3 emissions can only be found in CDP responses.
For Micron, we noticed that they switched between different versions of the GHG Protocol and IPCC Guidelines, namely between the 2006 and the 2019 versions. This is a common practice, and it is likely that other companies may follow a similar approach as well.
</t>
  </si>
  <si>
    <t>Kioxia</t>
  </si>
  <si>
    <t>Note that the 2018-2019 Energy Consumption values are approximated from a chart using an online data extraction tool. 
Note that Scope 1 + Scope 2 aggregated emissions data is provided for 2015-2016.</t>
  </si>
  <si>
    <t>Onsemi</t>
  </si>
  <si>
    <t xml:space="preserve">Note that up until 2021, it is unclear if the Scope 2 emissions reported are Market- or Location-based. After 2021, it is explicitly stated that the values are Location-based. </t>
  </si>
  <si>
    <t>Infineon</t>
  </si>
  <si>
    <t xml:space="preserve">Note that the data for Scope emissions is found within the text rather than in a chart or table. </t>
  </si>
  <si>
    <t>STMicro</t>
  </si>
  <si>
    <t>GF</t>
  </si>
  <si>
    <t>Wolfspeed</t>
  </si>
  <si>
    <t>SMIC</t>
  </si>
  <si>
    <t>Note that it is not explicily stated if the Scope 2 emissions are Market- or Location-based.</t>
  </si>
  <si>
    <t>SK Hynix</t>
  </si>
  <si>
    <t xml:space="preserve">Note that the energy consumption values are underestimates of the true values. To convert between GJ to GWh, we used the conversion factor for Korea alone (1GWh=9600GJ) even though energy was also consumed in other parts of the world with a different conversion factor (1GWh=3600GJ). We are unable to calculate more accurately since we do not know the proportion of the energy consumed in Korea vs. other parts of the world. </t>
  </si>
  <si>
    <t>Powerchip (PSMC)</t>
  </si>
  <si>
    <t>Note that the Scope 2 Market-based values from 2015-2019 are assumed to be identical to the Location-based values for these same years, which are explicitly given. We make this assumption based on the fact that there was no renewable energy consumption during these years, and, moreover, we know explicitly that the Market- and Location-based values are identical from 2020-2022.</t>
  </si>
  <si>
    <t>Hua Hong</t>
  </si>
  <si>
    <t>Renesas</t>
  </si>
  <si>
    <t>Fuji Electric</t>
  </si>
  <si>
    <t>Microchip</t>
  </si>
  <si>
    <t>Note that it may be possible to find Scope 3 values in CDP responses.</t>
  </si>
  <si>
    <t>Wingtech Technology</t>
  </si>
  <si>
    <t>Tower(Jazz) Semiconductors</t>
  </si>
  <si>
    <t>United Nova Technologies</t>
  </si>
  <si>
    <t>NXP</t>
  </si>
  <si>
    <t xml:space="preserve">Note that the following values were approximated from charts using an online data extraction tool: 2015-2017 Scope 2 Market-based emissions and 2015-2017 Scope 3 emissions. 
Note that energy values from 2015-2019 are energy purchased rather than energy consumed. </t>
  </si>
  <si>
    <t xml:space="preserve"> </t>
  </si>
  <si>
    <t>Samsung</t>
  </si>
  <si>
    <t xml:space="preserve">Note that NF3 is not included in the Scope emissions. They state that they are planning to include NF3 in the 2025 CSR report. </t>
  </si>
  <si>
    <t>Samsung Calculation</t>
  </si>
  <si>
    <t>electricity</t>
  </si>
  <si>
    <t>energy</t>
  </si>
  <si>
    <t>scope 1</t>
  </si>
  <si>
    <t>scope 2</t>
  </si>
  <si>
    <t>scope 3</t>
  </si>
  <si>
    <t>ds division</t>
  </si>
  <si>
    <t>total</t>
  </si>
  <si>
    <t>%</t>
  </si>
  <si>
    <t xml:space="preserve">% </t>
  </si>
  <si>
    <t>ams-OSRAM</t>
  </si>
  <si>
    <t xml:space="preserve">average </t>
  </si>
  <si>
    <t>Values found in reports</t>
  </si>
  <si>
    <t>Calculated average percent</t>
  </si>
  <si>
    <t>Value calculated using average percent</t>
  </si>
  <si>
    <t>Analog Devices</t>
  </si>
  <si>
    <t>Note that from 2015-2018 there is Scope 1 and Scope 2 aggregated data provided in the CSR reports.</t>
  </si>
  <si>
    <t>Vanguard</t>
  </si>
  <si>
    <t>Winbond</t>
  </si>
  <si>
    <t>Nanya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</si>
</sst>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font>
      <sz val="11"/>
      <color theme="1"/>
      <name val="Aptos Narrow"/>
      <family val="2"/>
      <scheme val="minor"/>
    </font>
    <font>
      <b/>
      <sz val="14"/>
      <color rgb="FFFFFFFF"/>
      <name val="Calibri"/>
      <family val="2"/>
      <charset val="1"/>
    </font>
    <font>
      <sz val="11"/>
      <name val="Calibri"/>
      <family val="2"/>
      <charset val="1"/>
    </font>
    <font>
      <b/>
      <sz val="11"/>
      <color rgb="FF4472C4"/>
      <name val="Calibri"/>
      <family val="2"/>
      <charset val="1"/>
    </font>
  </fonts>
  <fills count="14">
    <fill>
      <patternFill patternType="none"/>
    </fill>
    <fill>
      <patternFill patternType="gray125"/>
    </fill>
    <fill>
      <patternFill patternType="solid">
        <fgColor theme="1" tint="0.14999847407452621"/>
        <bgColor indexed="64"/>
      </patternFill>
    </fill>
    <fill>
      <patternFill patternType="solid">
        <fgColor rgb="FF262626"/>
        <bgColor rgb="FF404040"/>
      </patternFill>
    </fill>
    <fill>
      <patternFill patternType="solid">
        <fgColor theme="1"/>
        <bgColor indexed="64"/>
      </patternFill>
    </fill>
    <fill>
      <patternFill patternType="solid">
        <fgColor theme="0"/>
        <bgColor indexed="64"/>
      </patternFill>
    </fill>
    <fill>
      <patternFill patternType="solid">
        <fgColor rgb="FFFFFFFF"/>
        <bgColor rgb="FFF2F2F2"/>
      </patternFill>
    </fill>
    <fill>
      <patternFill patternType="solid">
        <fgColor rgb="FFFFF5CE"/>
        <bgColor rgb="FFFFF5CE"/>
      </patternFill>
    </fill>
    <fill>
      <patternFill patternType="solid">
        <fgColor rgb="FFFFF5CE"/>
        <bgColor rgb="FFFFFFD7"/>
      </patternFill>
    </fill>
    <fill>
      <patternFill patternType="solid">
        <fgColor rgb="FFFFF5CE"/>
        <bgColor rgb="FFF2F2F2"/>
      </patternFill>
    </fill>
    <fill>
      <patternFill patternType="solid">
        <fgColor rgb="FFFFF5CE"/>
        <bgColor indexed="64"/>
      </patternFill>
    </fill>
    <fill>
      <patternFill patternType="solid">
        <fgColor rgb="FF94DCF9"/>
        <bgColor indexed="64"/>
      </patternFill>
    </fill>
    <fill>
      <patternFill patternType="solid">
        <fgColor theme="6" tint="0.79998168889431442"/>
        <bgColor indexed="64"/>
      </patternFill>
    </fill>
    <fill>
      <patternFill patternType="solid">
        <fgColor rgb="FFDBF2D1"/>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style="thin">
        <color rgb="FF000000"/>
      </left>
      <right/>
      <top/>
      <bottom/>
      <diagonal/>
    </border>
    <border>
      <left style="thin">
        <color rgb="FF000000"/>
      </left>
      <right/>
      <top/>
      <bottom style="thin">
        <color indexed="64"/>
      </bottom>
      <diagonal/>
    </border>
    <border>
      <left style="thin">
        <color rgb="FF000000"/>
      </left>
      <right/>
      <top/>
      <bottom style="thin">
        <color rgb="FF000000"/>
      </bottom>
      <diagonal/>
    </border>
  </borders>
  <cellStyleXfs count="1">
    <xf numFmtId="0" fontId="0" fillId="0" borderId="0"/>
  </cellStyleXfs>
  <cellXfs count="77">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1" fillId="5" borderId="0" xfId="0" applyFont="1" applyFill="1" applyAlignment="1">
      <alignment horizontal="center" vertical="center" wrapText="1"/>
    </xf>
    <xf numFmtId="0" fontId="0" fillId="6" borderId="0" xfId="0" applyFill="1"/>
    <xf numFmtId="0" fontId="2" fillId="7" borderId="0" xfId="0" applyFont="1" applyFill="1" applyAlignment="1">
      <alignment horizontal="center"/>
    </xf>
    <xf numFmtId="0" fontId="0" fillId="7" borderId="0" xfId="0" applyFill="1" applyAlignment="1">
      <alignment horizontal="center"/>
    </xf>
    <xf numFmtId="0" fontId="0" fillId="6" borderId="1" xfId="0" applyFill="1" applyBorder="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2" fillId="7" borderId="2" xfId="0" applyFont="1"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2" fillId="8" borderId="0" xfId="0" applyFont="1" applyFill="1" applyAlignment="1">
      <alignment horizontal="center"/>
    </xf>
    <xf numFmtId="0" fontId="0" fillId="8" borderId="0" xfId="0" applyFill="1" applyAlignment="1">
      <alignment horizontal="center"/>
    </xf>
    <xf numFmtId="1" fontId="0" fillId="8" borderId="0" xfId="0" applyNumberFormat="1" applyFill="1" applyAlignment="1">
      <alignment horizontal="center"/>
    </xf>
    <xf numFmtId="0" fontId="2" fillId="8" borderId="2" xfId="0" applyFont="1" applyFill="1" applyBorder="1" applyAlignment="1">
      <alignment horizontal="center"/>
    </xf>
    <xf numFmtId="0" fontId="0" fillId="8" borderId="2" xfId="0" applyFill="1" applyBorder="1" applyAlignment="1">
      <alignment horizontal="center"/>
    </xf>
    <xf numFmtId="1" fontId="0" fillId="8" borderId="2" xfId="0" applyNumberFormat="1" applyFill="1" applyBorder="1" applyAlignment="1">
      <alignment horizontal="center"/>
    </xf>
    <xf numFmtId="0" fontId="0" fillId="8" borderId="3" xfId="0" applyFill="1" applyBorder="1" applyAlignment="1">
      <alignment horizontal="center"/>
    </xf>
    <xf numFmtId="0" fontId="0" fillId="9" borderId="0" xfId="0" applyFill="1" applyAlignment="1">
      <alignment horizontal="center"/>
    </xf>
    <xf numFmtId="0" fontId="0" fillId="9" borderId="2" xfId="0" applyFill="1" applyBorder="1" applyAlignment="1">
      <alignment horizontal="center"/>
    </xf>
    <xf numFmtId="1" fontId="0" fillId="9" borderId="0" xfId="0" applyNumberFormat="1" applyFill="1" applyAlignment="1">
      <alignment horizontal="center"/>
    </xf>
    <xf numFmtId="1" fontId="0" fillId="10" borderId="2" xfId="0" applyNumberFormat="1" applyFill="1" applyBorder="1" applyAlignment="1">
      <alignment horizontal="center"/>
    </xf>
    <xf numFmtId="1" fontId="0" fillId="10" borderId="0" xfId="0" applyNumberFormat="1" applyFill="1" applyAlignment="1">
      <alignment horizontal="center"/>
    </xf>
    <xf numFmtId="0" fontId="0" fillId="10" borderId="2" xfId="0" applyFill="1" applyBorder="1" applyAlignment="1">
      <alignment horizontal="center"/>
    </xf>
    <xf numFmtId="0" fontId="0" fillId="10" borderId="0" xfId="0" applyFill="1" applyAlignment="1">
      <alignment horizontal="center"/>
    </xf>
    <xf numFmtId="0" fontId="0" fillId="5" borderId="4" xfId="0" applyFill="1" applyBorder="1" applyAlignment="1">
      <alignment horizontal="left" vertical="top" wrapText="1"/>
    </xf>
    <xf numFmtId="0" fontId="0" fillId="6" borderId="5" xfId="0" applyFill="1" applyBorder="1"/>
    <xf numFmtId="0" fontId="0" fillId="6" borderId="6" xfId="0" applyFill="1" applyBorder="1"/>
    <xf numFmtId="0" fontId="0" fillId="5" borderId="7" xfId="0" applyFill="1" applyBorder="1" applyAlignment="1">
      <alignment horizontal="left" vertical="top"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6" borderId="11" xfId="0" applyFill="1" applyBorder="1"/>
    <xf numFmtId="0" fontId="0" fillId="6" borderId="12" xfId="0" applyFill="1" applyBorder="1"/>
    <xf numFmtId="0" fontId="0" fillId="6" borderId="1" xfId="0" applyFill="1" applyBorder="1"/>
    <xf numFmtId="0" fontId="0" fillId="6" borderId="1" xfId="0" applyFill="1" applyBorder="1" applyAlignment="1">
      <alignment horizontal="center"/>
    </xf>
    <xf numFmtId="1" fontId="0" fillId="6" borderId="1" xfId="0" applyNumberFormat="1" applyFill="1" applyBorder="1"/>
    <xf numFmtId="0" fontId="0" fillId="11" borderId="1" xfId="0" applyFill="1" applyBorder="1"/>
    <xf numFmtId="10" fontId="0" fillId="12" borderId="1" xfId="0" applyNumberFormat="1" applyFill="1" applyBorder="1"/>
    <xf numFmtId="1" fontId="0" fillId="6" borderId="8" xfId="0" applyNumberFormat="1" applyFill="1" applyBorder="1"/>
    <xf numFmtId="10" fontId="0" fillId="13" borderId="1" xfId="0" applyNumberFormat="1" applyFill="1" applyBorder="1"/>
    <xf numFmtId="10" fontId="0" fillId="11" borderId="1" xfId="0" applyNumberFormat="1" applyFill="1" applyBorder="1"/>
    <xf numFmtId="0" fontId="0" fillId="11" borderId="0" xfId="0" applyFill="1"/>
    <xf numFmtId="10" fontId="0" fillId="13" borderId="10" xfId="0" applyNumberFormat="1" applyFill="1" applyBorder="1"/>
    <xf numFmtId="0" fontId="0" fillId="11" borderId="8" xfId="0" applyFill="1" applyBorder="1"/>
    <xf numFmtId="10" fontId="0" fillId="11" borderId="10" xfId="0" applyNumberFormat="1" applyFill="1" applyBorder="1"/>
    <xf numFmtId="0" fontId="0" fillId="11" borderId="13" xfId="0" applyFill="1" applyBorder="1"/>
    <xf numFmtId="0" fontId="0" fillId="11" borderId="14" xfId="0" applyFill="1" applyBorder="1"/>
    <xf numFmtId="10" fontId="0" fillId="11" borderId="15" xfId="0" applyNumberFormat="1" applyFill="1" applyBorder="1"/>
    <xf numFmtId="10" fontId="0" fillId="12" borderId="8" xfId="0" applyNumberFormat="1" applyFill="1" applyBorder="1" applyAlignment="1">
      <alignment horizontal="center"/>
    </xf>
    <xf numFmtId="10" fontId="0" fillId="12" borderId="9" xfId="0" applyNumberFormat="1" applyFill="1" applyBorder="1" applyAlignment="1">
      <alignment horizontal="center"/>
    </xf>
    <xf numFmtId="10" fontId="0" fillId="12" borderId="10" xfId="0" applyNumberFormat="1" applyFill="1" applyBorder="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0" fontId="0" fillId="11" borderId="10" xfId="0" applyFill="1" applyBorder="1" applyAlignment="1">
      <alignment horizontal="center"/>
    </xf>
    <xf numFmtId="0" fontId="0" fillId="12" borderId="8" xfId="0" applyFill="1" applyBorder="1" applyAlignment="1">
      <alignment horizontal="center"/>
    </xf>
    <xf numFmtId="0" fontId="0" fillId="12" borderId="9" xfId="0" applyFill="1" applyBorder="1" applyAlignment="1">
      <alignment horizontal="center"/>
    </xf>
    <xf numFmtId="0" fontId="0" fillId="12" borderId="10" xfId="0" applyFill="1" applyBorder="1" applyAlignment="1">
      <alignment horizontal="center"/>
    </xf>
    <xf numFmtId="0" fontId="0" fillId="5" borderId="16" xfId="0" applyFill="1" applyBorder="1" applyAlignment="1">
      <alignment horizontal="left" vertical="top" wrapText="1"/>
    </xf>
    <xf numFmtId="0" fontId="0" fillId="6" borderId="17" xfId="0" applyFill="1" applyBorder="1"/>
    <xf numFmtId="0" fontId="0" fillId="6" borderId="18" xfId="0" applyFill="1" applyBorder="1"/>
    <xf numFmtId="0" fontId="2" fillId="8" borderId="13" xfId="0" applyFont="1" applyFill="1" applyBorder="1" applyAlignment="1">
      <alignment horizontal="center"/>
    </xf>
    <xf numFmtId="0" fontId="0" fillId="8" borderId="19" xfId="0" applyFill="1" applyBorder="1" applyAlignment="1">
      <alignment horizontal="center"/>
    </xf>
    <xf numFmtId="164" fontId="0" fillId="8" borderId="19" xfId="0" applyNumberFormat="1" applyFill="1" applyBorder="1" applyAlignment="1">
      <alignment horizontal="center"/>
    </xf>
    <xf numFmtId="1" fontId="0" fillId="8" borderId="19" xfId="0" applyNumberFormat="1" applyFill="1" applyBorder="1" applyAlignment="1">
      <alignment horizontal="center"/>
    </xf>
    <xf numFmtId="0" fontId="2" fillId="8" borderId="20" xfId="0" applyFont="1" applyFill="1" applyBorder="1" applyAlignment="1">
      <alignment horizontal="center"/>
    </xf>
    <xf numFmtId="164" fontId="0" fillId="8" borderId="0" xfId="0" applyNumberFormat="1" applyFill="1" applyAlignment="1">
      <alignment horizontal="center"/>
    </xf>
    <xf numFmtId="0" fontId="2" fillId="8" borderId="21" xfId="0" applyFont="1" applyFill="1" applyBorder="1" applyAlignment="1">
      <alignment horizontal="center"/>
    </xf>
    <xf numFmtId="164" fontId="0" fillId="8" borderId="2" xfId="0" applyNumberFormat="1" applyFill="1" applyBorder="1" applyAlignment="1">
      <alignment horizontal="center"/>
    </xf>
    <xf numFmtId="0" fontId="2" fillId="8" borderId="22" xfId="0" applyFont="1" applyFill="1" applyBorder="1" applyAlignment="1">
      <alignment horizontal="center"/>
    </xf>
    <xf numFmtId="164" fontId="0" fillId="8" borderId="3" xfId="0" applyNumberFormat="1" applyFill="1" applyBorder="1" applyAlignment="1">
      <alignment horizontal="center"/>
    </xf>
    <xf numFmtId="0" fontId="3" fillId="6" borderId="0" xfId="0" applyFont="1" applyFill="1" applyAlignment="1">
      <alignment horizontal="right"/>
    </xf>
    <xf numFmtId="0" fontId="0" fillId="6" borderId="0" xfId="0" applyFill="1" applyAlignment="1">
      <alignment horizontal="center"/>
    </xf>
    <xf numFmtId="0" fontId="0" fillId="5"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5-02-15T14:30:08.96" personId="{00000000-0000-0000-0000-000000000000}" id="{FD3805B2-BC2A-4F75-9787-6A2971B24A55}">
    <text>2016-2017: These values are provided in the 2020 CSR Report, but we can confidently conclude that it is a typo since the values are identical to the Scope 2 Market-based emissions for exclusively the subsidiaries (found in the row directly above)</text>
  </threadedComment>
  <threadedComment ref="D10" dT="2025-03-11T12:51:19.52" personId="{00000000-0000-0000-0000-000000000000}" id="{CA7B132A-E9E7-419A-89FB-9DCBF1BCE6A7}">
    <text>For all years: Subsidiaries are included</text>
  </threadedComment>
  <threadedComment ref="C19" dT="2024-10-25T13:19:48.71" personId="{00000000-0000-0000-0000-000000000000}" id="{8BBB35A8-3A64-46A6-A550-72327C255572}">
    <text>For all years: Energy values are energy consumed, including renewable energy.
For all years: Subsidiaries are not included
Energy value for 2023 including subsidiaries is 4060,941 GWh. This is for UMC Group including HJ, USCXM, Wavetek, and USJC.</text>
  </threadedComment>
  <threadedComment ref="D19" dT="2025-03-11T12:55:54.02" personId="{00000000-0000-0000-0000-000000000000}" id="{6C70B834-CD99-4703-8D14-8AB5D37D6943}">
    <text xml:space="preserve">For all years: Subsidiaries are included </text>
  </threadedComment>
  <threadedComment ref="E19" dT="2025-03-11T12:55:59.08" personId="{00000000-0000-0000-0000-000000000000}" id="{42667977-CFDC-4709-96C6-4D6E5F1B7E5D}">
    <text xml:space="preserve">For all years: Subsidiaries are included </text>
  </threadedComment>
  <threadedComment ref="G19" dT="2024-10-30T14:39:48.08" personId="{00000000-0000-0000-0000-000000000000}" id="{EBDB5B7C-A7B8-4ADD-B59F-1D69AB347F6E}">
    <text xml:space="preserve">For all years: Subsidiaries are not included </text>
  </threadedComment>
  <threadedComment ref="D24" dT="2024-12-12T16:16:39.27" personId="{00000000-0000-0000-0000-000000000000}" id="{FF87D508-8AFA-4A4F-A817-E4580D53838C}">
    <text>"Our combined Scope 1 (direct) and Scope 2 (indirect) GHG emissions decreased 43% on an absolute basis in 2023 from the 2019 baseline. In 2023, we recalculated our GHG emissions for the 2019 baseline year and going forward to incorporate refinements in emission factors used in our GHG inventory and amendments to calculation parameters based on the most recent data available and industry best practices."</text>
  </threadedComment>
  <threadedComment ref="C30" dT="2025-01-03T18:57:43.07" personId="{00000000-0000-0000-0000-000000000000}" id="{07A13948-8E23-4912-AB2B-0127083BA147}">
    <text>2015-2016: Converted MMBtu to GWh</text>
  </threadedComment>
  <threadedComment ref="D36" dT="2025-03-11T13:01:19.62" personId="{00000000-0000-0000-0000-000000000000}" id="{292CEEF4-B72C-48E5-9B11-F2AF338148CC}">
    <text>TI has not included fluorinated heat transfer fluids (FHTF) in previous Corporate Citizenship Reports due to the varying calculation methodologies and guidance. Under current World Semiconductor Council (WSC) reporting guidance, the association that tracks semiconductor emissions, there is no requirement to track and report FHTF. Recently introduced U.S. Environmental Protection Agency (EPA) rules for disclosure to the EPA included FHTF and we comply with this requirement. Recently, the WSC has aligned on all regions will moving to 2019 Intergovernmental Panel on Climate Change (IPCC) guidance, which includes FHTF. TI is considering the timing of a transition to the 2019 IPCC guidance and will include FHTF emissions upon adoption.</text>
  </threadedComment>
  <threadedComment ref="G37" dT="2025-03-11T13:04:10.16" personId="{00000000-0000-0000-0000-000000000000}" id="{554D221F-A2D0-4D88-9E82-03B6E695EC3A}">
    <text>"TI reports scope 3 emissions for business travel in its annual CDP survey. In 2024, we will engage a third party to conduct a full accounting and analysis of all applicable upstream and downstream scope 3 categories. TI plans to begin reporting additional relevant scope 3 emission categories in 2025."</text>
  </threadedComment>
  <threadedComment ref="D43" dT="2025-03-11T15:01:49.13" personId="{00000000-0000-0000-0000-000000000000}" id="{933D9FA0-0DBC-4944-BEED-B918826609CD}">
    <text>GHG Protocol and IPCC Guidelines, 2019</text>
  </threadedComment>
  <threadedComment ref="E43" dT="2025-03-11T15:01:40.72" personId="{00000000-0000-0000-0000-000000000000}" id="{6AD8A232-7526-4BBD-B662-D8070847724C}">
    <text>GHG Protocol and IPCC Guidelines, 2019</text>
  </threadedComment>
  <threadedComment ref="C44" dT="2024-11-22T16:42:49.17" personId="{00000000-0000-0000-0000-000000000000}" id="{BD32A17B-EDD3-4EAA-BD25-7CE243C8FF38}">
    <text>2020-2021: Data revised from prior annual disclosures to reflect the divestiture of Lehi, Utah, operations</text>
  </threadedComment>
  <threadedComment ref="D44" dT="2024-11-22T13:14:14.94" personId="{00000000-0000-0000-0000-000000000000}" id="{90F4B4BF-44BA-4309-9D53-EF154A68C28D}">
    <text>GHG Protocol and IPCC Guidelines, 2006
2020-2021: Data revised from prior annual disclosures to reflect the divestiture of Lehi, Utah, operations</text>
  </threadedComment>
  <threadedComment ref="E44" dT="2024-11-22T14:48:05.93" personId="{00000000-0000-0000-0000-000000000000}" id="{F674D2AE-15EC-49F8-A335-A6B095534FDC}">
    <text>GHG Protocol and IPCC Guidelines,  2006
2020-2021: Data revised from prior annual disclosures to reflect the divestiture of Lehi, Utah, operations</text>
  </threadedComment>
  <threadedComment ref="D45" dT="2024-11-22T13:12:33.22" personId="{00000000-0000-0000-0000-000000000000}" id="{9F231F8B-2224-46EF-B2AC-D3FDF30E0D0C}">
    <text>GHG Protocol and IPCC Guidelines,  2019</text>
  </threadedComment>
  <threadedComment ref="E45" dT="2024-11-22T14:48:16.41" personId="{00000000-0000-0000-0000-000000000000}" id="{BD350DB4-BEA4-4C3B-B48C-4142CF16E0DE}">
    <text xml:space="preserve">GHG Protocol and IPCC Guidelines,  2019 </text>
  </threadedComment>
  <threadedComment ref="D46" dT="2024-11-22T13:12:13.60" personId="{00000000-0000-0000-0000-000000000000}" id="{27B1C7BC-B0AB-417D-85D6-314952AD7913}">
    <text>GHG Protocol and IPCC Guidelines,  2006</text>
  </threadedComment>
  <threadedComment ref="E46" dT="2024-11-22T14:48:26.26" personId="{00000000-0000-0000-0000-000000000000}" id="{4D3F404D-BC64-4514-8F23-6B3CC2C2A3D1}">
    <text>GHG Protocol and IPCC Guidelines, 2006</text>
  </threadedComment>
  <threadedComment ref="F46" dT="2025-02-21T19:59:41.24" personId="{00000000-0000-0000-0000-000000000000}" id="{CFDFAA40-D9B8-40E6-A3E4-12E60965D8AA}">
    <text>For all years: Data found in CDP responses</text>
  </threadedComment>
  <threadedComment ref="G46" dT="2025-03-11T14:55:57.08" personId="{00000000-0000-0000-0000-000000000000}" id="{4CDBD57B-F8BF-4497-B38D-D36B86597E9C}">
    <text>For all years: Data found in CDP responses</text>
  </threadedComment>
  <threadedComment ref="D47" dT="2025-03-11T13:13:23.53" personId="{00000000-0000-0000-0000-000000000000}" id="{F9B5610E-BF64-437A-80B3-CF22ED924FEF}">
    <text>Aggregate Scope 1+Scope 2: 1241000</text>
  </threadedComment>
  <threadedComment ref="E47" dT="2024-11-27T18:14:18.23" personId="{00000000-0000-0000-0000-000000000000}" id="{4910D197-64F6-44D9-8C28-A01DEB19BB35}">
    <text>Aggregate Scope 1+Scope 2: 1241000</text>
  </threadedComment>
  <threadedComment ref="D48" dT="2024-11-27T18:13:48.80" personId="{00000000-0000-0000-0000-000000000000}" id="{8339A8C3-C603-4559-9BA7-89719B3AB574}">
    <text>Aggregate Scope 1+Scope 2: 1404000</text>
  </threadedComment>
  <threadedComment ref="E48" dT="2024-11-27T18:14:10.54" personId="{00000000-0000-0000-0000-000000000000}" id="{C0EF761C-3212-4FFF-B931-F80C0523E9D3}">
    <text>Aggregate Scope 1+Scope 2: 1404000</text>
  </threadedComment>
  <threadedComment ref="D49" dT="2025-01-23T16:30:03.89" personId="{00000000-0000-0000-0000-000000000000}" id="{909331F2-5E55-454D-AEBF-671B36D72A68}">
    <text>Found in "Third Party Verification" in the 2019 CSR report on page 121</text>
  </threadedComment>
  <threadedComment ref="E49" dT="2025-01-23T16:30:14.25" personId="{00000000-0000-0000-0000-000000000000}" id="{F0FA3DC7-5018-4AE3-8731-366F9BD8C8B8}">
    <text>Found in "Third Party Verification" in the 2019 CSR report on page 121</text>
  </threadedComment>
  <threadedComment ref="C50" dT="2024-11-27T18:36:19.92" personId="{00000000-0000-0000-0000-000000000000}" id="{936B05B3-20C2-418D-8677-3BE821D21355}">
    <text>Approximated value from a chart in the 2021 CSR report on page 67</text>
  </threadedComment>
  <threadedComment ref="C51" dT="2024-11-27T18:36:13.25" personId="{00000000-0000-0000-0000-000000000000}" id="{881C95B6-F9B3-494A-B895-1697AD8841D5}">
    <text>Approximated value from a chart in the 2021 CSR report on page 67</text>
  </threadedComment>
  <threadedComment ref="D56" dT="2024-11-01T14:58:07.34" personId="{00000000-0000-0000-0000-000000000000}" id="{2B4295DB-583C-4406-93F0-9E0E35D10074}">
    <text>Converted MTCE to MTCO2</text>
  </threadedComment>
  <threadedComment ref="F56" dT="2024-11-01T14:58:16.01" personId="{00000000-0000-0000-0000-000000000000}" id="{90080C02-B0A7-424C-B266-0F4521D3B44D}">
    <text>Converted MTCE to MTCO2</text>
  </threadedComment>
  <threadedComment ref="G62" dT="2024-11-01T15:23:27.20" personId="{00000000-0000-0000-0000-000000000000}" id="{3C5968EA-208A-4B9A-90FE-E5EEDD884740}">
    <text>2019-2021: Only Business travel reported</text>
  </threadedComment>
  <threadedComment ref="D63" dT="2024-11-01T15:19:09.65" personId="{00000000-0000-0000-0000-000000000000}" id="{CC6B759D-C259-4FB3-88A2-A3D8F6466149}">
    <text>Emissions in 2022 are the "enterprise-wide emissions inventories by year"</text>
  </threadedComment>
  <threadedComment ref="F63" dT="2024-11-01T15:20:32.53" personId="{00000000-0000-0000-0000-000000000000}" id="{123A50E3-9458-4164-8C7E-D945FCD5F6CD}">
    <text>Emissions in 2022 are the "enterprise-wide emissions inventories by year"</text>
  </threadedComment>
  <threadedComment ref="G63" dT="2024-11-01T15:20:37.17" personId="{00000000-0000-0000-0000-000000000000}" id="{1E2A362D-F61A-4F89-9443-6D1D72AD7A69}">
    <text>"2022 baseline emissions have been recalculated from last year’s disclosure to include emissions from the acquisition of EFK and Scope 1 and 2 has been adjusted to only include manufacturing sites"</text>
  </threadedComment>
  <threadedComment ref="D65" dT="2025-01-21T08:45:07.28" personId="{00000000-0000-0000-0000-000000000000}" id="{4F7EFF87-13C4-44A7-A4BB-42C2065A55D7}">
    <text>Note this value is found in an infograph in the 2015 CSR report on page 10.</text>
  </threadedComment>
  <threadedComment ref="C82" dT="2025-03-11T14:15:32.54" personId="{00000000-0000-0000-0000-000000000000}" id="{22F98CFD-3FF7-4323-A7C5-133609D4A2A0}">
    <text>For all years: Converted TJ to GWh</text>
  </threadedComment>
  <threadedComment ref="G111" dT="2024-11-07T14:18:16.38" personId="{00000000-0000-0000-0000-000000000000}" id="{9E5A7B1D-4832-4092-A5A5-A104805F0087}">
    <text>Drop in emissions is due to significant decrease in emissions in Overseas Business Trip category</text>
  </threadedComment>
  <threadedComment ref="G114" dT="2024-11-07T14:07:41.67" personId="{00000000-0000-0000-0000-000000000000}" id="{2AB7D523-F00A-42A6-A283-CFF60EC4280B}">
    <text>Jump in emissions is due to the inclusion of the Purchased Raw Materials category</text>
  </threadedComment>
  <threadedComment ref="E115" dT="2025-03-11T14:19:18.14" personId="{00000000-0000-0000-0000-000000000000}" id="{9818D8CD-3021-4D27-A48A-69EA02452422}">
    <text xml:space="preserve">Scope 1+Scope 2 aggregated market-based data given in the 2024 CSR report. Here we subtract the Scope 1 value from the total to find the Scope 2 market-based value. </text>
  </threadedComment>
  <threadedComment ref="E116" dT="2024-11-07T15:02:57.81" personId="{00000000-0000-0000-0000-000000000000}" id="{376504FD-FB74-4DE9-B402-65FA68B3C564}">
    <text>Values for market-based data found on table in the 2023 CSR report for 2021-2022. Note that the other years are location-based</text>
  </threadedComment>
  <threadedComment ref="C118" dT="2025-03-11T14:16:45.56" personId="{00000000-0000-0000-0000-000000000000}" id="{BE574268-4823-46EA-B3D0-2B198AAD223F}">
    <text>For all years: Underestimate of energy consumed because we used the conversion factor from Korea alone (1GWh=9600GJ) rather than (1GWh=3600GJ) which is used in the rest of the world. Since we don't know the proportion of energy consumed in Korea vs energy consumed in China, we are unable to separate the energy values and calculate back to GWh accurately.</text>
  </threadedComment>
  <threadedComment ref="E118" dT="2024-11-07T15:07:43.95" personId="{00000000-0000-0000-0000-000000000000}" id="{1266764D-5D21-4F09-B97B-366ED8E4C350}">
    <text xml:space="preserve">Scope 1+Scope 2 aggregated market-based data given in the 2024 CSR report. Here we subtract the Scope 1 value from the total to find the Scope 2 market-based value. </text>
  </threadedComment>
  <threadedComment ref="C121" dT="2024-12-13T14:53:39.90" personId="{00000000-0000-0000-0000-000000000000}" id="{0519932A-B4D2-45C9-B2CB-B757598E5980}">
    <text>Converted MJ to GWh</text>
  </threadedComment>
  <threadedComment ref="E123" dT="2024-12-16T14:23:09.26" personId="{00000000-0000-0000-0000-000000000000}" id="{F0844026-F26D-4F4E-A00B-76B6BC9201F9}">
    <text>Note that 2015-2019 market based values are assumed to be identical to location-based values which are explicitly given. This is due to the fact that there was no renewable energy consumption, and we know explicitly that the values are identical for 2020-2022</text>
  </threadedComment>
  <threadedComment ref="D142" dT="2025-02-21T20:37:34.80" personId="{00000000-0000-0000-0000-000000000000}" id="{409B75FC-CF94-4641-9316-991C6F32E446}">
    <text>This value may be available but could not be found during data collection</text>
  </threadedComment>
  <threadedComment ref="E142" dT="2025-02-21T20:37:45.20" personId="{00000000-0000-0000-0000-000000000000}" id="{EEB5FE1B-396A-4C72-A754-6653464FF2A0}">
    <text>This value may be available but could not be found during data collection</text>
  </threadedComment>
  <threadedComment ref="G142" dT="2025-03-11T14:23:20.53" personId="{00000000-0000-0000-0000-000000000000}" id="{E8FAA7DB-678A-4B05-B9B7-EEF22E5BD1B5}">
    <text>This value may be available but could not be found during data collection</text>
  </threadedComment>
  <threadedComment ref="C172" dT="2024-10-18T17:27:39.77" personId="{00000000-0000-0000-0000-000000000000}" id="{CE63A835-C4A6-490E-9667-D3AA494D30A5}">
    <text>Could potentially calculate total energy consumed using values given for natural gas in m^3 and gas/diesel/petroleum in liters.</text>
  </threadedComment>
  <threadedComment ref="C181" dT="2024-10-18T15:22:16.43" personId="{00000000-0000-0000-0000-000000000000}" id="{16A4DC58-02EC-4C6C-AC3D-691383345FEE}">
    <text>For all years: Converted GJ to GWh</text>
  </threadedComment>
  <threadedComment ref="A182" dT="2024-11-06T06:56:58.19" personId="{00000000-0000-0000-0000-000000000000}" id="{94086503-8DB3-4293-AA82-387E278C5CB0}">
    <text>Was SMEC, SMIC Shaoxing before</text>
  </threadedComment>
  <threadedComment ref="C189" dT="2024-10-17T14:50:19.87" personId="{00000000-0000-0000-0000-000000000000}" id="{35367A59-E32B-43A2-BE93-C4ACC157E795}">
    <text>For all years: Converted TCE to GWh</text>
  </threadedComment>
  <threadedComment ref="D190" dT="2024-10-17T14:05:50.19" personId="{00000000-0000-0000-0000-000000000000}" id="{690E8828-C97A-47A3-9F2B-BCC34D433472}">
    <text>2022-2023 Calculated: 
"CO2 emissions from different types of fossil fuel combustion" + "Emissions generated by gas leakage-emissions 1 generated by leakage of raw gas"</text>
  </threadedComment>
  <threadedComment ref="E190" dT="2024-10-17T14:15:03.29" personId="{00000000-0000-0000-0000-000000000000}" id="{6B168F35-E944-418C-BD0A-864E5ED0D994}">
    <text>2022-2023: "CO2 emissions generated by net purchased electricity"</text>
  </threadedComment>
  <threadedComment ref="C195" dT="2024-10-17T12:48:39.78" personId="{00000000-0000-0000-0000-000000000000}" id="{0A47A225-80BD-4853-8B71-380D6649F65A}">
    <text>2015-2019: "Total energy purchased from sources external to the organization or self-generated"</text>
  </threadedComment>
  <threadedComment ref="G197" dT="2024-10-17T12:06:35.66" personId="{00000000-0000-0000-0000-000000000000}" id="{7D054A40-4F41-4835-8817-4AE5EB4EA255}">
    <text>2015-2021: only Product Transport and Business Travel</text>
  </threadedComment>
  <threadedComment ref="C199" dT="2024-10-16T15:12:36.88" personId="{00000000-0000-0000-0000-000000000000}" id="{F78D598C-5480-4EA3-AEE2-BEC4D6EC5C4B}">
    <text>For all years: Converted GJ to GWh 
2020-2023: "This data includes manufacturing sites only"</text>
  </threadedComment>
  <threadedComment ref="D218" dT="2025-03-11T14:47:29.96" personId="{00000000-0000-0000-0000-000000000000}" id="{69DC04C2-AAAC-43B4-925F-36331ECEB545}">
    <text>Aggregate Scope 1+Scope 2: 219057</text>
  </threadedComment>
  <threadedComment ref="E218" dT="2025-03-11T14:47:51.54" personId="{00000000-0000-0000-0000-000000000000}" id="{F38B75A3-FE07-42A7-B5BC-33F0AC26BA77}">
    <text>Aggregate Scope 1+Scope 2: 219057</text>
  </threadedComment>
  <threadedComment ref="D219" dT="2025-03-11T14:46:46.30" personId="{00000000-0000-0000-0000-000000000000}" id="{E297CD01-E39F-47C9-A45A-367B0D170B11}">
    <text>Aggregate Scope 1+Scope 2: 217769</text>
  </threadedComment>
  <threadedComment ref="E219" dT="2025-03-11T14:47:01.04" personId="{00000000-0000-0000-0000-000000000000}" id="{F3CC2786-0A59-4E2E-9EDB-097F3FD19165}">
    <text>Aggregate Scope 1+Scope 2: 217769</text>
  </threadedComment>
  <threadedComment ref="D220" dT="2025-03-11T14:46:21.17" personId="{00000000-0000-0000-0000-000000000000}" id="{A07DE79D-278C-4FD3-B39E-EB220D7AE5BB}">
    <text>Aggregate Scope 1+Scope 2: 146567</text>
  </threadedComment>
  <threadedComment ref="E220" dT="2025-03-11T14:46:28.94" personId="{00000000-0000-0000-0000-000000000000}" id="{3B1915C1-FA57-4C5B-8891-AD9625815BCA}">
    <text>Aggregate Scope 1+Scope 2: 146567</text>
  </threadedComment>
  <threadedComment ref="D221" dT="2025-03-11T14:45:58.83" personId="{00000000-0000-0000-0000-000000000000}" id="{D79A9884-19E5-4B84-A308-F5D5D0F10421}">
    <text>Aggregate Scope 1+Scope 2: 145036</text>
  </threadedComment>
  <threadedComment ref="E221" dT="2025-03-11T14:46:03.75" personId="{00000000-0000-0000-0000-000000000000}" id="{3206653B-7AD1-415F-9E74-3CA878E966C3}">
    <text>Aggregate Scope 1+Scope 2: 145036</text>
  </threadedComment>
  <threadedComment ref="G223" dT="2025-03-11T14:48:53.65" personId="{00000000-0000-0000-0000-000000000000}" id="{193B4FEA-8810-4A03-892E-51FDE7478914}">
    <text>2015-2020: only Business Travel</text>
  </threadedComment>
  <threadedComment ref="C226" dT="2025-03-11T12:47:53.14" personId="{00000000-0000-0000-0000-000000000000}" id="{F462A779-8AC0-4CC1-A31A-6B870B3408C9}">
    <text>2023: Converted GJ to GWh</text>
  </threadedComment>
  <threadedComment ref="C231" dT="2024-11-08T17:55:42.22" personId="{00000000-0000-0000-0000-000000000000}" id="{E90B46AE-0940-4858-BBBB-F4FAF74A95E9}">
    <text>Potential typo in the 2023 CRS report. Every other report gives 695,844, but the 2023 CSR report has 691,844.</text>
  </threadedComment>
  <threadedComment ref="G231" dT="2025-03-11T14:50:17.13" personId="{00000000-0000-0000-0000-000000000000}" id="{E5D145E0-3FC8-4FCF-8910-3C58BAFDD8A2}">
    <text>This value may be available but could not be found during data collection</text>
  </threadedComment>
  <threadedComment ref="D244" dT="2024-11-20T16:34:13.85" personId="{00000000-0000-0000-0000-000000000000}" id="{BEA3B806-66C7-4A14-9038-14ADC50CC7FD}">
    <text>Note that on the Scope emissions chart 18749 is given as the contribution outside of Taiwan, but in a table below 18835 is given.</text>
  </threadedComment>
  <threadedComment ref="C247" dT="2024-11-21T15:28:57.66" personId="{00000000-0000-0000-0000-000000000000}" id="{7F19ED7F-7EF8-4E8E-A463-DBDFFA913C0E}">
    <text>2015-2017: Converted MJ to GWh.
2015-2017: Summed electricity consumption, natural gas consumption and diesel consumption.</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C20C-DD56-4021-8A69-9EBAEB401A0F}">
  <dimension ref="A1:IT263"/>
  <sheetViews>
    <sheetView tabSelected="1" zoomScaleNormal="70" workbookViewId="0">
      <pane ySplit="1" topLeftCell="A33" activePane="bottomLeft" state="frozen"/>
      <selection pane="bottomLeft" activeCell="D184" sqref="D184"/>
    </sheetView>
  </sheetViews>
  <sheetFormatPr defaultColWidth="10.42578125" defaultRowHeight="15" customHeight="1"/>
  <cols>
    <col min="1" max="1" width="26.42578125" style="74" bestFit="1" customWidth="1"/>
    <col min="2" max="2" width="12.140625" style="75" customWidth="1"/>
    <col min="3" max="3" width="27.5703125" style="75" customWidth="1"/>
    <col min="4" max="4" width="25.42578125" style="75" customWidth="1"/>
    <col min="5" max="5" width="27.140625" style="75" customWidth="1"/>
    <col min="6" max="6" width="30.7109375" style="75" customWidth="1"/>
    <col min="7" max="7" width="24.42578125" style="75" customWidth="1"/>
    <col min="8" max="8" width="52.85546875" style="5" customWidth="1"/>
    <col min="9" max="9" width="5.5703125" style="5" customWidth="1"/>
    <col min="10" max="10" width="4.5703125" style="76" customWidth="1"/>
    <col min="11" max="14" width="10.7109375" style="5" customWidth="1"/>
    <col min="15" max="15" width="16.28515625" style="5" customWidth="1"/>
    <col min="16" max="26" width="10.7109375" style="5" customWidth="1"/>
    <col min="27" max="27" width="4.5703125" style="5" customWidth="1"/>
    <col min="28" max="35" width="10.7109375" style="5" customWidth="1"/>
  </cols>
  <sheetData>
    <row r="1" spans="1:254" ht="54.75" customHeight="1">
      <c r="A1" s="1" t="s">
        <v>0</v>
      </c>
      <c r="B1" s="1" t="s">
        <v>1</v>
      </c>
      <c r="C1" s="2" t="s">
        <v>2</v>
      </c>
      <c r="D1" s="2" t="s">
        <v>3</v>
      </c>
      <c r="E1" s="2" t="s">
        <v>4</v>
      </c>
      <c r="F1" s="2" t="s">
        <v>5</v>
      </c>
      <c r="G1" s="2" t="s">
        <v>6</v>
      </c>
      <c r="H1" s="3" t="s">
        <v>7</v>
      </c>
      <c r="I1" s="4"/>
      <c r="J1" s="4"/>
    </row>
    <row r="2" spans="1:254" ht="14.45" customHeight="1">
      <c r="A2" s="6" t="s">
        <v>8</v>
      </c>
      <c r="B2" s="7">
        <v>2015</v>
      </c>
      <c r="C2" s="7">
        <v>8915</v>
      </c>
      <c r="D2" s="7">
        <v>2027645</v>
      </c>
      <c r="E2" s="7">
        <v>4642646</v>
      </c>
      <c r="F2" s="7" t="s">
        <v>9</v>
      </c>
      <c r="G2" s="7">
        <v>3446447</v>
      </c>
      <c r="H2" s="8" t="s">
        <v>10</v>
      </c>
      <c r="I2" s="9"/>
      <c r="J2" s="10"/>
    </row>
    <row r="3" spans="1:254" ht="14.45" customHeight="1">
      <c r="A3" s="6" t="s">
        <v>8</v>
      </c>
      <c r="B3" s="7">
        <v>2016</v>
      </c>
      <c r="C3" s="7">
        <v>9848</v>
      </c>
      <c r="D3" s="7">
        <v>2035510</v>
      </c>
      <c r="E3" s="7">
        <v>5378443</v>
      </c>
      <c r="F3" s="7" t="s">
        <v>9</v>
      </c>
      <c r="G3" s="7">
        <v>3767411</v>
      </c>
      <c r="H3" s="8"/>
      <c r="I3" s="9"/>
      <c r="J3" s="10"/>
    </row>
    <row r="4" spans="1:254" ht="14.45" customHeight="1">
      <c r="A4" s="6" t="s">
        <v>8</v>
      </c>
      <c r="B4" s="7">
        <v>2017</v>
      </c>
      <c r="C4" s="7">
        <v>12016</v>
      </c>
      <c r="D4" s="7">
        <v>2075928</v>
      </c>
      <c r="E4" s="7">
        <v>6080212</v>
      </c>
      <c r="F4" s="7" t="s">
        <v>9</v>
      </c>
      <c r="G4" s="7">
        <v>4242521</v>
      </c>
      <c r="H4" s="8"/>
      <c r="I4" s="9"/>
      <c r="J4" s="10"/>
    </row>
    <row r="5" spans="1:254" ht="14.45" customHeight="1">
      <c r="A5" s="6" t="s">
        <v>8</v>
      </c>
      <c r="B5" s="7">
        <v>2018</v>
      </c>
      <c r="C5" s="7">
        <v>13167</v>
      </c>
      <c r="D5" s="7">
        <v>2125725</v>
      </c>
      <c r="E5" s="7">
        <v>6349642</v>
      </c>
      <c r="F5" s="7">
        <v>7001654</v>
      </c>
      <c r="G5" s="7">
        <v>4315497</v>
      </c>
      <c r="H5" s="8"/>
      <c r="I5" s="9"/>
      <c r="J5" s="10"/>
    </row>
    <row r="6" spans="1:254" ht="14.45" customHeight="1">
      <c r="A6" s="6" t="s">
        <v>8</v>
      </c>
      <c r="B6" s="7">
        <v>2019</v>
      </c>
      <c r="C6" s="7">
        <v>14323</v>
      </c>
      <c r="D6" s="7">
        <v>2071743</v>
      </c>
      <c r="E6" s="7">
        <v>6697872</v>
      </c>
      <c r="F6" s="7">
        <v>7350195</v>
      </c>
      <c r="G6" s="7">
        <v>5307028</v>
      </c>
      <c r="H6" s="8"/>
      <c r="I6" s="9"/>
      <c r="J6" s="10"/>
    </row>
    <row r="7" spans="1:254" ht="14.45" customHeight="1">
      <c r="A7" s="6" t="s">
        <v>8</v>
      </c>
      <c r="B7" s="7">
        <v>2020</v>
      </c>
      <c r="C7" s="7">
        <v>16919</v>
      </c>
      <c r="D7" s="7">
        <v>2004841</v>
      </c>
      <c r="E7" s="7">
        <v>7459856</v>
      </c>
      <c r="F7" s="7">
        <v>8282509</v>
      </c>
      <c r="G7" s="7">
        <v>5511486</v>
      </c>
      <c r="H7" s="8"/>
      <c r="I7" s="9"/>
      <c r="J7" s="10"/>
    </row>
    <row r="8" spans="1:254" ht="14.45" customHeight="1">
      <c r="A8" s="6" t="s">
        <v>8</v>
      </c>
      <c r="B8" s="7">
        <v>2021</v>
      </c>
      <c r="C8" s="7">
        <v>19192</v>
      </c>
      <c r="D8" s="7">
        <v>2151937</v>
      </c>
      <c r="E8" s="7">
        <v>8152497</v>
      </c>
      <c r="F8" s="7">
        <v>9196964</v>
      </c>
      <c r="G8" s="7">
        <v>6049256</v>
      </c>
      <c r="H8" s="8"/>
      <c r="I8" s="9"/>
      <c r="J8" s="10"/>
    </row>
    <row r="9" spans="1:254" ht="14.45" customHeight="1">
      <c r="A9" s="6" t="s">
        <v>8</v>
      </c>
      <c r="B9" s="7">
        <v>2022</v>
      </c>
      <c r="C9" s="7">
        <v>22423</v>
      </c>
      <c r="D9" s="7">
        <v>2018789</v>
      </c>
      <c r="E9" s="7">
        <v>9539765</v>
      </c>
      <c r="F9" s="7">
        <v>10887145</v>
      </c>
      <c r="G9" s="7">
        <v>7429158</v>
      </c>
      <c r="H9" s="8"/>
      <c r="I9" s="9"/>
      <c r="J9" s="10"/>
    </row>
    <row r="10" spans="1:254" ht="14.45" customHeight="1">
      <c r="A10" s="11" t="s">
        <v>8</v>
      </c>
      <c r="B10" s="12">
        <v>2023</v>
      </c>
      <c r="C10" s="12">
        <v>24775</v>
      </c>
      <c r="D10" s="12">
        <v>1596031</v>
      </c>
      <c r="E10" s="12">
        <v>10187387</v>
      </c>
      <c r="F10" s="12">
        <v>11466118</v>
      </c>
      <c r="G10" s="13">
        <v>7616655</v>
      </c>
      <c r="H10" s="8"/>
      <c r="I10" s="9"/>
      <c r="J10" s="10"/>
    </row>
    <row r="11" spans="1:254" ht="15" customHeight="1">
      <c r="A11" s="14" t="s">
        <v>11</v>
      </c>
      <c r="B11" s="15">
        <v>2015</v>
      </c>
      <c r="C11" s="16">
        <f>2305.685+232.677+1.851</f>
        <v>2540.2130000000002</v>
      </c>
      <c r="D11" s="15">
        <f>621421+141423</f>
        <v>762844</v>
      </c>
      <c r="E11" s="15">
        <f>1167237+150391</f>
        <v>1317628</v>
      </c>
      <c r="F11" s="15" t="s">
        <v>9</v>
      </c>
      <c r="G11" s="15">
        <v>2514200</v>
      </c>
      <c r="H11" s="8" t="s">
        <v>12</v>
      </c>
      <c r="I11" s="9"/>
      <c r="J11" s="10"/>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row>
    <row r="12" spans="1:254" ht="14.45" customHeight="1">
      <c r="A12" s="14" t="s">
        <v>11</v>
      </c>
      <c r="B12" s="15">
        <v>2016</v>
      </c>
      <c r="C12" s="16">
        <f>2290.119+221.602+1.68</f>
        <v>2513.4009999999998</v>
      </c>
      <c r="D12" s="15">
        <f>615917+112038</f>
        <v>727955</v>
      </c>
      <c r="E12" s="15">
        <f>1186435+154177</f>
        <v>1340612</v>
      </c>
      <c r="F12" s="15" t="s">
        <v>9</v>
      </c>
      <c r="G12" s="15">
        <f>1045161+718501+602+14410+582096+941496+1275+2991+335323</f>
        <v>3641855</v>
      </c>
      <c r="H12" s="8"/>
      <c r="I12" s="9"/>
      <c r="J12" s="10"/>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row>
    <row r="13" spans="1:254" ht="14.45" customHeight="1">
      <c r="A13" s="14" t="s">
        <v>11</v>
      </c>
      <c r="B13" s="15">
        <v>2017</v>
      </c>
      <c r="C13" s="16">
        <f>2749.189</f>
        <v>2749.1889999999999</v>
      </c>
      <c r="D13" s="15">
        <f>603958+127975+14615+18699</f>
        <v>765247</v>
      </c>
      <c r="E13" s="15">
        <f>1356479+134605+159658+39015</f>
        <v>1689757</v>
      </c>
      <c r="F13" s="15" t="s">
        <v>9</v>
      </c>
      <c r="G13" s="15">
        <v>2218099</v>
      </c>
      <c r="H13" s="8"/>
      <c r="I13" s="9"/>
      <c r="J13" s="10"/>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row>
    <row r="14" spans="1:254" ht="14.45" customHeight="1">
      <c r="A14" s="14" t="s">
        <v>11</v>
      </c>
      <c r="B14" s="15">
        <v>2018</v>
      </c>
      <c r="C14" s="16">
        <v>2740.2310000000002</v>
      </c>
      <c r="D14" s="15">
        <f>595576+127372+16301+17063</f>
        <v>756312</v>
      </c>
      <c r="E14" s="15">
        <f>1364947+141279+192517+40177</f>
        <v>1738920</v>
      </c>
      <c r="F14" s="15" t="s">
        <v>9</v>
      </c>
      <c r="G14" s="15">
        <v>1967773</v>
      </c>
      <c r="H14" s="8"/>
      <c r="I14" s="9"/>
      <c r="J14" s="10"/>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row>
    <row r="15" spans="1:254" ht="14.45" customHeight="1">
      <c r="A15" s="14" t="s">
        <v>11</v>
      </c>
      <c r="B15" s="15">
        <v>2019</v>
      </c>
      <c r="C15" s="16">
        <v>2725.6439999999998</v>
      </c>
      <c r="D15" s="15">
        <f>701267+195505+33907+21706</f>
        <v>952385</v>
      </c>
      <c r="E15" s="15">
        <f>1317572+149521+211565+36970</f>
        <v>1715628</v>
      </c>
      <c r="F15" s="15" t="s">
        <v>9</v>
      </c>
      <c r="G15" s="15">
        <v>2159255</v>
      </c>
      <c r="H15" s="8"/>
      <c r="I15" s="9"/>
      <c r="J15" s="10"/>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row>
    <row r="16" spans="1:254" ht="14.45" customHeight="1">
      <c r="A16" s="14" t="s">
        <v>11</v>
      </c>
      <c r="B16" s="15">
        <v>2020</v>
      </c>
      <c r="C16" s="16">
        <v>2835.7020000000002</v>
      </c>
      <c r="D16" s="15">
        <v>1047775</v>
      </c>
      <c r="E16" s="15">
        <v>1847299</v>
      </c>
      <c r="F16" s="15" t="s">
        <v>9</v>
      </c>
      <c r="G16" s="15">
        <v>2318460</v>
      </c>
      <c r="H16" s="8"/>
      <c r="I16" s="9"/>
      <c r="J16" s="10"/>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row>
    <row r="17" spans="1:254" ht="14.45" customHeight="1">
      <c r="A17" s="14" t="s">
        <v>11</v>
      </c>
      <c r="B17" s="15">
        <v>2021</v>
      </c>
      <c r="C17" s="16">
        <v>2883.3989999999999</v>
      </c>
      <c r="D17" s="15">
        <v>989426</v>
      </c>
      <c r="E17" s="15">
        <v>1784489</v>
      </c>
      <c r="F17" s="15" t="s">
        <v>9</v>
      </c>
      <c r="G17" s="15">
        <v>2834727</v>
      </c>
      <c r="H17" s="8"/>
      <c r="I17" s="9"/>
      <c r="J17" s="10"/>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row>
    <row r="18" spans="1:254" ht="14.45" customHeight="1">
      <c r="A18" s="14" t="s">
        <v>11</v>
      </c>
      <c r="B18" s="15">
        <v>2022</v>
      </c>
      <c r="C18" s="16">
        <v>3000.645</v>
      </c>
      <c r="D18" s="15">
        <v>865984</v>
      </c>
      <c r="E18" s="15">
        <v>1757833</v>
      </c>
      <c r="F18" s="15" t="s">
        <v>9</v>
      </c>
      <c r="G18" s="15">
        <v>2064284</v>
      </c>
      <c r="H18" s="8"/>
      <c r="I18" s="9"/>
      <c r="J18" s="10"/>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row>
    <row r="19" spans="1:254" ht="14.45" customHeight="1">
      <c r="A19" s="17" t="s">
        <v>11</v>
      </c>
      <c r="B19" s="18">
        <v>2023</v>
      </c>
      <c r="C19" s="19">
        <f>3050.481</f>
        <v>3050.4810000000002</v>
      </c>
      <c r="D19" s="18">
        <v>509555</v>
      </c>
      <c r="E19" s="18">
        <v>1636208</v>
      </c>
      <c r="F19" s="18" t="s">
        <v>9</v>
      </c>
      <c r="G19" s="18">
        <f>1893167</f>
        <v>1893167</v>
      </c>
      <c r="H19" s="8"/>
      <c r="I19" s="9"/>
      <c r="J19" s="10"/>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row>
    <row r="20" spans="1:254">
      <c r="A20" s="14" t="s">
        <v>13</v>
      </c>
      <c r="B20" s="15">
        <v>2015</v>
      </c>
      <c r="C20" s="15">
        <f>(5.2+1+0.02)*1000</f>
        <v>6220</v>
      </c>
      <c r="D20" s="15">
        <f>(1.06)*1000000</f>
        <v>1060000</v>
      </c>
      <c r="E20" s="15">
        <f>0.95*1000000</f>
        <v>950000</v>
      </c>
      <c r="F20" s="15">
        <v>2440000</v>
      </c>
      <c r="G20" s="15">
        <f>138000+232000+142000+1050000</f>
        <v>1562000</v>
      </c>
      <c r="H20" s="8" t="s">
        <v>14</v>
      </c>
      <c r="I20" s="9"/>
      <c r="J20" s="10"/>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row>
    <row r="21" spans="1:254" ht="14.45" customHeight="1">
      <c r="A21" s="14" t="s">
        <v>13</v>
      </c>
      <c r="B21" s="15">
        <v>2016</v>
      </c>
      <c r="C21" s="15">
        <f>(5.4+1+0.02)*1000</f>
        <v>6420</v>
      </c>
      <c r="D21" s="15">
        <f>(0.47+0.24+0.27)*1000000</f>
        <v>980000</v>
      </c>
      <c r="E21" s="15">
        <f>0.65*1000000</f>
        <v>650000</v>
      </c>
      <c r="F21" s="15">
        <v>2439000</v>
      </c>
      <c r="G21" s="15">
        <v>2740000</v>
      </c>
      <c r="H21" s="8"/>
      <c r="I21" s="9"/>
      <c r="J21" s="10"/>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row>
    <row r="22" spans="1:254" ht="14.45" customHeight="1">
      <c r="A22" s="14" t="s">
        <v>13</v>
      </c>
      <c r="B22" s="15">
        <v>2017</v>
      </c>
      <c r="C22" s="15">
        <f>(5.9+1.4+0.01)*1000</f>
        <v>7310.0000000000009</v>
      </c>
      <c r="D22" s="15">
        <f>(0.52+0.26+0.72)*1000000</f>
        <v>1500000</v>
      </c>
      <c r="E22" s="15">
        <f>0.97*1000000</f>
        <v>970000</v>
      </c>
      <c r="F22" s="15">
        <v>2615000</v>
      </c>
      <c r="G22" s="15">
        <v>12320000</v>
      </c>
      <c r="H22" s="8"/>
      <c r="I22" s="9"/>
      <c r="J22" s="10"/>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row>
    <row r="23" spans="1:254" ht="14.45" customHeight="1">
      <c r="A23" s="14" t="s">
        <v>13</v>
      </c>
      <c r="B23" s="15">
        <v>2018</v>
      </c>
      <c r="C23" s="15">
        <f>(6.7+1.6+0.02)*1000</f>
        <v>8320</v>
      </c>
      <c r="D23" s="15">
        <f>(0.41+0.26+0.27)*1000000</f>
        <v>940000</v>
      </c>
      <c r="E23" s="15">
        <f>0.66*1000000</f>
        <v>660000</v>
      </c>
      <c r="F23" s="15">
        <v>2919000</v>
      </c>
      <c r="G23" s="15">
        <v>20979000</v>
      </c>
      <c r="H23" s="8"/>
      <c r="I23" s="9"/>
      <c r="J23" s="10"/>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row>
    <row r="24" spans="1:254" ht="14.45" customHeight="1">
      <c r="A24" s="14" t="s">
        <v>13</v>
      </c>
      <c r="B24" s="15">
        <v>2019</v>
      </c>
      <c r="C24" s="15">
        <f>(7.8+1.8+0.01)*1000</f>
        <v>9610</v>
      </c>
      <c r="D24" s="15">
        <f>(0.3+0.29+0.31)*1000000</f>
        <v>899999.99999999988</v>
      </c>
      <c r="E24" s="15">
        <f>0.66*1000000</f>
        <v>660000</v>
      </c>
      <c r="F24" s="15">
        <v>3345500</v>
      </c>
      <c r="G24" s="15">
        <v>20342000</v>
      </c>
      <c r="H24" s="8"/>
      <c r="I24" s="9"/>
      <c r="J24" s="10"/>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row>
    <row r="25" spans="1:254" ht="14.45" customHeight="1">
      <c r="A25" s="14" t="s">
        <v>13</v>
      </c>
      <c r="B25" s="15">
        <v>2020</v>
      </c>
      <c r="C25" s="15">
        <f>(8.8+1.8+0.01)*1000</f>
        <v>10610.000000000002</v>
      </c>
      <c r="D25" s="15">
        <f>(0.35+0.3+0.39)*1000000</f>
        <v>1040000</v>
      </c>
      <c r="E25" s="15">
        <f>0.28*1000000</f>
        <v>280000</v>
      </c>
      <c r="F25" s="15">
        <v>3700000</v>
      </c>
      <c r="G25" s="15">
        <v>29866000</v>
      </c>
      <c r="H25" s="8"/>
      <c r="I25" s="9"/>
      <c r="J25" s="10"/>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row>
    <row r="26" spans="1:254" ht="14.45" customHeight="1">
      <c r="A26" s="14" t="s">
        <v>13</v>
      </c>
      <c r="B26" s="15">
        <v>2021</v>
      </c>
      <c r="C26" s="15">
        <f>(9.6+2+0.01)*1000</f>
        <v>11610</v>
      </c>
      <c r="D26" s="15">
        <f>(0.43+0.32+0.4)*1000000</f>
        <v>1150000</v>
      </c>
      <c r="E26" s="15">
        <f>0.35*1000000</f>
        <v>350000</v>
      </c>
      <c r="F26" s="15">
        <v>3820000</v>
      </c>
      <c r="G26" s="15">
        <v>28863000</v>
      </c>
      <c r="H26" s="8"/>
      <c r="I26" s="9"/>
      <c r="J26" s="10"/>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row>
    <row r="27" spans="1:254" ht="14.45" customHeight="1">
      <c r="A27" s="14" t="s">
        <v>13</v>
      </c>
      <c r="B27" s="15">
        <v>2022</v>
      </c>
      <c r="C27" s="15">
        <f>(9+1.9+0.01)*1000</f>
        <v>10910</v>
      </c>
      <c r="D27" s="15">
        <f>(0.49+0.35+0.34)*1000000</f>
        <v>1180000</v>
      </c>
      <c r="E27" s="15">
        <f>0.35*1000000</f>
        <v>350000</v>
      </c>
      <c r="F27" s="15">
        <v>3303000</v>
      </c>
      <c r="G27" s="15">
        <v>22791000</v>
      </c>
      <c r="H27" s="8"/>
      <c r="I27" s="9"/>
      <c r="J27" s="10"/>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row>
    <row r="28" spans="1:254" ht="14.45" customHeight="1">
      <c r="A28" s="17" t="s">
        <v>13</v>
      </c>
      <c r="B28" s="18">
        <v>2023</v>
      </c>
      <c r="C28" s="18">
        <f>(9.1+1.7+0.01)*1000</f>
        <v>10809.999999999998</v>
      </c>
      <c r="D28" s="18">
        <v>845000</v>
      </c>
      <c r="E28" s="18">
        <v>47800</v>
      </c>
      <c r="F28" s="18">
        <v>3130000</v>
      </c>
      <c r="G28" s="20">
        <v>23095000</v>
      </c>
      <c r="H28" s="8"/>
      <c r="I28" s="9"/>
      <c r="J28" s="10"/>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row>
    <row r="29" spans="1:254" ht="15" customHeight="1">
      <c r="A29" s="14" t="s">
        <v>15</v>
      </c>
      <c r="B29" s="15">
        <v>2015</v>
      </c>
      <c r="C29" s="16">
        <f>10070708*0.00029287508333333</f>
        <v>2949.4594447256331</v>
      </c>
      <c r="D29" s="15">
        <v>1080000</v>
      </c>
      <c r="E29" s="15">
        <v>1320000</v>
      </c>
      <c r="F29" s="15" t="s">
        <v>9</v>
      </c>
      <c r="G29" s="21" t="s">
        <v>9</v>
      </c>
      <c r="H29" s="8" t="s">
        <v>16</v>
      </c>
      <c r="I29" s="9"/>
      <c r="J29" s="10"/>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row>
    <row r="30" spans="1:254" ht="14.45" customHeight="1">
      <c r="A30" s="14" t="s">
        <v>15</v>
      </c>
      <c r="B30" s="15">
        <v>2016</v>
      </c>
      <c r="C30" s="16">
        <f>9729088*0.00029287508333333</f>
        <v>2849.4074587573009</v>
      </c>
      <c r="D30" s="15">
        <v>1090000</v>
      </c>
      <c r="E30" s="15">
        <v>1300000</v>
      </c>
      <c r="F30" s="15" t="s">
        <v>9</v>
      </c>
      <c r="G30" s="21" t="s">
        <v>9</v>
      </c>
      <c r="H30" s="8"/>
      <c r="I30" s="9"/>
      <c r="J30" s="10"/>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row>
    <row r="31" spans="1:254" ht="14.45" customHeight="1">
      <c r="A31" s="14" t="s">
        <v>15</v>
      </c>
      <c r="B31" s="15">
        <v>2017</v>
      </c>
      <c r="C31" s="16">
        <v>2951.8850000000002</v>
      </c>
      <c r="D31" s="15">
        <v>1160000</v>
      </c>
      <c r="E31" s="15">
        <v>1360000</v>
      </c>
      <c r="F31" s="15" t="s">
        <v>9</v>
      </c>
      <c r="G31" s="21" t="s">
        <v>9</v>
      </c>
      <c r="H31" s="8"/>
      <c r="I31" s="9"/>
      <c r="J31" s="10"/>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row>
    <row r="32" spans="1:254" ht="14.45" customHeight="1">
      <c r="A32" s="14" t="s">
        <v>15</v>
      </c>
      <c r="B32" s="15">
        <v>2018</v>
      </c>
      <c r="C32" s="16">
        <v>3022.1089999999999</v>
      </c>
      <c r="D32" s="15">
        <v>1130000</v>
      </c>
      <c r="E32" s="15">
        <v>1120000</v>
      </c>
      <c r="F32" s="15" t="s">
        <v>9</v>
      </c>
      <c r="G32" s="21" t="s">
        <v>9</v>
      </c>
      <c r="H32" s="8"/>
      <c r="I32" s="9"/>
      <c r="J32" s="10"/>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row>
    <row r="33" spans="1:254" ht="14.45" customHeight="1">
      <c r="A33" s="14" t="s">
        <v>15</v>
      </c>
      <c r="B33" s="15">
        <v>2019</v>
      </c>
      <c r="C33" s="16">
        <v>2989.9670000000001</v>
      </c>
      <c r="D33" s="15">
        <v>970000</v>
      </c>
      <c r="E33" s="15">
        <v>1100000</v>
      </c>
      <c r="F33" s="15" t="s">
        <v>9</v>
      </c>
      <c r="G33" s="21" t="s">
        <v>9</v>
      </c>
      <c r="H33" s="8"/>
      <c r="I33" s="9"/>
      <c r="J33" s="10"/>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row>
    <row r="34" spans="1:254" ht="14.45" customHeight="1">
      <c r="A34" s="14" t="s">
        <v>15</v>
      </c>
      <c r="B34" s="15">
        <v>2020</v>
      </c>
      <c r="C34" s="16">
        <v>2974.0610000000001</v>
      </c>
      <c r="D34" s="15">
        <v>940000</v>
      </c>
      <c r="E34" s="15">
        <v>1010000</v>
      </c>
      <c r="F34" s="15" t="s">
        <v>9</v>
      </c>
      <c r="G34" s="21" t="s">
        <v>9</v>
      </c>
      <c r="H34" s="8"/>
      <c r="I34" s="9"/>
      <c r="J34" s="10"/>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row>
    <row r="35" spans="1:254" ht="14.45" customHeight="1">
      <c r="A35" s="14" t="s">
        <v>15</v>
      </c>
      <c r="B35" s="15">
        <v>2021</v>
      </c>
      <c r="C35" s="16">
        <v>3185.6640000000002</v>
      </c>
      <c r="D35" s="15">
        <v>1040000</v>
      </c>
      <c r="E35" s="15">
        <v>1040000</v>
      </c>
      <c r="F35" s="15" t="s">
        <v>9</v>
      </c>
      <c r="G35" s="21" t="s">
        <v>9</v>
      </c>
      <c r="H35" s="8"/>
      <c r="I35" s="9"/>
      <c r="J35" s="10"/>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row>
    <row r="36" spans="1:254" ht="14.45" customHeight="1">
      <c r="A36" s="14" t="s">
        <v>15</v>
      </c>
      <c r="B36" s="15">
        <v>2022</v>
      </c>
      <c r="C36" s="16">
        <v>3746.7550000000001</v>
      </c>
      <c r="D36" s="15">
        <v>1110000</v>
      </c>
      <c r="E36" s="15">
        <v>1060000</v>
      </c>
      <c r="F36" s="15">
        <v>1380000</v>
      </c>
      <c r="G36" s="21" t="s">
        <v>9</v>
      </c>
      <c r="H36" s="8"/>
      <c r="I36" s="9"/>
      <c r="J36" s="10"/>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row>
    <row r="37" spans="1:254" ht="14.45" customHeight="1">
      <c r="A37" s="17" t="s">
        <v>15</v>
      </c>
      <c r="B37" s="18">
        <v>2023</v>
      </c>
      <c r="C37" s="19">
        <v>3891.6570000000002</v>
      </c>
      <c r="D37" s="18">
        <v>1120000</v>
      </c>
      <c r="E37" s="18">
        <v>1100000</v>
      </c>
      <c r="F37" s="18">
        <v>1390000</v>
      </c>
      <c r="G37" s="22" t="s">
        <v>9</v>
      </c>
      <c r="H37" s="8"/>
      <c r="I37" s="9"/>
      <c r="J37" s="10"/>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row>
    <row r="38" spans="1:254" ht="15" customHeight="1">
      <c r="A38" s="14" t="s">
        <v>17</v>
      </c>
      <c r="B38" s="15">
        <v>2015</v>
      </c>
      <c r="C38" s="16">
        <v>6515.4870000000001</v>
      </c>
      <c r="D38" s="15">
        <v>1500000</v>
      </c>
      <c r="E38" s="15">
        <v>2700000</v>
      </c>
      <c r="F38" s="15" t="s">
        <v>9</v>
      </c>
      <c r="G38" s="15" t="s">
        <v>9</v>
      </c>
      <c r="H38" s="8" t="s">
        <v>18</v>
      </c>
      <c r="I38" s="9"/>
      <c r="J38" s="10"/>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row>
    <row r="39" spans="1:254" ht="14.45" customHeight="1">
      <c r="A39" s="14" t="s">
        <v>17</v>
      </c>
      <c r="B39" s="15">
        <v>2016</v>
      </c>
      <c r="C39" s="16">
        <v>7398.4589999999998</v>
      </c>
      <c r="D39" s="15">
        <v>2600000</v>
      </c>
      <c r="E39" s="15">
        <v>3100000</v>
      </c>
      <c r="F39" s="15" t="s">
        <v>9</v>
      </c>
      <c r="G39" s="15">
        <v>769600</v>
      </c>
      <c r="H39" s="8"/>
      <c r="I39" s="9"/>
      <c r="J39" s="10"/>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row>
    <row r="40" spans="1:254" ht="14.45" customHeight="1">
      <c r="A40" s="14" t="s">
        <v>17</v>
      </c>
      <c r="B40" s="15">
        <v>2017</v>
      </c>
      <c r="C40" s="16">
        <v>7431.7049999999999</v>
      </c>
      <c r="D40" s="15">
        <v>2800000</v>
      </c>
      <c r="E40" s="15">
        <v>3000000</v>
      </c>
      <c r="F40" s="15" t="s">
        <v>9</v>
      </c>
      <c r="G40" s="15">
        <v>155800</v>
      </c>
      <c r="H40" s="8"/>
      <c r="I40" s="9"/>
      <c r="J40" s="10"/>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row>
    <row r="41" spans="1:254" ht="14.45" customHeight="1">
      <c r="A41" s="14" t="s">
        <v>17</v>
      </c>
      <c r="B41" s="15">
        <v>2018</v>
      </c>
      <c r="C41" s="16">
        <v>7951.2619999999997</v>
      </c>
      <c r="D41" s="15">
        <v>2945735</v>
      </c>
      <c r="E41" s="15">
        <v>3177989</v>
      </c>
      <c r="F41" s="15" t="s">
        <v>9</v>
      </c>
      <c r="G41" s="15">
        <v>5142400</v>
      </c>
      <c r="H41" s="8"/>
      <c r="I41" s="9"/>
      <c r="J41" s="10"/>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row>
    <row r="42" spans="1:254" ht="14.45" customHeight="1">
      <c r="A42" s="14" t="s">
        <v>17</v>
      </c>
      <c r="B42" s="15">
        <v>2019</v>
      </c>
      <c r="C42" s="16">
        <v>8562.4979999999996</v>
      </c>
      <c r="D42" s="15">
        <v>3194543</v>
      </c>
      <c r="E42" s="15">
        <v>3502772</v>
      </c>
      <c r="F42" s="15" t="s">
        <v>9</v>
      </c>
      <c r="G42" s="15">
        <v>3799700</v>
      </c>
      <c r="H42" s="8"/>
      <c r="I42" s="9"/>
      <c r="J42" s="10"/>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row>
    <row r="43" spans="1:254" ht="14.45" customHeight="1">
      <c r="A43" s="14" t="s">
        <v>17</v>
      </c>
      <c r="B43" s="15">
        <v>2020</v>
      </c>
      <c r="C43" s="16">
        <v>8830.2540000000008</v>
      </c>
      <c r="D43" s="15">
        <v>3047919</v>
      </c>
      <c r="E43" s="15">
        <v>3621519</v>
      </c>
      <c r="F43" s="15" t="s">
        <v>9</v>
      </c>
      <c r="G43" s="15">
        <v>4058600</v>
      </c>
      <c r="H43" s="8"/>
      <c r="I43" s="9"/>
      <c r="J43" s="10"/>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row>
    <row r="44" spans="1:254" ht="14.45" customHeight="1">
      <c r="A44" s="14" t="s">
        <v>17</v>
      </c>
      <c r="B44" s="15">
        <v>2021</v>
      </c>
      <c r="C44" s="16">
        <v>10020.124</v>
      </c>
      <c r="D44" s="15">
        <v>3340004</v>
      </c>
      <c r="E44" s="15">
        <v>3807204</v>
      </c>
      <c r="F44" s="15" t="s">
        <v>9</v>
      </c>
      <c r="G44" s="15">
        <v>3977600</v>
      </c>
      <c r="H44" s="8"/>
      <c r="I44" s="9"/>
      <c r="J44" s="10"/>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row>
    <row r="45" spans="1:254" ht="14.45" customHeight="1">
      <c r="A45" s="14" t="s">
        <v>17</v>
      </c>
      <c r="B45" s="15">
        <v>2022</v>
      </c>
      <c r="C45" s="16">
        <v>11140.041999999999</v>
      </c>
      <c r="D45" s="15">
        <v>3478449</v>
      </c>
      <c r="E45" s="15">
        <v>4132206</v>
      </c>
      <c r="F45" s="15">
        <v>3864514</v>
      </c>
      <c r="G45" s="15">
        <f>2387737+1213032+747018+147115+7555+14891+1563</f>
        <v>4518911</v>
      </c>
      <c r="H45" s="8"/>
      <c r="I45" s="9"/>
      <c r="J45" s="10"/>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row>
    <row r="46" spans="1:254" ht="14.45" customHeight="1">
      <c r="A46" s="17" t="s">
        <v>17</v>
      </c>
      <c r="B46" s="18">
        <v>2023</v>
      </c>
      <c r="C46" s="19">
        <v>11388.86</v>
      </c>
      <c r="D46" s="18">
        <v>2698572</v>
      </c>
      <c r="E46" s="18">
        <v>4138062</v>
      </c>
      <c r="F46" s="18">
        <v>3936763</v>
      </c>
      <c r="G46" s="18">
        <f>1923761+644073+995805+130551+3394+17071+1535</f>
        <v>3716190</v>
      </c>
      <c r="H46" s="8"/>
      <c r="I46" s="9"/>
      <c r="J46" s="10"/>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row>
    <row r="47" spans="1:254" ht="15" customHeight="1">
      <c r="A47" s="14" t="s">
        <v>19</v>
      </c>
      <c r="B47" s="21">
        <v>2015</v>
      </c>
      <c r="C47" s="15" t="s">
        <v>9</v>
      </c>
      <c r="D47" s="15" t="s">
        <v>9</v>
      </c>
      <c r="E47" s="15" t="s">
        <v>9</v>
      </c>
      <c r="F47" s="15" t="s">
        <v>9</v>
      </c>
      <c r="G47" s="15" t="s">
        <v>9</v>
      </c>
      <c r="H47" s="8" t="s">
        <v>20</v>
      </c>
      <c r="I47" s="9"/>
      <c r="J47" s="10"/>
    </row>
    <row r="48" spans="1:254" ht="14.45" customHeight="1">
      <c r="A48" s="14" t="s">
        <v>19</v>
      </c>
      <c r="B48" s="21">
        <v>2016</v>
      </c>
      <c r="C48" s="15" t="s">
        <v>9</v>
      </c>
      <c r="D48" s="15" t="s">
        <v>9</v>
      </c>
      <c r="E48" s="15" t="s">
        <v>9</v>
      </c>
      <c r="F48" s="15" t="s">
        <v>9</v>
      </c>
      <c r="G48" s="15" t="s">
        <v>9</v>
      </c>
      <c r="H48" s="8"/>
      <c r="I48" s="9"/>
      <c r="J48" s="10"/>
    </row>
    <row r="49" spans="1:10" ht="14.45" customHeight="1">
      <c r="A49" s="14" t="s">
        <v>19</v>
      </c>
      <c r="B49" s="21">
        <v>2017</v>
      </c>
      <c r="C49" s="15" t="s">
        <v>9</v>
      </c>
      <c r="D49" s="15">
        <v>383000</v>
      </c>
      <c r="E49" s="15">
        <v>1343000</v>
      </c>
      <c r="F49" s="15" t="s">
        <v>9</v>
      </c>
      <c r="G49" s="15" t="s">
        <v>9</v>
      </c>
      <c r="H49" s="8"/>
      <c r="I49" s="9"/>
      <c r="J49" s="10"/>
    </row>
    <row r="50" spans="1:10" ht="14.45" customHeight="1">
      <c r="A50" s="14" t="s">
        <v>19</v>
      </c>
      <c r="B50" s="21">
        <v>2018</v>
      </c>
      <c r="C50" s="15">
        <v>3400</v>
      </c>
      <c r="D50" s="15">
        <v>453000</v>
      </c>
      <c r="E50" s="15">
        <v>1623000</v>
      </c>
      <c r="F50" s="15" t="s">
        <v>9</v>
      </c>
      <c r="G50" s="15">
        <v>4638200</v>
      </c>
      <c r="H50" s="8"/>
      <c r="I50" s="9"/>
      <c r="J50" s="10"/>
    </row>
    <row r="51" spans="1:10" ht="14.45" customHeight="1">
      <c r="A51" s="14" t="s">
        <v>19</v>
      </c>
      <c r="B51" s="21">
        <v>2019</v>
      </c>
      <c r="C51" s="15">
        <v>3700</v>
      </c>
      <c r="D51" s="15">
        <v>484100</v>
      </c>
      <c r="E51" s="15">
        <v>1702000</v>
      </c>
      <c r="F51" s="15" t="s">
        <v>9</v>
      </c>
      <c r="G51" s="15">
        <v>3562002</v>
      </c>
      <c r="H51" s="8"/>
      <c r="I51" s="9"/>
      <c r="J51" s="10"/>
    </row>
    <row r="52" spans="1:10" ht="14.45" customHeight="1">
      <c r="A52" s="14" t="s">
        <v>19</v>
      </c>
      <c r="B52" s="21">
        <v>2020</v>
      </c>
      <c r="C52" s="16">
        <v>4226.7939999999999</v>
      </c>
      <c r="D52" s="15">
        <v>651900</v>
      </c>
      <c r="E52" s="15">
        <v>1713400</v>
      </c>
      <c r="F52" s="15" t="s">
        <v>9</v>
      </c>
      <c r="G52" s="15">
        <v>4544031</v>
      </c>
      <c r="H52" s="8"/>
      <c r="I52" s="9"/>
      <c r="J52" s="10"/>
    </row>
    <row r="53" spans="1:10" ht="14.45" customHeight="1">
      <c r="A53" s="14" t="s">
        <v>19</v>
      </c>
      <c r="B53" s="21">
        <v>2021</v>
      </c>
      <c r="C53" s="16">
        <v>4600.7</v>
      </c>
      <c r="D53" s="15">
        <v>694000</v>
      </c>
      <c r="E53" s="15">
        <v>1848000</v>
      </c>
      <c r="F53" s="15" t="s">
        <v>9</v>
      </c>
      <c r="G53" s="15">
        <v>7020017</v>
      </c>
      <c r="H53" s="8"/>
      <c r="I53" s="9"/>
      <c r="J53" s="10"/>
    </row>
    <row r="54" spans="1:10" ht="14.45" customHeight="1">
      <c r="A54" s="14" t="s">
        <v>19</v>
      </c>
      <c r="B54" s="21">
        <v>2022</v>
      </c>
      <c r="C54" s="16">
        <v>4971.8559999999998</v>
      </c>
      <c r="D54" s="15">
        <v>680600</v>
      </c>
      <c r="E54" s="15">
        <v>1899400</v>
      </c>
      <c r="F54" s="15" t="s">
        <v>9</v>
      </c>
      <c r="G54" s="15">
        <v>7547125</v>
      </c>
      <c r="H54" s="8"/>
      <c r="I54" s="9"/>
      <c r="J54" s="10"/>
    </row>
    <row r="55" spans="1:10" ht="14.45" customHeight="1">
      <c r="A55" s="17" t="s">
        <v>19</v>
      </c>
      <c r="B55" s="22">
        <v>2023</v>
      </c>
      <c r="C55" s="19">
        <v>4676.5</v>
      </c>
      <c r="D55" s="18">
        <v>410400</v>
      </c>
      <c r="E55" s="18">
        <v>1870400</v>
      </c>
      <c r="F55" s="18" t="s">
        <v>9</v>
      </c>
      <c r="G55" s="18">
        <v>6060687</v>
      </c>
      <c r="H55" s="8"/>
      <c r="I55" s="9"/>
      <c r="J55" s="10"/>
    </row>
    <row r="56" spans="1:10" ht="15" customHeight="1">
      <c r="A56" s="14" t="s">
        <v>21</v>
      </c>
      <c r="B56" s="21">
        <v>2015</v>
      </c>
      <c r="C56" s="16">
        <v>992.66160200000002</v>
      </c>
      <c r="D56" s="16">
        <f>228823.07*44/12</f>
        <v>839017.92333333334</v>
      </c>
      <c r="E56" s="15" t="s">
        <v>9</v>
      </c>
      <c r="F56" s="16">
        <f>130078.19*44/12</f>
        <v>476953.36333333334</v>
      </c>
      <c r="G56" s="15" t="s">
        <v>9</v>
      </c>
      <c r="H56" s="8" t="s">
        <v>22</v>
      </c>
      <c r="I56" s="9"/>
      <c r="J56" s="10"/>
    </row>
    <row r="57" spans="1:10" ht="14.45" customHeight="1">
      <c r="A57" s="14" t="s">
        <v>21</v>
      </c>
      <c r="B57" s="21">
        <v>2016</v>
      </c>
      <c r="C57" s="16">
        <v>1450</v>
      </c>
      <c r="D57" s="15">
        <v>1291202</v>
      </c>
      <c r="E57" s="15" t="s">
        <v>9</v>
      </c>
      <c r="F57" s="15">
        <v>642657</v>
      </c>
      <c r="G57" s="15" t="s">
        <v>9</v>
      </c>
      <c r="H57" s="8"/>
      <c r="I57" s="9"/>
      <c r="J57" s="10"/>
    </row>
    <row r="58" spans="1:10" ht="14.45" customHeight="1">
      <c r="A58" s="14" t="s">
        <v>21</v>
      </c>
      <c r="B58" s="21">
        <v>2017</v>
      </c>
      <c r="C58" s="16">
        <v>1460</v>
      </c>
      <c r="D58" s="15">
        <v>1416622</v>
      </c>
      <c r="E58" s="15" t="s">
        <v>9</v>
      </c>
      <c r="F58" s="15">
        <v>649589</v>
      </c>
      <c r="G58" s="15" t="s">
        <v>9</v>
      </c>
      <c r="H58" s="8"/>
      <c r="I58" s="9"/>
      <c r="J58" s="10"/>
    </row>
    <row r="59" spans="1:10" ht="14.45" customHeight="1">
      <c r="A59" s="14" t="s">
        <v>21</v>
      </c>
      <c r="B59" s="21">
        <v>2018</v>
      </c>
      <c r="C59" s="16">
        <v>1543.2297570000001</v>
      </c>
      <c r="D59" s="15">
        <v>1470613</v>
      </c>
      <c r="E59" s="15" t="s">
        <v>9</v>
      </c>
      <c r="F59" s="15">
        <v>676050</v>
      </c>
      <c r="G59" s="15" t="s">
        <v>9</v>
      </c>
      <c r="H59" s="8"/>
      <c r="I59" s="9"/>
      <c r="J59" s="10"/>
    </row>
    <row r="60" spans="1:10" ht="14.45" customHeight="1">
      <c r="A60" s="14" t="s">
        <v>21</v>
      </c>
      <c r="B60" s="21">
        <v>2019</v>
      </c>
      <c r="C60" s="16">
        <v>1746.3902149999999</v>
      </c>
      <c r="D60" s="15">
        <v>2074679</v>
      </c>
      <c r="E60" s="15" t="s">
        <v>9</v>
      </c>
      <c r="F60" s="15">
        <v>671656</v>
      </c>
      <c r="G60" s="15">
        <v>12638</v>
      </c>
      <c r="H60" s="8"/>
      <c r="I60" s="9"/>
      <c r="J60" s="10"/>
    </row>
    <row r="61" spans="1:10" ht="14.45" customHeight="1">
      <c r="A61" s="14" t="s">
        <v>21</v>
      </c>
      <c r="B61" s="21">
        <v>2020</v>
      </c>
      <c r="C61" s="16">
        <v>1755.4190000000001</v>
      </c>
      <c r="D61" s="15">
        <v>2173451</v>
      </c>
      <c r="E61" s="15" t="s">
        <v>9</v>
      </c>
      <c r="F61" s="15">
        <v>774849</v>
      </c>
      <c r="G61" s="15">
        <v>1565</v>
      </c>
      <c r="H61" s="8"/>
      <c r="I61" s="9"/>
      <c r="J61" s="10"/>
    </row>
    <row r="62" spans="1:10" ht="14.45" customHeight="1">
      <c r="A62" s="14" t="s">
        <v>21</v>
      </c>
      <c r="B62" s="21">
        <v>2021</v>
      </c>
      <c r="C62" s="16">
        <v>1781.6849999999999</v>
      </c>
      <c r="D62" s="15">
        <v>2485870</v>
      </c>
      <c r="E62" s="15" t="s">
        <v>9</v>
      </c>
      <c r="F62" s="15">
        <v>782790</v>
      </c>
      <c r="G62" s="15">
        <v>617</v>
      </c>
      <c r="H62" s="8"/>
      <c r="I62" s="9"/>
      <c r="J62" s="10"/>
    </row>
    <row r="63" spans="1:10" ht="14.45" customHeight="1">
      <c r="A63" s="14" t="s">
        <v>21</v>
      </c>
      <c r="B63" s="21">
        <v>2022</v>
      </c>
      <c r="C63" s="16">
        <v>1752.2819999999999</v>
      </c>
      <c r="D63" s="15">
        <v>841104</v>
      </c>
      <c r="E63" s="15" t="s">
        <v>9</v>
      </c>
      <c r="F63" s="15">
        <v>741934</v>
      </c>
      <c r="G63" s="15">
        <v>2098541</v>
      </c>
      <c r="H63" s="8"/>
      <c r="I63" s="9"/>
      <c r="J63" s="10"/>
    </row>
    <row r="64" spans="1:10" ht="14.45" customHeight="1">
      <c r="A64" s="17" t="s">
        <v>21</v>
      </c>
      <c r="B64" s="22">
        <v>2023</v>
      </c>
      <c r="C64" s="19">
        <v>2208.5729999999999</v>
      </c>
      <c r="D64" s="18">
        <v>828620</v>
      </c>
      <c r="E64" s="18" t="s">
        <v>9</v>
      </c>
      <c r="F64" s="18">
        <v>727464</v>
      </c>
      <c r="G64" s="18">
        <v>1573417</v>
      </c>
      <c r="H64" s="8"/>
      <c r="I64" s="9"/>
      <c r="J64" s="10"/>
    </row>
    <row r="65" spans="1:10" ht="15" customHeight="1">
      <c r="A65" s="14" t="s">
        <v>23</v>
      </c>
      <c r="B65" s="21">
        <v>2015</v>
      </c>
      <c r="C65" s="15">
        <v>1467</v>
      </c>
      <c r="D65" s="15">
        <v>237868</v>
      </c>
      <c r="E65" s="15">
        <v>533921</v>
      </c>
      <c r="F65" s="15" t="s">
        <v>9</v>
      </c>
      <c r="G65" s="15">
        <v>800673</v>
      </c>
      <c r="H65" s="8" t="s">
        <v>24</v>
      </c>
      <c r="I65" s="9"/>
      <c r="J65" s="10"/>
    </row>
    <row r="66" spans="1:10" ht="14.45" customHeight="1">
      <c r="A66" s="14" t="s">
        <v>23</v>
      </c>
      <c r="B66" s="21">
        <v>2016</v>
      </c>
      <c r="C66" s="15">
        <v>1593</v>
      </c>
      <c r="D66" s="15">
        <v>295869</v>
      </c>
      <c r="E66" s="15">
        <v>607360</v>
      </c>
      <c r="F66" s="15" t="s">
        <v>9</v>
      </c>
      <c r="G66" s="15">
        <v>857800</v>
      </c>
      <c r="H66" s="8"/>
      <c r="I66" s="9"/>
      <c r="J66" s="10"/>
    </row>
    <row r="67" spans="1:10" ht="14.45" customHeight="1">
      <c r="A67" s="14" t="s">
        <v>23</v>
      </c>
      <c r="B67" s="21">
        <v>2017</v>
      </c>
      <c r="C67" s="15">
        <v>1667</v>
      </c>
      <c r="D67" s="15">
        <v>259078</v>
      </c>
      <c r="E67" s="15">
        <v>609825</v>
      </c>
      <c r="F67" s="15" t="s">
        <v>9</v>
      </c>
      <c r="G67" s="15">
        <v>539248</v>
      </c>
      <c r="H67" s="8"/>
      <c r="I67" s="9"/>
      <c r="J67" s="10"/>
    </row>
    <row r="68" spans="1:10" ht="14.45" customHeight="1">
      <c r="A68" s="14" t="s">
        <v>23</v>
      </c>
      <c r="B68" s="21">
        <v>2018</v>
      </c>
      <c r="C68" s="15">
        <v>1781</v>
      </c>
      <c r="D68" s="15">
        <v>273214</v>
      </c>
      <c r="E68" s="15">
        <v>642258</v>
      </c>
      <c r="F68" s="15">
        <v>731921</v>
      </c>
      <c r="G68" s="15">
        <v>542244</v>
      </c>
      <c r="H68" s="8"/>
      <c r="I68" s="9"/>
      <c r="J68" s="10"/>
    </row>
    <row r="69" spans="1:10" ht="14.45" customHeight="1">
      <c r="A69" s="14" t="s">
        <v>23</v>
      </c>
      <c r="B69" s="21">
        <v>2019</v>
      </c>
      <c r="C69" s="15">
        <v>1869</v>
      </c>
      <c r="D69" s="15">
        <v>264203</v>
      </c>
      <c r="E69" s="15">
        <v>664770</v>
      </c>
      <c r="F69" s="15">
        <v>753254</v>
      </c>
      <c r="G69" s="15">
        <v>467148</v>
      </c>
      <c r="H69" s="8"/>
      <c r="I69" s="9"/>
      <c r="J69" s="10"/>
    </row>
    <row r="70" spans="1:10" ht="14.45" customHeight="1">
      <c r="A70" s="14" t="s">
        <v>23</v>
      </c>
      <c r="B70" s="21">
        <v>2020</v>
      </c>
      <c r="C70" s="16">
        <v>1874.61</v>
      </c>
      <c r="D70" s="15">
        <v>229890</v>
      </c>
      <c r="E70" s="15">
        <v>634858</v>
      </c>
      <c r="F70" s="15">
        <v>737024</v>
      </c>
      <c r="G70" s="15">
        <v>742743</v>
      </c>
      <c r="H70" s="8"/>
      <c r="I70" s="9"/>
      <c r="J70" s="10"/>
    </row>
    <row r="71" spans="1:10" ht="14.45" customHeight="1">
      <c r="A71" s="14" t="s">
        <v>23</v>
      </c>
      <c r="B71" s="21">
        <v>2021</v>
      </c>
      <c r="C71" s="16">
        <v>2437.06</v>
      </c>
      <c r="D71" s="15">
        <v>298246</v>
      </c>
      <c r="E71" s="15">
        <v>695432</v>
      </c>
      <c r="F71" s="15">
        <v>924168</v>
      </c>
      <c r="G71" s="15">
        <v>1190267</v>
      </c>
      <c r="H71" s="8"/>
      <c r="I71" s="9"/>
      <c r="J71" s="10"/>
    </row>
    <row r="72" spans="1:10" ht="14.45" customHeight="1">
      <c r="A72" s="14" t="s">
        <v>23</v>
      </c>
      <c r="B72" s="21">
        <v>2022</v>
      </c>
      <c r="C72" s="16">
        <v>2568</v>
      </c>
      <c r="D72" s="15">
        <v>312076</v>
      </c>
      <c r="E72" s="15">
        <v>574595</v>
      </c>
      <c r="F72" s="15">
        <v>909013</v>
      </c>
      <c r="G72" s="15">
        <v>2143685</v>
      </c>
      <c r="H72" s="8"/>
      <c r="I72" s="9"/>
      <c r="J72" s="10"/>
    </row>
    <row r="73" spans="1:10" ht="14.45" customHeight="1">
      <c r="A73" s="17" t="s">
        <v>23</v>
      </c>
      <c r="B73" s="22">
        <v>2023</v>
      </c>
      <c r="C73" s="19">
        <v>2600.98</v>
      </c>
      <c r="D73" s="18">
        <v>246126</v>
      </c>
      <c r="E73" s="18">
        <v>254335</v>
      </c>
      <c r="F73" s="18">
        <v>952640</v>
      </c>
      <c r="G73" s="18">
        <v>2882063</v>
      </c>
      <c r="H73" s="8"/>
      <c r="I73" s="9"/>
      <c r="J73" s="10"/>
    </row>
    <row r="74" spans="1:10" ht="15" customHeight="1">
      <c r="A74" s="14" t="s">
        <v>25</v>
      </c>
      <c r="B74" s="21">
        <v>2015</v>
      </c>
      <c r="C74" s="16">
        <f>8193/3.6</f>
        <v>2275.8333333333335</v>
      </c>
      <c r="D74" s="15">
        <v>575000</v>
      </c>
      <c r="E74" s="15">
        <v>748000</v>
      </c>
      <c r="F74" s="15" t="s">
        <v>9</v>
      </c>
      <c r="G74" s="15">
        <v>135000</v>
      </c>
      <c r="H74" s="8"/>
      <c r="I74" s="9"/>
      <c r="J74" s="10"/>
    </row>
    <row r="75" spans="1:10" ht="14.45" customHeight="1">
      <c r="A75" s="14" t="s">
        <v>25</v>
      </c>
      <c r="B75" s="21">
        <v>2016</v>
      </c>
      <c r="C75" s="16">
        <f>8244/3.6</f>
        <v>2290</v>
      </c>
      <c r="D75" s="15">
        <v>552000</v>
      </c>
      <c r="E75" s="15">
        <v>739000</v>
      </c>
      <c r="F75" s="15" t="s">
        <v>9</v>
      </c>
      <c r="G75" s="15">
        <v>113000</v>
      </c>
      <c r="H75" s="8"/>
      <c r="I75" s="9"/>
      <c r="J75" s="10"/>
    </row>
    <row r="76" spans="1:10" ht="14.45" customHeight="1">
      <c r="A76" s="14" t="s">
        <v>25</v>
      </c>
      <c r="B76" s="21">
        <v>2017</v>
      </c>
      <c r="C76" s="16">
        <f>8531/3.6</f>
        <v>2369.7222222222222</v>
      </c>
      <c r="D76" s="15">
        <v>605000</v>
      </c>
      <c r="E76" s="15">
        <v>756000</v>
      </c>
      <c r="F76" s="15" t="s">
        <v>9</v>
      </c>
      <c r="G76" s="15">
        <v>132000</v>
      </c>
      <c r="H76" s="8"/>
      <c r="I76" s="9"/>
      <c r="J76" s="10"/>
    </row>
    <row r="77" spans="1:10" ht="14.45" customHeight="1">
      <c r="A77" s="14" t="s">
        <v>25</v>
      </c>
      <c r="B77" s="21">
        <v>2018</v>
      </c>
      <c r="C77" s="16">
        <f>8782/3.6</f>
        <v>2439.4444444444443</v>
      </c>
      <c r="D77" s="15">
        <v>644000</v>
      </c>
      <c r="E77" s="15">
        <v>791000</v>
      </c>
      <c r="F77" s="15">
        <v>824000</v>
      </c>
      <c r="G77" s="15">
        <v>137000</v>
      </c>
      <c r="H77" s="8"/>
      <c r="I77" s="9"/>
      <c r="J77" s="10"/>
    </row>
    <row r="78" spans="1:10" ht="14.45" customHeight="1">
      <c r="A78" s="14" t="s">
        <v>25</v>
      </c>
      <c r="B78" s="21">
        <v>2019</v>
      </c>
      <c r="C78" s="16">
        <f>8926/3.6</f>
        <v>2479.4444444444443</v>
      </c>
      <c r="D78" s="15">
        <v>557000</v>
      </c>
      <c r="E78" s="15">
        <v>702000</v>
      </c>
      <c r="F78" s="15">
        <v>787000</v>
      </c>
      <c r="G78" s="15">
        <v>143000</v>
      </c>
      <c r="H78" s="8"/>
      <c r="I78" s="9"/>
      <c r="J78" s="10"/>
    </row>
    <row r="79" spans="1:10" ht="14.45" customHeight="1">
      <c r="A79" s="14" t="s">
        <v>25</v>
      </c>
      <c r="B79" s="21">
        <v>2020</v>
      </c>
      <c r="C79" s="16">
        <f>9453/3.6</f>
        <v>2625.8333333333335</v>
      </c>
      <c r="D79" s="15">
        <v>486000</v>
      </c>
      <c r="E79" s="15">
        <v>564000</v>
      </c>
      <c r="F79" s="15">
        <v>782000</v>
      </c>
      <c r="G79" s="15">
        <v>86000</v>
      </c>
      <c r="H79" s="8"/>
      <c r="I79" s="9"/>
      <c r="J79" s="10"/>
    </row>
    <row r="80" spans="1:10" ht="14.45" customHeight="1">
      <c r="A80" s="14" t="s">
        <v>25</v>
      </c>
      <c r="B80" s="21">
        <v>2021</v>
      </c>
      <c r="C80" s="16">
        <f>9845/3.6</f>
        <v>2734.7222222222222</v>
      </c>
      <c r="D80" s="15">
        <v>481000</v>
      </c>
      <c r="E80" s="15">
        <v>473000</v>
      </c>
      <c r="F80" s="15">
        <v>780000</v>
      </c>
      <c r="G80" s="15">
        <v>90000</v>
      </c>
      <c r="H80" s="8"/>
      <c r="I80" s="9"/>
      <c r="J80" s="10"/>
    </row>
    <row r="81" spans="1:10" ht="14.45" customHeight="1">
      <c r="A81" s="14" t="s">
        <v>25</v>
      </c>
      <c r="B81" s="21">
        <v>2022</v>
      </c>
      <c r="C81" s="16">
        <f>10364/3.6</f>
        <v>2878.8888888888887</v>
      </c>
      <c r="D81" s="15">
        <v>504000</v>
      </c>
      <c r="E81" s="15">
        <v>358000</v>
      </c>
      <c r="F81" s="15">
        <v>857000</v>
      </c>
      <c r="G81" s="15">
        <v>111000</v>
      </c>
      <c r="H81" s="8"/>
      <c r="I81" s="9"/>
      <c r="J81" s="10"/>
    </row>
    <row r="82" spans="1:10" ht="14.45" customHeight="1">
      <c r="A82" s="17" t="s">
        <v>25</v>
      </c>
      <c r="B82" s="22">
        <v>2023</v>
      </c>
      <c r="C82" s="19">
        <f>11076718/3600</f>
        <v>3076.866111111111</v>
      </c>
      <c r="D82" s="18">
        <v>514000</v>
      </c>
      <c r="E82" s="18">
        <v>272000</v>
      </c>
      <c r="F82" s="18">
        <v>902000</v>
      </c>
      <c r="G82" s="18">
        <v>120000</v>
      </c>
      <c r="H82" s="8"/>
      <c r="I82" s="9"/>
      <c r="J82" s="10"/>
    </row>
    <row r="83" spans="1:10" ht="15" customHeight="1">
      <c r="A83" s="14" t="s">
        <v>26</v>
      </c>
      <c r="B83" s="21">
        <v>2015</v>
      </c>
      <c r="C83" s="15" t="s">
        <v>9</v>
      </c>
      <c r="D83" s="16">
        <f>398078*44/12</f>
        <v>1459619.3333333333</v>
      </c>
      <c r="E83" s="16">
        <f>246862*44/12</f>
        <v>905160.66666666663</v>
      </c>
      <c r="F83" s="15" t="s">
        <v>9</v>
      </c>
      <c r="G83" s="15" t="s">
        <v>9</v>
      </c>
      <c r="H83" s="8"/>
      <c r="I83" s="9"/>
      <c r="J83" s="10"/>
    </row>
    <row r="84" spans="1:10" ht="14.45" customHeight="1">
      <c r="A84" s="14" t="s">
        <v>26</v>
      </c>
      <c r="B84" s="21">
        <v>2016</v>
      </c>
      <c r="C84" s="15" t="s">
        <v>9</v>
      </c>
      <c r="D84" s="16">
        <f>397834*44/12</f>
        <v>1458724.6666666667</v>
      </c>
      <c r="E84" s="15">
        <f>242307*44/12</f>
        <v>888459</v>
      </c>
      <c r="F84" s="15" t="s">
        <v>9</v>
      </c>
      <c r="G84" s="15" t="s">
        <v>9</v>
      </c>
      <c r="H84" s="8"/>
      <c r="I84" s="9"/>
      <c r="J84" s="10"/>
    </row>
    <row r="85" spans="1:10" ht="14.45" customHeight="1">
      <c r="A85" s="14" t="s">
        <v>26</v>
      </c>
      <c r="B85" s="21">
        <v>2017</v>
      </c>
      <c r="C85" s="15" t="s">
        <v>9</v>
      </c>
      <c r="D85" s="15">
        <f>406578*44/12</f>
        <v>1490786</v>
      </c>
      <c r="E85" s="15">
        <f>231102*44/12</f>
        <v>847374</v>
      </c>
      <c r="F85" s="15" t="s">
        <v>9</v>
      </c>
      <c r="G85" s="15" t="s">
        <v>9</v>
      </c>
      <c r="H85" s="8"/>
      <c r="I85" s="9"/>
      <c r="J85" s="10"/>
    </row>
    <row r="86" spans="1:10" ht="14.45" customHeight="1">
      <c r="A86" s="14" t="s">
        <v>26</v>
      </c>
      <c r="B86" s="21">
        <v>2018</v>
      </c>
      <c r="C86" s="15" t="s">
        <v>9</v>
      </c>
      <c r="D86" s="15">
        <f>1055054+75207+229295+131782</f>
        <v>1491338</v>
      </c>
      <c r="E86" s="15">
        <v>836836</v>
      </c>
      <c r="F86" s="15" t="s">
        <v>9</v>
      </c>
      <c r="G86" s="15" t="s">
        <v>9</v>
      </c>
      <c r="H86" s="8"/>
      <c r="I86" s="9"/>
      <c r="J86" s="10"/>
    </row>
    <row r="87" spans="1:10" ht="14.45" customHeight="1">
      <c r="A87" s="14" t="s">
        <v>26</v>
      </c>
      <c r="B87" s="21">
        <v>2019</v>
      </c>
      <c r="C87" s="15" t="s">
        <v>9</v>
      </c>
      <c r="D87" s="15">
        <f>1050706+72393+223337+131904</f>
        <v>1478340</v>
      </c>
      <c r="E87" s="15">
        <v>778763</v>
      </c>
      <c r="F87" s="15" t="s">
        <v>9</v>
      </c>
      <c r="G87" s="15" t="s">
        <v>9</v>
      </c>
      <c r="H87" s="8"/>
      <c r="I87" s="9"/>
      <c r="J87" s="10"/>
    </row>
    <row r="88" spans="1:10" ht="14.45" customHeight="1">
      <c r="A88" s="14" t="s">
        <v>26</v>
      </c>
      <c r="B88" s="21">
        <v>2020</v>
      </c>
      <c r="C88" s="16">
        <f>15108280/3600</f>
        <v>4196.7444444444445</v>
      </c>
      <c r="D88" s="15">
        <f>906461+47087+138672+73012</f>
        <v>1165232</v>
      </c>
      <c r="E88" s="15">
        <v>731542</v>
      </c>
      <c r="F88" s="15" t="s">
        <v>9</v>
      </c>
      <c r="G88" s="16">
        <f>(E88+D88)*0.1</f>
        <v>189677.40000000002</v>
      </c>
      <c r="H88" s="8"/>
      <c r="I88" s="9"/>
      <c r="J88" s="10"/>
    </row>
    <row r="89" spans="1:10" ht="14.45" customHeight="1">
      <c r="A89" s="14" t="s">
        <v>26</v>
      </c>
      <c r="B89" s="21">
        <v>2021</v>
      </c>
      <c r="C89" s="16">
        <f>15301627/3600</f>
        <v>4250.4519444444441</v>
      </c>
      <c r="D89" s="15">
        <f>1050233+54803+150994+72190</f>
        <v>1328220</v>
      </c>
      <c r="E89" s="15">
        <v>755951</v>
      </c>
      <c r="F89" s="15" t="s">
        <v>9</v>
      </c>
      <c r="G89" s="16">
        <f>(21598+69294+118405)*44/12</f>
        <v>767422.33333333337</v>
      </c>
      <c r="H89" s="8"/>
      <c r="I89" s="9"/>
      <c r="J89" s="10"/>
    </row>
    <row r="90" spans="1:10" ht="14.45" customHeight="1">
      <c r="A90" s="14" t="s">
        <v>26</v>
      </c>
      <c r="B90" s="21">
        <v>2022</v>
      </c>
      <c r="C90" s="16">
        <f>15614098/3600</f>
        <v>4337.2494444444446</v>
      </c>
      <c r="D90" s="15">
        <f>986758+55073+129947+76043+556</f>
        <v>1248377</v>
      </c>
      <c r="E90" s="15">
        <v>794579</v>
      </c>
      <c r="F90" s="15">
        <v>934912</v>
      </c>
      <c r="G90" s="15">
        <f>484369+237098+42101+917+4600+17596+19224+28901</f>
        <v>834806</v>
      </c>
      <c r="H90" s="8"/>
      <c r="I90" s="9"/>
      <c r="J90" s="10"/>
    </row>
    <row r="91" spans="1:10" ht="14.45" customHeight="1">
      <c r="A91" s="17" t="s">
        <v>26</v>
      </c>
      <c r="B91" s="22">
        <v>2023</v>
      </c>
      <c r="C91" s="19">
        <f>13067563/3600</f>
        <v>3629.8786111111112</v>
      </c>
      <c r="D91" s="18">
        <f>736827+48557+101258+70280+566</f>
        <v>957488</v>
      </c>
      <c r="E91" s="18">
        <v>822082</v>
      </c>
      <c r="F91" s="18">
        <v>940079</v>
      </c>
      <c r="G91" s="18">
        <f>449425+ 20289+ 175037+ 17831+ 4333 +4647+26380</f>
        <v>697942</v>
      </c>
      <c r="H91" s="8"/>
      <c r="I91" s="9"/>
      <c r="J91" s="10"/>
    </row>
    <row r="92" spans="1:10" ht="15" customHeight="1">
      <c r="A92" s="14" t="s">
        <v>27</v>
      </c>
      <c r="B92" s="21">
        <v>2015</v>
      </c>
      <c r="C92" s="15" t="s">
        <v>9</v>
      </c>
      <c r="D92" s="15" t="s">
        <v>9</v>
      </c>
      <c r="E92" s="15" t="s">
        <v>9</v>
      </c>
      <c r="F92" s="15" t="s">
        <v>9</v>
      </c>
      <c r="G92" s="15" t="s">
        <v>9</v>
      </c>
      <c r="H92" s="8"/>
      <c r="I92" s="9"/>
      <c r="J92" s="10"/>
    </row>
    <row r="93" spans="1:10" ht="14.45" customHeight="1">
      <c r="A93" s="14" t="s">
        <v>27</v>
      </c>
      <c r="B93" s="21">
        <v>2016</v>
      </c>
      <c r="C93" s="16">
        <v>424.54899999999998</v>
      </c>
      <c r="D93" s="15">
        <v>179507</v>
      </c>
      <c r="E93" s="15" t="s">
        <v>9</v>
      </c>
      <c r="F93" s="15">
        <v>167894</v>
      </c>
      <c r="G93" s="15">
        <v>3346</v>
      </c>
      <c r="H93" s="8"/>
      <c r="I93" s="9"/>
      <c r="J93" s="10"/>
    </row>
    <row r="94" spans="1:10" ht="14.45" customHeight="1">
      <c r="A94" s="14" t="s">
        <v>27</v>
      </c>
      <c r="B94" s="21">
        <v>2017</v>
      </c>
      <c r="C94" s="16">
        <v>432.48500000000001</v>
      </c>
      <c r="D94" s="15">
        <v>211684</v>
      </c>
      <c r="E94" s="15">
        <v>122601</v>
      </c>
      <c r="F94" s="15">
        <v>154595</v>
      </c>
      <c r="G94" s="15">
        <v>146023704</v>
      </c>
      <c r="H94" s="8"/>
      <c r="I94" s="9"/>
      <c r="J94" s="10"/>
    </row>
    <row r="95" spans="1:10" ht="14.45" customHeight="1">
      <c r="A95" s="14" t="s">
        <v>27</v>
      </c>
      <c r="B95" s="21">
        <v>2018</v>
      </c>
      <c r="C95" s="23">
        <v>469.39800000000002</v>
      </c>
      <c r="D95" s="15">
        <v>253411</v>
      </c>
      <c r="E95" s="15">
        <v>135418</v>
      </c>
      <c r="F95" s="15">
        <v>167247</v>
      </c>
      <c r="G95" s="15">
        <v>208574100</v>
      </c>
      <c r="H95" s="8"/>
      <c r="I95" s="9"/>
      <c r="J95" s="10"/>
    </row>
    <row r="96" spans="1:10" ht="14.45" customHeight="1">
      <c r="A96" s="14" t="s">
        <v>27</v>
      </c>
      <c r="B96" s="21">
        <v>2019</v>
      </c>
      <c r="C96" s="16">
        <v>393.40600000000001</v>
      </c>
      <c r="D96" s="15">
        <v>247136</v>
      </c>
      <c r="E96" s="15">
        <v>85883</v>
      </c>
      <c r="F96" s="15">
        <v>116087</v>
      </c>
      <c r="G96" s="15">
        <v>219554297</v>
      </c>
      <c r="H96" s="8"/>
      <c r="I96" s="9"/>
      <c r="J96" s="10"/>
    </row>
    <row r="97" spans="1:10" ht="14.45" customHeight="1">
      <c r="A97" s="14" t="s">
        <v>27</v>
      </c>
      <c r="B97" s="21">
        <v>2020</v>
      </c>
      <c r="C97" s="16">
        <v>385.53699999999998</v>
      </c>
      <c r="D97" s="15">
        <v>280555</v>
      </c>
      <c r="E97" s="15">
        <v>81591</v>
      </c>
      <c r="F97" s="15">
        <v>111199</v>
      </c>
      <c r="G97" s="15">
        <v>181835442</v>
      </c>
      <c r="H97" s="8"/>
      <c r="I97" s="9"/>
      <c r="J97" s="10"/>
    </row>
    <row r="98" spans="1:10" ht="14.45" customHeight="1">
      <c r="A98" s="14" t="s">
        <v>27</v>
      </c>
      <c r="B98" s="21">
        <v>2021</v>
      </c>
      <c r="C98" s="16">
        <v>411.80700000000002</v>
      </c>
      <c r="D98" s="15">
        <v>360118</v>
      </c>
      <c r="E98" s="15">
        <v>88685</v>
      </c>
      <c r="F98" s="15">
        <v>97512</v>
      </c>
      <c r="G98" s="15">
        <v>196750887</v>
      </c>
      <c r="H98" s="8"/>
      <c r="I98" s="9"/>
      <c r="J98" s="10"/>
    </row>
    <row r="99" spans="1:10" ht="14.45" customHeight="1">
      <c r="A99" s="14" t="s">
        <v>27</v>
      </c>
      <c r="B99" s="21">
        <v>2022</v>
      </c>
      <c r="C99" s="16">
        <v>466.77300000000002</v>
      </c>
      <c r="D99" s="15">
        <v>309299</v>
      </c>
      <c r="E99" s="15">
        <v>96349</v>
      </c>
      <c r="F99" s="15">
        <v>110418</v>
      </c>
      <c r="G99" s="15">
        <v>300920068</v>
      </c>
      <c r="H99" s="8"/>
      <c r="I99" s="9"/>
      <c r="J99" s="10"/>
    </row>
    <row r="100" spans="1:10" ht="14.45" customHeight="1">
      <c r="A100" s="17" t="s">
        <v>27</v>
      </c>
      <c r="B100" s="22">
        <v>2023</v>
      </c>
      <c r="C100" s="19">
        <f>593.352</f>
        <v>593.35199999999998</v>
      </c>
      <c r="D100" s="18">
        <v>355348</v>
      </c>
      <c r="E100" s="22">
        <v>113683</v>
      </c>
      <c r="F100" s="18">
        <v>131919</v>
      </c>
      <c r="G100" s="18">
        <v>307915772</v>
      </c>
      <c r="H100" s="8"/>
      <c r="I100" s="9"/>
      <c r="J100" s="10"/>
    </row>
    <row r="101" spans="1:10" ht="15" customHeight="1">
      <c r="A101" s="14" t="s">
        <v>28</v>
      </c>
      <c r="B101" s="21">
        <v>2015</v>
      </c>
      <c r="C101" s="21" t="s">
        <v>9</v>
      </c>
      <c r="D101" s="15">
        <v>354081</v>
      </c>
      <c r="E101" s="15">
        <v>880126</v>
      </c>
      <c r="F101" s="15" t="s">
        <v>9</v>
      </c>
      <c r="G101" s="15" t="s">
        <v>9</v>
      </c>
      <c r="H101" s="8" t="s">
        <v>29</v>
      </c>
      <c r="I101" s="9"/>
      <c r="J101" s="10"/>
    </row>
    <row r="102" spans="1:10" ht="14.45" customHeight="1">
      <c r="A102" s="14" t="s">
        <v>28</v>
      </c>
      <c r="B102" s="21">
        <v>2016</v>
      </c>
      <c r="C102" s="21" t="s">
        <v>9</v>
      </c>
      <c r="D102" s="15">
        <v>379272</v>
      </c>
      <c r="E102" s="15">
        <v>973173</v>
      </c>
      <c r="F102" s="15" t="s">
        <v>9</v>
      </c>
      <c r="G102" s="15" t="s">
        <v>9</v>
      </c>
      <c r="H102" s="8"/>
      <c r="I102" s="9"/>
      <c r="J102" s="10"/>
    </row>
    <row r="103" spans="1:10" ht="15" customHeight="1">
      <c r="A103" s="14" t="s">
        <v>28</v>
      </c>
      <c r="B103" s="21">
        <v>2017</v>
      </c>
      <c r="C103" s="21" t="s">
        <v>9</v>
      </c>
      <c r="D103" s="15">
        <v>462071</v>
      </c>
      <c r="E103" s="15">
        <v>1333998</v>
      </c>
      <c r="F103" s="15" t="s">
        <v>9</v>
      </c>
      <c r="G103" s="15" t="s">
        <v>9</v>
      </c>
      <c r="H103" s="8"/>
      <c r="I103" s="9"/>
      <c r="J103" s="10"/>
    </row>
    <row r="104" spans="1:10" ht="14.45" customHeight="1">
      <c r="A104" s="14" t="s">
        <v>28</v>
      </c>
      <c r="B104" s="21">
        <v>2018</v>
      </c>
      <c r="C104" s="21" t="s">
        <v>9</v>
      </c>
      <c r="D104" s="15">
        <v>425706</v>
      </c>
      <c r="E104" s="15">
        <v>1375520</v>
      </c>
      <c r="F104" s="15" t="s">
        <v>9</v>
      </c>
      <c r="G104" s="15" t="s">
        <v>9</v>
      </c>
      <c r="H104" s="8"/>
      <c r="I104" s="9"/>
      <c r="J104" s="10"/>
    </row>
    <row r="105" spans="1:10" ht="14.45" customHeight="1">
      <c r="A105" s="14" t="s">
        <v>28</v>
      </c>
      <c r="B105" s="21">
        <v>2019</v>
      </c>
      <c r="C105" s="23">
        <v>1752.23</v>
      </c>
      <c r="D105" s="15">
        <v>431212</v>
      </c>
      <c r="E105" s="15">
        <v>1291569</v>
      </c>
      <c r="F105" s="15" t="s">
        <v>9</v>
      </c>
      <c r="G105" s="15" t="s">
        <v>9</v>
      </c>
      <c r="H105" s="8"/>
      <c r="I105" s="9"/>
      <c r="J105" s="10"/>
    </row>
    <row r="106" spans="1:10" ht="14.45" customHeight="1">
      <c r="A106" s="14" t="s">
        <v>28</v>
      </c>
      <c r="B106" s="21">
        <v>2020</v>
      </c>
      <c r="C106" s="23">
        <v>2064.7399999999998</v>
      </c>
      <c r="D106" s="15">
        <v>550105</v>
      </c>
      <c r="E106" s="15">
        <v>1579152</v>
      </c>
      <c r="F106" s="15" t="s">
        <v>9</v>
      </c>
      <c r="G106" s="15" t="s">
        <v>9</v>
      </c>
      <c r="H106" s="8"/>
      <c r="I106" s="9"/>
      <c r="J106" s="10"/>
    </row>
    <row r="107" spans="1:10" ht="14.45" customHeight="1">
      <c r="A107" s="14" t="s">
        <v>28</v>
      </c>
      <c r="B107" s="21">
        <v>2021</v>
      </c>
      <c r="C107" s="23">
        <v>2887.69</v>
      </c>
      <c r="D107" s="15">
        <v>680308</v>
      </c>
      <c r="E107" s="15">
        <v>1558785</v>
      </c>
      <c r="F107" s="15" t="s">
        <v>9</v>
      </c>
      <c r="G107" s="15" t="s">
        <v>9</v>
      </c>
      <c r="H107" s="8"/>
      <c r="I107" s="9"/>
      <c r="J107" s="10"/>
    </row>
    <row r="108" spans="1:10" ht="14.45" customHeight="1">
      <c r="A108" s="14" t="s">
        <v>28</v>
      </c>
      <c r="B108" s="21">
        <v>2022</v>
      </c>
      <c r="C108" s="23">
        <v>3376.52</v>
      </c>
      <c r="D108" s="15">
        <v>823838</v>
      </c>
      <c r="E108" s="15">
        <v>1734583</v>
      </c>
      <c r="F108" s="15" t="s">
        <v>9</v>
      </c>
      <c r="G108" s="15" t="s">
        <v>9</v>
      </c>
      <c r="H108" s="8"/>
      <c r="I108" s="9"/>
      <c r="J108" s="10"/>
    </row>
    <row r="109" spans="1:10" ht="14.45" customHeight="1">
      <c r="A109" s="17" t="s">
        <v>28</v>
      </c>
      <c r="B109" s="22">
        <v>2023</v>
      </c>
      <c r="C109" s="24">
        <v>3717</v>
      </c>
      <c r="D109" s="18">
        <v>843517</v>
      </c>
      <c r="E109" s="18">
        <v>1764422</v>
      </c>
      <c r="F109" s="18" t="s">
        <v>9</v>
      </c>
      <c r="G109" s="20" t="s">
        <v>9</v>
      </c>
      <c r="H109" s="8"/>
      <c r="I109" s="9"/>
      <c r="J109" s="10"/>
    </row>
    <row r="110" spans="1:10" ht="15" customHeight="1">
      <c r="A110" s="14" t="s">
        <v>30</v>
      </c>
      <c r="B110" s="21">
        <v>2015</v>
      </c>
      <c r="C110" s="25">
        <f>57052383/9600</f>
        <v>5942.9565624999996</v>
      </c>
      <c r="D110" s="15">
        <v>1889050</v>
      </c>
      <c r="E110" s="15" t="s">
        <v>9</v>
      </c>
      <c r="F110" s="15">
        <v>2844283</v>
      </c>
      <c r="G110" s="15">
        <v>674301</v>
      </c>
      <c r="H110" s="8" t="s">
        <v>31</v>
      </c>
      <c r="I110" s="9"/>
      <c r="J110" s="10"/>
    </row>
    <row r="111" spans="1:10" ht="14.45" customHeight="1">
      <c r="A111" s="14" t="s">
        <v>30</v>
      </c>
      <c r="B111" s="21">
        <v>2016</v>
      </c>
      <c r="C111" s="25">
        <f>64601509/9600</f>
        <v>6729.3238541666669</v>
      </c>
      <c r="D111" s="15">
        <v>1901570</v>
      </c>
      <c r="E111" s="15" t="s">
        <v>9</v>
      </c>
      <c r="F111" s="15">
        <v>3290035</v>
      </c>
      <c r="G111" s="15">
        <v>73755</v>
      </c>
      <c r="H111" s="8"/>
      <c r="I111" s="9"/>
      <c r="J111" s="10"/>
    </row>
    <row r="112" spans="1:10" ht="14.45" customHeight="1">
      <c r="A112" s="14" t="s">
        <v>30</v>
      </c>
      <c r="B112" s="21">
        <v>2017</v>
      </c>
      <c r="C112" s="25">
        <f>70424815/9600</f>
        <v>7335.9182291666666</v>
      </c>
      <c r="D112" s="15">
        <v>1709628</v>
      </c>
      <c r="E112" s="15" t="s">
        <v>9</v>
      </c>
      <c r="F112" s="15">
        <v>3378076</v>
      </c>
      <c r="G112" s="15">
        <v>111334</v>
      </c>
      <c r="H112" s="8"/>
      <c r="I112" s="9"/>
      <c r="J112" s="10"/>
    </row>
    <row r="113" spans="1:10" ht="15" customHeight="1">
      <c r="A113" s="14" t="s">
        <v>30</v>
      </c>
      <c r="B113" s="21">
        <v>2018</v>
      </c>
      <c r="C113" s="25">
        <f>83978734/9600</f>
        <v>8747.7847916666669</v>
      </c>
      <c r="D113" s="15">
        <v>1958542</v>
      </c>
      <c r="E113" s="15" t="s">
        <v>9</v>
      </c>
      <c r="F113" s="15">
        <v>3955848</v>
      </c>
      <c r="G113" s="15">
        <v>109100</v>
      </c>
      <c r="H113" s="8"/>
      <c r="I113" s="9"/>
      <c r="J113" s="10"/>
    </row>
    <row r="114" spans="1:10" ht="15" customHeight="1">
      <c r="A114" s="14" t="s">
        <v>30</v>
      </c>
      <c r="B114" s="21">
        <v>2019</v>
      </c>
      <c r="C114" s="25">
        <f>85270649/9600</f>
        <v>8882.3592708333326</v>
      </c>
      <c r="D114" s="15">
        <v>2126171</v>
      </c>
      <c r="E114" s="15" t="s">
        <v>9</v>
      </c>
      <c r="F114" s="15">
        <v>4713299</v>
      </c>
      <c r="G114" s="15">
        <v>2712370</v>
      </c>
      <c r="H114" s="8"/>
      <c r="I114" s="9"/>
      <c r="J114" s="10"/>
    </row>
    <row r="115" spans="1:10" ht="15" customHeight="1">
      <c r="A115" s="14" t="s">
        <v>30</v>
      </c>
      <c r="B115" s="21">
        <v>2020</v>
      </c>
      <c r="C115" s="25">
        <f>90164014/9600</f>
        <v>9392.0847916666662</v>
      </c>
      <c r="D115" s="15">
        <v>2711409</v>
      </c>
      <c r="E115" s="15">
        <f>7548327-2711409</f>
        <v>4836918</v>
      </c>
      <c r="F115" s="15">
        <v>4836919</v>
      </c>
      <c r="G115" s="15">
        <v>2888458</v>
      </c>
      <c r="H115" s="8"/>
      <c r="I115" s="9"/>
      <c r="J115" s="10"/>
    </row>
    <row r="116" spans="1:10" ht="14.45" customHeight="1">
      <c r="A116" s="14" t="s">
        <v>30</v>
      </c>
      <c r="B116" s="21">
        <v>2021</v>
      </c>
      <c r="C116" s="25">
        <f>103559671/9600</f>
        <v>10787.465729166666</v>
      </c>
      <c r="D116" s="15">
        <v>2628921</v>
      </c>
      <c r="E116" s="15">
        <f>7638465-D116</f>
        <v>5009544</v>
      </c>
      <c r="F116" s="15">
        <v>5214008</v>
      </c>
      <c r="G116" s="15">
        <v>3432777</v>
      </c>
      <c r="H116" s="8"/>
      <c r="I116" s="9"/>
      <c r="J116" s="10"/>
    </row>
    <row r="117" spans="1:10" ht="14.45" customHeight="1">
      <c r="A117" s="14" t="s">
        <v>30</v>
      </c>
      <c r="B117" s="21">
        <v>2022</v>
      </c>
      <c r="C117" s="25">
        <f>108882947/9600</f>
        <v>11341.973645833334</v>
      </c>
      <c r="D117" s="15">
        <v>2942757</v>
      </c>
      <c r="E117" s="15">
        <f>7173550-D117</f>
        <v>4230793</v>
      </c>
      <c r="F117" s="15">
        <v>6139877</v>
      </c>
      <c r="G117" s="15">
        <v>3537388</v>
      </c>
      <c r="H117" s="8"/>
      <c r="I117" s="9"/>
      <c r="J117" s="10"/>
    </row>
    <row r="118" spans="1:10" ht="14.45" customHeight="1">
      <c r="A118" s="17" t="s">
        <v>30</v>
      </c>
      <c r="B118" s="22">
        <v>2023</v>
      </c>
      <c r="C118" s="24">
        <f>105478631/9600</f>
        <v>10987.357395833333</v>
      </c>
      <c r="D118" s="18">
        <v>2338090</v>
      </c>
      <c r="E118" s="18">
        <f>5415283-2338090</f>
        <v>3077193</v>
      </c>
      <c r="F118" s="26">
        <v>4986890</v>
      </c>
      <c r="G118" s="18">
        <v>2951027</v>
      </c>
      <c r="H118" s="8"/>
      <c r="I118" s="9"/>
      <c r="J118" s="10"/>
    </row>
    <row r="119" spans="1:10" ht="15" customHeight="1">
      <c r="A119" s="14" t="s">
        <v>32</v>
      </c>
      <c r="B119" s="21">
        <v>2015</v>
      </c>
      <c r="C119" s="15" t="s">
        <v>9</v>
      </c>
      <c r="D119" s="15">
        <v>46466</v>
      </c>
      <c r="E119" s="15">
        <v>424788</v>
      </c>
      <c r="F119" s="15">
        <v>424788</v>
      </c>
      <c r="G119" s="15" t="s">
        <v>9</v>
      </c>
      <c r="H119" s="8" t="s">
        <v>33</v>
      </c>
      <c r="I119" s="9"/>
      <c r="J119" s="10"/>
    </row>
    <row r="120" spans="1:10" ht="14.45" customHeight="1">
      <c r="A120" s="14" t="s">
        <v>32</v>
      </c>
      <c r="B120" s="21">
        <v>2016</v>
      </c>
      <c r="C120" s="16" t="s">
        <v>9</v>
      </c>
      <c r="D120" s="15">
        <v>59604</v>
      </c>
      <c r="E120" s="15">
        <v>436077</v>
      </c>
      <c r="F120" s="15">
        <v>436077</v>
      </c>
      <c r="G120" s="15" t="s">
        <v>9</v>
      </c>
      <c r="H120" s="8"/>
      <c r="I120" s="9"/>
      <c r="J120" s="10"/>
    </row>
    <row r="121" spans="1:10" ht="14.45" customHeight="1">
      <c r="A121" s="14" t="s">
        <v>32</v>
      </c>
      <c r="B121" s="21">
        <v>2017</v>
      </c>
      <c r="C121" s="16">
        <f>(3444627795+773691987)/3600000</f>
        <v>1171.7554950000001</v>
      </c>
      <c r="D121" s="15">
        <v>89378</v>
      </c>
      <c r="E121" s="15">
        <v>569192</v>
      </c>
      <c r="F121" s="15">
        <v>569192</v>
      </c>
      <c r="G121" s="15" t="s">
        <v>9</v>
      </c>
      <c r="H121" s="8"/>
      <c r="I121" s="9"/>
      <c r="J121" s="10"/>
    </row>
    <row r="122" spans="1:10" ht="14.45" customHeight="1">
      <c r="A122" s="14" t="s">
        <v>32</v>
      </c>
      <c r="B122" s="21">
        <v>2018</v>
      </c>
      <c r="C122" s="16">
        <v>1179.4459999999999</v>
      </c>
      <c r="D122" s="15">
        <v>107183</v>
      </c>
      <c r="E122" s="15">
        <v>552566</v>
      </c>
      <c r="F122" s="15">
        <v>552566</v>
      </c>
      <c r="G122" s="15" t="s">
        <v>9</v>
      </c>
      <c r="H122" s="8"/>
      <c r="I122" s="9"/>
      <c r="J122" s="10"/>
    </row>
    <row r="123" spans="1:10" ht="14.45" customHeight="1">
      <c r="A123" s="14" t="s">
        <v>32</v>
      </c>
      <c r="B123" s="21">
        <v>2019</v>
      </c>
      <c r="C123" s="16">
        <v>1233.191</v>
      </c>
      <c r="D123" s="15">
        <v>95781</v>
      </c>
      <c r="E123" s="15">
        <v>548034</v>
      </c>
      <c r="F123" s="15">
        <v>548034</v>
      </c>
      <c r="G123" s="15" t="s">
        <v>9</v>
      </c>
      <c r="H123" s="8"/>
      <c r="I123" s="9"/>
      <c r="J123" s="10"/>
    </row>
    <row r="124" spans="1:10" ht="14.45" customHeight="1">
      <c r="A124" s="14" t="s">
        <v>32</v>
      </c>
      <c r="B124" s="21">
        <v>2020</v>
      </c>
      <c r="C124" s="16">
        <v>1267.711</v>
      </c>
      <c r="D124" s="15">
        <v>108217</v>
      </c>
      <c r="E124" s="15">
        <v>565128</v>
      </c>
      <c r="F124" s="15">
        <v>565128</v>
      </c>
      <c r="G124" s="15" t="s">
        <v>9</v>
      </c>
      <c r="H124" s="8"/>
      <c r="I124" s="9"/>
      <c r="J124" s="10"/>
    </row>
    <row r="125" spans="1:10" ht="14.45" customHeight="1">
      <c r="A125" s="14" t="s">
        <v>32</v>
      </c>
      <c r="B125" s="21">
        <v>2021</v>
      </c>
      <c r="C125" s="16">
        <v>1269.511</v>
      </c>
      <c r="D125" s="15">
        <v>94996</v>
      </c>
      <c r="E125" s="15">
        <v>570181</v>
      </c>
      <c r="F125" s="15">
        <v>570181</v>
      </c>
      <c r="G125" s="15" t="s">
        <v>9</v>
      </c>
      <c r="H125" s="8"/>
      <c r="I125" s="9"/>
      <c r="J125" s="10"/>
    </row>
    <row r="126" spans="1:10" ht="14.45" customHeight="1">
      <c r="A126" s="14" t="s">
        <v>32</v>
      </c>
      <c r="B126" s="21">
        <v>2022</v>
      </c>
      <c r="C126" s="16">
        <v>1309.316</v>
      </c>
      <c r="D126" s="15">
        <v>89694</v>
      </c>
      <c r="E126" s="15">
        <v>581994</v>
      </c>
      <c r="F126" s="15">
        <v>581994</v>
      </c>
      <c r="G126" s="15">
        <v>213668</v>
      </c>
      <c r="H126" s="8"/>
      <c r="I126" s="9"/>
      <c r="J126" s="10"/>
    </row>
    <row r="127" spans="1:10" ht="14.45" customHeight="1">
      <c r="A127" s="17" t="s">
        <v>32</v>
      </c>
      <c r="B127" s="22">
        <v>2023</v>
      </c>
      <c r="C127" s="19">
        <f>1251.445+13.679</f>
        <v>1265.124</v>
      </c>
      <c r="D127" s="18">
        <v>49145</v>
      </c>
      <c r="E127" s="18">
        <f>583499-D127</f>
        <v>534354</v>
      </c>
      <c r="F127" s="18">
        <v>540850</v>
      </c>
      <c r="G127" s="20">
        <v>171863</v>
      </c>
      <c r="H127" s="8"/>
      <c r="I127" s="9"/>
      <c r="J127" s="10"/>
    </row>
    <row r="128" spans="1:10" ht="15" customHeight="1">
      <c r="A128" s="14" t="s">
        <v>34</v>
      </c>
      <c r="B128" s="21">
        <v>2015</v>
      </c>
      <c r="C128" s="15" t="s">
        <v>9</v>
      </c>
      <c r="D128" s="15" t="s">
        <v>9</v>
      </c>
      <c r="E128" s="15" t="s">
        <v>9</v>
      </c>
      <c r="F128" s="15" t="s">
        <v>9</v>
      </c>
      <c r="G128" s="15" t="s">
        <v>9</v>
      </c>
      <c r="H128" s="8"/>
      <c r="I128" s="9"/>
      <c r="J128" s="10"/>
    </row>
    <row r="129" spans="1:10" ht="14.45" customHeight="1">
      <c r="A129" s="14" t="s">
        <v>34</v>
      </c>
      <c r="B129" s="21">
        <v>2016</v>
      </c>
      <c r="C129" s="15" t="s">
        <v>9</v>
      </c>
      <c r="D129" s="15" t="s">
        <v>9</v>
      </c>
      <c r="E129" s="15" t="s">
        <v>9</v>
      </c>
      <c r="F129" s="15" t="s">
        <v>9</v>
      </c>
      <c r="G129" s="15" t="s">
        <v>9</v>
      </c>
      <c r="H129" s="8"/>
      <c r="I129" s="9"/>
      <c r="J129" s="10"/>
    </row>
    <row r="130" spans="1:10" ht="14.45" customHeight="1">
      <c r="A130" s="14" t="s">
        <v>34</v>
      </c>
      <c r="B130" s="21">
        <v>2017</v>
      </c>
      <c r="C130" s="15" t="s">
        <v>9</v>
      </c>
      <c r="D130" s="15" t="s">
        <v>9</v>
      </c>
      <c r="E130" s="15" t="s">
        <v>9</v>
      </c>
      <c r="F130" s="15" t="s">
        <v>9</v>
      </c>
      <c r="G130" s="15" t="s">
        <v>9</v>
      </c>
      <c r="H130" s="8"/>
      <c r="I130" s="9"/>
      <c r="J130" s="10"/>
    </row>
    <row r="131" spans="1:10" ht="14.45" customHeight="1">
      <c r="A131" s="14" t="s">
        <v>34</v>
      </c>
      <c r="B131" s="21">
        <v>2018</v>
      </c>
      <c r="C131" s="15" t="s">
        <v>9</v>
      </c>
      <c r="D131" s="15">
        <v>15783</v>
      </c>
      <c r="E131" s="15">
        <v>419051</v>
      </c>
      <c r="F131" s="15" t="s">
        <v>9</v>
      </c>
      <c r="G131" s="15" t="s">
        <v>9</v>
      </c>
      <c r="H131" s="8"/>
      <c r="I131" s="9"/>
      <c r="J131" s="10"/>
    </row>
    <row r="132" spans="1:10" ht="14.45" customHeight="1">
      <c r="A132" s="14" t="s">
        <v>34</v>
      </c>
      <c r="B132" s="21">
        <v>2019</v>
      </c>
      <c r="C132" s="15" t="s">
        <v>9</v>
      </c>
      <c r="D132" s="15">
        <v>16954</v>
      </c>
      <c r="E132" s="15">
        <v>432389</v>
      </c>
      <c r="F132" s="15" t="s">
        <v>9</v>
      </c>
      <c r="G132" s="15" t="s">
        <v>9</v>
      </c>
      <c r="H132" s="8"/>
      <c r="I132" s="9"/>
      <c r="J132" s="10"/>
    </row>
    <row r="133" spans="1:10" ht="14.45" customHeight="1">
      <c r="A133" s="14" t="s">
        <v>34</v>
      </c>
      <c r="B133" s="21">
        <v>2020</v>
      </c>
      <c r="C133" s="15" t="s">
        <v>9</v>
      </c>
      <c r="D133" s="15">
        <v>18135</v>
      </c>
      <c r="E133" s="15">
        <v>430479</v>
      </c>
      <c r="F133" s="15" t="s">
        <v>9</v>
      </c>
      <c r="G133" s="15" t="s">
        <v>9</v>
      </c>
      <c r="H133" s="8"/>
      <c r="I133" s="9"/>
      <c r="J133" s="10"/>
    </row>
    <row r="134" spans="1:10" ht="14.45" customHeight="1">
      <c r="A134" s="14" t="s">
        <v>34</v>
      </c>
      <c r="B134" s="21">
        <v>2021</v>
      </c>
      <c r="C134" s="15">
        <v>991.66300000000001</v>
      </c>
      <c r="D134" s="15">
        <v>24803</v>
      </c>
      <c r="E134" s="15">
        <v>697899</v>
      </c>
      <c r="F134" s="15" t="s">
        <v>9</v>
      </c>
      <c r="G134" s="15" t="s">
        <v>9</v>
      </c>
      <c r="H134" s="8"/>
      <c r="I134" s="9"/>
      <c r="J134" s="10"/>
    </row>
    <row r="135" spans="1:10" ht="14.45" customHeight="1">
      <c r="A135" s="14" t="s">
        <v>34</v>
      </c>
      <c r="B135" s="21">
        <v>2022</v>
      </c>
      <c r="C135" s="15">
        <v>1065.002</v>
      </c>
      <c r="D135" s="15">
        <v>24877</v>
      </c>
      <c r="E135" s="15">
        <v>473060</v>
      </c>
      <c r="F135" s="15" t="s">
        <v>9</v>
      </c>
      <c r="G135" s="15" t="s">
        <v>9</v>
      </c>
      <c r="H135" s="8"/>
      <c r="I135" s="9"/>
      <c r="J135" s="10"/>
    </row>
    <row r="136" spans="1:10" ht="14.45" customHeight="1">
      <c r="A136" s="17" t="s">
        <v>34</v>
      </c>
      <c r="B136" s="22">
        <v>2023</v>
      </c>
      <c r="C136" s="18">
        <v>1168.17</v>
      </c>
      <c r="D136" s="18">
        <v>22881</v>
      </c>
      <c r="E136" s="18">
        <v>514189</v>
      </c>
      <c r="F136" s="20" t="s">
        <v>9</v>
      </c>
      <c r="G136" s="20" t="s">
        <v>9</v>
      </c>
      <c r="H136" s="8"/>
      <c r="I136" s="9"/>
      <c r="J136" s="10"/>
    </row>
    <row r="137" spans="1:10" ht="15" customHeight="1">
      <c r="A137" s="14" t="s">
        <v>35</v>
      </c>
      <c r="B137" s="21">
        <v>2015</v>
      </c>
      <c r="C137" s="15" t="s">
        <v>9</v>
      </c>
      <c r="D137" s="15" t="s">
        <v>9</v>
      </c>
      <c r="E137" s="15" t="s">
        <v>9</v>
      </c>
      <c r="F137" s="15" t="s">
        <v>9</v>
      </c>
      <c r="G137" s="15" t="s">
        <v>9</v>
      </c>
      <c r="H137" s="8"/>
      <c r="I137" s="9"/>
      <c r="J137" s="10"/>
    </row>
    <row r="138" spans="1:10" ht="14.45" customHeight="1">
      <c r="A138" s="14" t="s">
        <v>35</v>
      </c>
      <c r="B138" s="21">
        <v>2016</v>
      </c>
      <c r="C138" s="15" t="s">
        <v>9</v>
      </c>
      <c r="D138" s="15" t="s">
        <v>9</v>
      </c>
      <c r="E138" s="15" t="s">
        <v>9</v>
      </c>
      <c r="F138" s="15" t="s">
        <v>9</v>
      </c>
      <c r="G138" s="15" t="s">
        <v>9</v>
      </c>
      <c r="H138" s="8"/>
      <c r="I138" s="9"/>
      <c r="J138" s="10"/>
    </row>
    <row r="139" spans="1:10" ht="14.45" customHeight="1">
      <c r="A139" s="14" t="s">
        <v>35</v>
      </c>
      <c r="B139" s="21">
        <v>2017</v>
      </c>
      <c r="C139" s="16">
        <v>2219.1669999999999</v>
      </c>
      <c r="D139" s="15">
        <f>1302628-E139</f>
        <v>193483</v>
      </c>
      <c r="E139" s="15">
        <v>1109145</v>
      </c>
      <c r="F139" s="15" t="s">
        <v>9</v>
      </c>
      <c r="G139" s="15" t="s">
        <v>9</v>
      </c>
      <c r="H139" s="8"/>
      <c r="I139" s="9"/>
      <c r="J139" s="10"/>
    </row>
    <row r="140" spans="1:10" ht="14.45" customHeight="1">
      <c r="A140" s="14" t="s">
        <v>35</v>
      </c>
      <c r="B140" s="21">
        <v>2018</v>
      </c>
      <c r="C140" s="16">
        <v>2080.5059999999999</v>
      </c>
      <c r="D140" s="15">
        <f>1181568-E140</f>
        <v>164684</v>
      </c>
      <c r="E140" s="15">
        <v>1016884</v>
      </c>
      <c r="F140" s="15" t="s">
        <v>9</v>
      </c>
      <c r="G140" s="15" t="s">
        <v>9</v>
      </c>
      <c r="H140" s="8"/>
      <c r="I140" s="9"/>
      <c r="J140" s="10"/>
    </row>
    <row r="141" spans="1:10" ht="14.45" customHeight="1">
      <c r="A141" s="14" t="s">
        <v>35</v>
      </c>
      <c r="B141" s="21">
        <v>2019</v>
      </c>
      <c r="C141" s="16">
        <v>1872.663</v>
      </c>
      <c r="D141" s="15">
        <f>1043123-E141</f>
        <v>128661</v>
      </c>
      <c r="E141" s="15">
        <v>914462</v>
      </c>
      <c r="F141" s="15" t="s">
        <v>9</v>
      </c>
      <c r="G141" s="15" t="s">
        <v>9</v>
      </c>
      <c r="H141" s="8"/>
      <c r="I141" s="9"/>
      <c r="J141" s="10"/>
    </row>
    <row r="142" spans="1:10" ht="14.45" customHeight="1">
      <c r="A142" s="14" t="s">
        <v>35</v>
      </c>
      <c r="B142" s="21">
        <v>2020</v>
      </c>
      <c r="C142" s="16">
        <v>1833.087</v>
      </c>
      <c r="D142" s="27" t="s">
        <v>9</v>
      </c>
      <c r="E142" s="27" t="s">
        <v>9</v>
      </c>
      <c r="F142" s="15" t="s">
        <v>9</v>
      </c>
      <c r="G142" s="27" t="s">
        <v>9</v>
      </c>
      <c r="H142" s="8"/>
      <c r="I142" s="9"/>
      <c r="J142" s="10"/>
    </row>
    <row r="143" spans="1:10" ht="14.45" customHeight="1">
      <c r="A143" s="14" t="s">
        <v>35</v>
      </c>
      <c r="B143" s="21">
        <v>2021</v>
      </c>
      <c r="C143" s="16">
        <v>1802.87</v>
      </c>
      <c r="D143" s="15">
        <v>198116</v>
      </c>
      <c r="E143" s="15">
        <v>781723</v>
      </c>
      <c r="F143" s="15" t="s">
        <v>9</v>
      </c>
      <c r="G143" s="15">
        <v>2491090</v>
      </c>
      <c r="H143" s="8"/>
      <c r="I143" s="9"/>
      <c r="J143" s="10"/>
    </row>
    <row r="144" spans="1:10" ht="14.45" customHeight="1">
      <c r="A144" s="14" t="s">
        <v>35</v>
      </c>
      <c r="B144" s="21">
        <v>2022</v>
      </c>
      <c r="C144" s="16">
        <v>1781.5920000000001</v>
      </c>
      <c r="D144" s="15">
        <v>196261</v>
      </c>
      <c r="E144" s="15">
        <v>717422</v>
      </c>
      <c r="F144" s="15" t="s">
        <v>9</v>
      </c>
      <c r="G144" s="15">
        <v>2093087</v>
      </c>
      <c r="H144" s="8"/>
      <c r="I144" s="9"/>
      <c r="J144" s="10"/>
    </row>
    <row r="145" spans="1:10" ht="14.45" customHeight="1">
      <c r="A145" s="17" t="s">
        <v>35</v>
      </c>
      <c r="B145" s="22">
        <v>2023</v>
      </c>
      <c r="C145" s="19">
        <v>1735.6489999999999</v>
      </c>
      <c r="D145" s="18">
        <v>156403</v>
      </c>
      <c r="E145" s="18">
        <v>647660</v>
      </c>
      <c r="F145" s="18" t="s">
        <v>9</v>
      </c>
      <c r="G145" s="18">
        <v>1694257</v>
      </c>
      <c r="H145" s="8"/>
      <c r="I145" s="9"/>
      <c r="J145" s="10"/>
    </row>
    <row r="146" spans="1:10" ht="15" customHeight="1">
      <c r="A146" s="14" t="s">
        <v>36</v>
      </c>
      <c r="B146" s="21">
        <v>2015</v>
      </c>
      <c r="C146" s="15" t="s">
        <v>9</v>
      </c>
      <c r="D146" s="15" t="s">
        <v>9</v>
      </c>
      <c r="E146" s="15" t="s">
        <v>9</v>
      </c>
      <c r="F146" s="27" t="s">
        <v>9</v>
      </c>
      <c r="G146" s="15" t="s">
        <v>9</v>
      </c>
      <c r="H146" s="8"/>
      <c r="I146" s="9"/>
      <c r="J146" s="10"/>
    </row>
    <row r="147" spans="1:10" ht="14.45" customHeight="1">
      <c r="A147" s="14" t="s">
        <v>36</v>
      </c>
      <c r="B147" s="21">
        <v>2016</v>
      </c>
      <c r="C147" s="15" t="s">
        <v>9</v>
      </c>
      <c r="D147" s="15" t="s">
        <v>9</v>
      </c>
      <c r="E147" s="15" t="s">
        <v>9</v>
      </c>
      <c r="F147" s="27" t="s">
        <v>9</v>
      </c>
      <c r="G147" s="15" t="s">
        <v>9</v>
      </c>
      <c r="H147" s="8"/>
      <c r="I147" s="9"/>
      <c r="J147" s="10"/>
    </row>
    <row r="148" spans="1:10" ht="14.45" customHeight="1">
      <c r="A148" s="14" t="s">
        <v>36</v>
      </c>
      <c r="B148" s="21">
        <v>2017</v>
      </c>
      <c r="C148" s="16">
        <v>1021.607</v>
      </c>
      <c r="D148" s="15">
        <v>239000</v>
      </c>
      <c r="E148" s="15">
        <v>245000</v>
      </c>
      <c r="F148" s="27" t="s">
        <v>9</v>
      </c>
      <c r="G148" s="15">
        <v>3794</v>
      </c>
      <c r="H148" s="8"/>
      <c r="I148" s="9"/>
      <c r="J148" s="10"/>
    </row>
    <row r="149" spans="1:10" ht="14.45" customHeight="1">
      <c r="A149" s="14" t="s">
        <v>36</v>
      </c>
      <c r="B149" s="21">
        <v>2018</v>
      </c>
      <c r="C149" s="16">
        <v>1040.5419999999999</v>
      </c>
      <c r="D149" s="15">
        <v>273800</v>
      </c>
      <c r="E149" s="15">
        <v>247000</v>
      </c>
      <c r="F149" s="27" t="s">
        <v>9</v>
      </c>
      <c r="G149" s="15">
        <v>4544</v>
      </c>
      <c r="H149" s="8"/>
      <c r="I149" s="9"/>
      <c r="J149" s="10"/>
    </row>
    <row r="150" spans="1:10" ht="14.45" customHeight="1">
      <c r="A150" s="14" t="s">
        <v>36</v>
      </c>
      <c r="B150" s="21">
        <v>2019</v>
      </c>
      <c r="C150" s="16">
        <v>1001.056</v>
      </c>
      <c r="D150" s="15">
        <v>220300</v>
      </c>
      <c r="E150" s="15">
        <v>231100</v>
      </c>
      <c r="F150" s="27" t="s">
        <v>9</v>
      </c>
      <c r="G150" s="15">
        <v>124281</v>
      </c>
      <c r="H150" s="8"/>
      <c r="I150" s="9"/>
      <c r="J150" s="10"/>
    </row>
    <row r="151" spans="1:10" ht="14.45" customHeight="1">
      <c r="A151" s="14" t="s">
        <v>36</v>
      </c>
      <c r="B151" s="21">
        <v>2020</v>
      </c>
      <c r="C151" s="16">
        <v>993.00199999999995</v>
      </c>
      <c r="D151" s="15">
        <v>202200</v>
      </c>
      <c r="E151" s="15">
        <v>234800</v>
      </c>
      <c r="F151" s="27" t="s">
        <v>9</v>
      </c>
      <c r="G151" s="15">
        <v>56447</v>
      </c>
      <c r="H151" s="8"/>
      <c r="I151" s="9"/>
      <c r="J151" s="10"/>
    </row>
    <row r="152" spans="1:10" ht="14.45" customHeight="1">
      <c r="A152" s="14" t="s">
        <v>36</v>
      </c>
      <c r="B152" s="21">
        <v>2021</v>
      </c>
      <c r="C152" s="16">
        <v>955.899</v>
      </c>
      <c r="D152" s="15">
        <v>154500</v>
      </c>
      <c r="E152" s="15">
        <v>209500</v>
      </c>
      <c r="F152" s="27" t="s">
        <v>9</v>
      </c>
      <c r="G152" s="15">
        <v>179572</v>
      </c>
      <c r="H152" s="8"/>
      <c r="I152" s="9"/>
      <c r="J152" s="10"/>
    </row>
    <row r="153" spans="1:10" ht="14.45" customHeight="1">
      <c r="A153" s="14" t="s">
        <v>36</v>
      </c>
      <c r="B153" s="21">
        <v>2022</v>
      </c>
      <c r="C153" s="16">
        <v>980.428</v>
      </c>
      <c r="D153" s="21">
        <v>139300</v>
      </c>
      <c r="E153" s="21">
        <v>194900</v>
      </c>
      <c r="F153" s="27" t="s">
        <v>9</v>
      </c>
      <c r="G153" s="15">
        <v>176567</v>
      </c>
      <c r="H153" s="8"/>
      <c r="I153" s="9"/>
      <c r="J153" s="10"/>
    </row>
    <row r="154" spans="1:10" ht="14.45" customHeight="1">
      <c r="A154" s="17" t="s">
        <v>36</v>
      </c>
      <c r="B154" s="22">
        <v>2023</v>
      </c>
      <c r="C154" s="19">
        <v>1001.327</v>
      </c>
      <c r="D154" s="18">
        <v>134300</v>
      </c>
      <c r="E154" s="18">
        <v>204000</v>
      </c>
      <c r="F154" s="26" t="s">
        <v>9</v>
      </c>
      <c r="G154" s="18">
        <v>58074</v>
      </c>
      <c r="H154" s="8"/>
      <c r="I154" s="9"/>
      <c r="J154" s="10"/>
    </row>
    <row r="155" spans="1:10" ht="15" customHeight="1">
      <c r="A155" s="14" t="s">
        <v>37</v>
      </c>
      <c r="B155" s="21">
        <v>2015</v>
      </c>
      <c r="C155" s="16">
        <v>494.10500000000002</v>
      </c>
      <c r="D155" s="15">
        <v>192854</v>
      </c>
      <c r="E155" s="15" t="s">
        <v>9</v>
      </c>
      <c r="F155" s="15">
        <v>179731</v>
      </c>
      <c r="G155" s="15" t="s">
        <v>9</v>
      </c>
      <c r="H155" s="8" t="s">
        <v>38</v>
      </c>
      <c r="I155" s="9"/>
      <c r="J155" s="10"/>
    </row>
    <row r="156" spans="1:10" ht="14.45" customHeight="1">
      <c r="A156" s="14" t="s">
        <v>37</v>
      </c>
      <c r="B156" s="21">
        <v>2016</v>
      </c>
      <c r="C156" s="16">
        <v>854.91099999999994</v>
      </c>
      <c r="D156" s="15">
        <v>451140</v>
      </c>
      <c r="E156" s="15" t="s">
        <v>9</v>
      </c>
      <c r="F156" s="15">
        <v>338876</v>
      </c>
      <c r="G156" s="15" t="s">
        <v>9</v>
      </c>
      <c r="H156" s="8"/>
      <c r="I156" s="9"/>
      <c r="J156" s="10"/>
    </row>
    <row r="157" spans="1:10" ht="14.45" customHeight="1">
      <c r="A157" s="14" t="s">
        <v>37</v>
      </c>
      <c r="B157" s="21">
        <v>2017</v>
      </c>
      <c r="C157" s="16">
        <v>837.97699999999998</v>
      </c>
      <c r="D157" s="15">
        <v>488043</v>
      </c>
      <c r="E157" s="15" t="s">
        <v>9</v>
      </c>
      <c r="F157" s="15">
        <v>281875</v>
      </c>
      <c r="G157" s="15" t="s">
        <v>9</v>
      </c>
      <c r="H157" s="8"/>
      <c r="I157" s="9"/>
      <c r="J157" s="10"/>
    </row>
    <row r="158" spans="1:10" ht="14.45" customHeight="1">
      <c r="A158" s="14" t="s">
        <v>37</v>
      </c>
      <c r="B158" s="21">
        <v>2018</v>
      </c>
      <c r="C158" s="16">
        <v>1024.2249999999999</v>
      </c>
      <c r="D158" s="15">
        <v>529370</v>
      </c>
      <c r="E158" s="15" t="s">
        <v>9</v>
      </c>
      <c r="F158" s="15">
        <v>328915</v>
      </c>
      <c r="G158" s="15" t="s">
        <v>9</v>
      </c>
      <c r="H158" s="8"/>
      <c r="I158" s="9"/>
      <c r="J158" s="10"/>
    </row>
    <row r="159" spans="1:10" ht="14.45" customHeight="1">
      <c r="A159" s="14" t="s">
        <v>37</v>
      </c>
      <c r="B159" s="21">
        <v>2019</v>
      </c>
      <c r="C159" s="16">
        <v>968.16899999999998</v>
      </c>
      <c r="D159" s="15">
        <v>425973</v>
      </c>
      <c r="E159" s="15" t="s">
        <v>9</v>
      </c>
      <c r="F159" s="15">
        <v>311490</v>
      </c>
      <c r="G159" s="15" t="s">
        <v>9</v>
      </c>
      <c r="H159" s="8"/>
      <c r="I159" s="9"/>
      <c r="J159" s="10"/>
    </row>
    <row r="160" spans="1:10" ht="14.45" customHeight="1">
      <c r="A160" s="14" t="s">
        <v>37</v>
      </c>
      <c r="B160" s="21">
        <v>2020</v>
      </c>
      <c r="C160" s="16">
        <v>997.72900000000004</v>
      </c>
      <c r="D160" s="15">
        <v>348407</v>
      </c>
      <c r="E160" s="15" t="s">
        <v>9</v>
      </c>
      <c r="F160" s="15">
        <v>305341</v>
      </c>
      <c r="G160" s="15" t="s">
        <v>9</v>
      </c>
      <c r="H160" s="8"/>
      <c r="I160" s="9"/>
      <c r="J160" s="10"/>
    </row>
    <row r="161" spans="1:10" ht="14.45" customHeight="1">
      <c r="A161" s="14" t="s">
        <v>37</v>
      </c>
      <c r="B161" s="21">
        <v>2021</v>
      </c>
      <c r="C161" s="16">
        <v>989.11800000000005</v>
      </c>
      <c r="D161" s="15">
        <v>407724</v>
      </c>
      <c r="E161" s="15" t="s">
        <v>9</v>
      </c>
      <c r="F161" s="15">
        <v>305162</v>
      </c>
      <c r="G161" s="15" t="s">
        <v>9</v>
      </c>
      <c r="H161" s="8"/>
      <c r="I161" s="9"/>
      <c r="J161" s="10"/>
    </row>
    <row r="162" spans="1:10" ht="14.45" customHeight="1">
      <c r="A162" s="14" t="s">
        <v>37</v>
      </c>
      <c r="B162" s="21">
        <v>2022</v>
      </c>
      <c r="C162" s="16">
        <v>967.14800000000002</v>
      </c>
      <c r="D162" s="15">
        <v>424370</v>
      </c>
      <c r="E162" s="15" t="s">
        <v>9</v>
      </c>
      <c r="F162" s="15">
        <v>294100</v>
      </c>
      <c r="G162" s="15" t="s">
        <v>9</v>
      </c>
      <c r="H162" s="8"/>
      <c r="I162" s="9"/>
      <c r="J162" s="10"/>
    </row>
    <row r="163" spans="1:10" ht="14.45" customHeight="1">
      <c r="A163" s="17" t="s">
        <v>37</v>
      </c>
      <c r="B163" s="22">
        <v>2023</v>
      </c>
      <c r="C163" s="19">
        <v>1001.826</v>
      </c>
      <c r="D163" s="18">
        <v>445176</v>
      </c>
      <c r="E163" s="18" t="s">
        <v>9</v>
      </c>
      <c r="F163" s="18">
        <v>248753</v>
      </c>
      <c r="G163" s="20" t="s">
        <v>9</v>
      </c>
      <c r="H163" s="8"/>
      <c r="I163" s="9"/>
      <c r="J163" s="10"/>
    </row>
    <row r="164" spans="1:10" ht="15" customHeight="1">
      <c r="A164" s="14" t="s">
        <v>39</v>
      </c>
      <c r="B164" s="21">
        <v>2015</v>
      </c>
      <c r="C164" s="15" t="s">
        <v>9</v>
      </c>
      <c r="D164" s="15" t="s">
        <v>9</v>
      </c>
      <c r="E164" s="15" t="s">
        <v>9</v>
      </c>
      <c r="F164" s="15" t="s">
        <v>9</v>
      </c>
      <c r="G164" s="15" t="s">
        <v>9</v>
      </c>
      <c r="H164" s="8"/>
      <c r="I164" s="9"/>
      <c r="J164" s="10"/>
    </row>
    <row r="165" spans="1:10" ht="14.45" customHeight="1">
      <c r="A165" s="14" t="s">
        <v>39</v>
      </c>
      <c r="B165" s="21">
        <v>2016</v>
      </c>
      <c r="C165" s="15" t="s">
        <v>9</v>
      </c>
      <c r="D165" s="15" t="s">
        <v>9</v>
      </c>
      <c r="E165" s="15" t="s">
        <v>9</v>
      </c>
      <c r="F165" s="15" t="s">
        <v>9</v>
      </c>
      <c r="G165" s="15" t="s">
        <v>9</v>
      </c>
      <c r="H165" s="8"/>
      <c r="I165" s="9"/>
      <c r="J165" s="10"/>
    </row>
    <row r="166" spans="1:10" ht="14.45" customHeight="1">
      <c r="A166" s="14" t="s">
        <v>39</v>
      </c>
      <c r="B166" s="21">
        <v>2017</v>
      </c>
      <c r="C166" s="15" t="s">
        <v>9</v>
      </c>
      <c r="D166" s="15" t="s">
        <v>9</v>
      </c>
      <c r="E166" s="15" t="s">
        <v>9</v>
      </c>
      <c r="F166" s="15" t="s">
        <v>9</v>
      </c>
      <c r="G166" s="15" t="s">
        <v>9</v>
      </c>
      <c r="H166" s="8"/>
      <c r="I166" s="9"/>
      <c r="J166" s="10"/>
    </row>
    <row r="167" spans="1:10" ht="14.45" customHeight="1">
      <c r="A167" s="14" t="s">
        <v>39</v>
      </c>
      <c r="B167" s="21">
        <v>2018</v>
      </c>
      <c r="C167" s="15" t="s">
        <v>9</v>
      </c>
      <c r="D167" s="15" t="s">
        <v>9</v>
      </c>
      <c r="E167" s="15" t="s">
        <v>9</v>
      </c>
      <c r="F167" s="15" t="s">
        <v>9</v>
      </c>
      <c r="G167" s="15" t="s">
        <v>9</v>
      </c>
      <c r="H167" s="8"/>
      <c r="I167" s="9"/>
      <c r="J167" s="10"/>
    </row>
    <row r="168" spans="1:10" ht="14.45" customHeight="1">
      <c r="A168" s="14" t="s">
        <v>39</v>
      </c>
      <c r="B168" s="21">
        <v>2019</v>
      </c>
      <c r="C168" s="15" t="s">
        <v>9</v>
      </c>
      <c r="D168" s="15" t="s">
        <v>9</v>
      </c>
      <c r="E168" s="15" t="s">
        <v>9</v>
      </c>
      <c r="F168" s="15" t="s">
        <v>9</v>
      </c>
      <c r="G168" s="15" t="s">
        <v>9</v>
      </c>
      <c r="H168" s="8"/>
      <c r="I168" s="9"/>
      <c r="J168" s="10"/>
    </row>
    <row r="169" spans="1:10" ht="14.45" customHeight="1">
      <c r="A169" s="14" t="s">
        <v>39</v>
      </c>
      <c r="B169" s="21">
        <v>2020</v>
      </c>
      <c r="C169" s="15" t="s">
        <v>9</v>
      </c>
      <c r="D169" s="16">
        <v>32145.1</v>
      </c>
      <c r="E169" s="16">
        <v>277652.09999999998</v>
      </c>
      <c r="F169" s="15" t="s">
        <v>9</v>
      </c>
      <c r="G169" s="15" t="s">
        <v>9</v>
      </c>
      <c r="H169" s="8"/>
      <c r="I169" s="9"/>
      <c r="J169" s="10"/>
    </row>
    <row r="170" spans="1:10" ht="14.45" customHeight="1">
      <c r="A170" s="14" t="s">
        <v>39</v>
      </c>
      <c r="B170" s="21">
        <v>2021</v>
      </c>
      <c r="C170" s="15" t="s">
        <v>9</v>
      </c>
      <c r="D170" s="16">
        <v>113278.2</v>
      </c>
      <c r="E170" s="16">
        <v>257450.7</v>
      </c>
      <c r="F170" s="15" t="s">
        <v>9</v>
      </c>
      <c r="G170" s="15" t="s">
        <v>9</v>
      </c>
      <c r="H170" s="8"/>
      <c r="I170" s="9"/>
      <c r="J170" s="10"/>
    </row>
    <row r="171" spans="1:10" ht="14.45" customHeight="1">
      <c r="A171" s="14" t="s">
        <v>39</v>
      </c>
      <c r="B171" s="21">
        <v>2022</v>
      </c>
      <c r="C171" s="15" t="s">
        <v>9</v>
      </c>
      <c r="D171" s="16">
        <f>115776</f>
        <v>115776</v>
      </c>
      <c r="E171" s="16">
        <f>290652.5</f>
        <v>290652.5</v>
      </c>
      <c r="F171" s="15" t="s">
        <v>9</v>
      </c>
      <c r="G171" s="15" t="s">
        <v>9</v>
      </c>
      <c r="H171" s="8"/>
      <c r="I171" s="9"/>
      <c r="J171" s="10"/>
    </row>
    <row r="172" spans="1:10" ht="14.45" customHeight="1">
      <c r="A172" s="17" t="s">
        <v>39</v>
      </c>
      <c r="B172" s="22">
        <v>2023</v>
      </c>
      <c r="C172" s="18" t="s">
        <v>9</v>
      </c>
      <c r="D172" s="19">
        <f>137101.3</f>
        <v>137101.29999999999</v>
      </c>
      <c r="E172" s="19">
        <f>282623.5</f>
        <v>282623.5</v>
      </c>
      <c r="F172" s="18" t="s">
        <v>9</v>
      </c>
      <c r="G172" s="20" t="s">
        <v>9</v>
      </c>
      <c r="H172" s="8"/>
      <c r="I172" s="9"/>
      <c r="J172" s="10"/>
    </row>
    <row r="173" spans="1:10" ht="15" customHeight="1">
      <c r="A173" s="14" t="s">
        <v>40</v>
      </c>
      <c r="B173" s="21">
        <v>2015</v>
      </c>
      <c r="C173" s="15" t="s">
        <v>9</v>
      </c>
      <c r="D173" s="15" t="s">
        <v>9</v>
      </c>
      <c r="E173" s="15" t="s">
        <v>9</v>
      </c>
      <c r="F173" s="15" t="s">
        <v>9</v>
      </c>
      <c r="G173" s="15" t="s">
        <v>9</v>
      </c>
      <c r="H173" s="8" t="s">
        <v>29</v>
      </c>
      <c r="I173" s="9"/>
      <c r="J173" s="10"/>
    </row>
    <row r="174" spans="1:10" ht="14.45" customHeight="1">
      <c r="A174" s="14" t="s">
        <v>40</v>
      </c>
      <c r="B174" s="21">
        <v>2016</v>
      </c>
      <c r="C174" s="15" t="s">
        <v>9</v>
      </c>
      <c r="D174" s="15" t="s">
        <v>9</v>
      </c>
      <c r="E174" s="15" t="s">
        <v>9</v>
      </c>
      <c r="F174" s="15" t="s">
        <v>9</v>
      </c>
      <c r="G174" s="15" t="s">
        <v>9</v>
      </c>
      <c r="H174" s="8"/>
      <c r="I174" s="9"/>
      <c r="J174" s="10"/>
    </row>
    <row r="175" spans="1:10" ht="14.45" customHeight="1">
      <c r="A175" s="14" t="s">
        <v>40</v>
      </c>
      <c r="B175" s="21">
        <v>2017</v>
      </c>
      <c r="C175" s="15" t="s">
        <v>9</v>
      </c>
      <c r="D175" s="15" t="s">
        <v>9</v>
      </c>
      <c r="E175" s="15" t="s">
        <v>9</v>
      </c>
      <c r="F175" s="15" t="s">
        <v>9</v>
      </c>
      <c r="G175" s="15" t="s">
        <v>9</v>
      </c>
      <c r="H175" s="8"/>
      <c r="I175" s="9"/>
      <c r="J175" s="10"/>
    </row>
    <row r="176" spans="1:10" ht="14.45" customHeight="1">
      <c r="A176" s="14" t="s">
        <v>40</v>
      </c>
      <c r="B176" s="21">
        <v>2018</v>
      </c>
      <c r="C176" s="16">
        <f>1748039.2/3600</f>
        <v>485.56644444444441</v>
      </c>
      <c r="D176" s="16">
        <f>419583.74</f>
        <v>419583.74</v>
      </c>
      <c r="E176" s="16">
        <f>154575.08</f>
        <v>154575.07999999999</v>
      </c>
      <c r="F176" s="15" t="s">
        <v>9</v>
      </c>
      <c r="G176" s="15" t="s">
        <v>9</v>
      </c>
      <c r="H176" s="8"/>
      <c r="I176" s="9"/>
      <c r="J176" s="10"/>
    </row>
    <row r="177" spans="1:10" ht="14.45" customHeight="1">
      <c r="A177" s="14" t="s">
        <v>40</v>
      </c>
      <c r="B177" s="21">
        <v>2019</v>
      </c>
      <c r="C177" s="16">
        <f>1733935.2/3600</f>
        <v>481.64866666666666</v>
      </c>
      <c r="D177" s="16">
        <f>397935.68</f>
        <v>397935.68</v>
      </c>
      <c r="E177" s="16">
        <f>148139.43</f>
        <v>148139.43</v>
      </c>
      <c r="F177" s="15" t="s">
        <v>9</v>
      </c>
      <c r="G177" s="15" t="s">
        <v>9</v>
      </c>
      <c r="H177" s="8"/>
      <c r="I177" s="9"/>
      <c r="J177" s="10"/>
    </row>
    <row r="178" spans="1:10" ht="14.45" customHeight="1">
      <c r="A178" s="14" t="s">
        <v>40</v>
      </c>
      <c r="B178" s="21">
        <v>2020</v>
      </c>
      <c r="C178" s="16">
        <f>1701857.1/3600</f>
        <v>472.73808333333335</v>
      </c>
      <c r="D178" s="16">
        <f>422019.01</f>
        <v>422019.01</v>
      </c>
      <c r="E178" s="16">
        <f>152157.79</f>
        <v>152157.79</v>
      </c>
      <c r="F178" s="15" t="s">
        <v>9</v>
      </c>
      <c r="G178" s="15" t="s">
        <v>9</v>
      </c>
      <c r="H178" s="8"/>
      <c r="I178" s="9"/>
      <c r="J178" s="10"/>
    </row>
    <row r="179" spans="1:10" ht="14.45" customHeight="1">
      <c r="A179" s="14" t="s">
        <v>40</v>
      </c>
      <c r="B179" s="21">
        <v>2021</v>
      </c>
      <c r="C179" s="16" t="s">
        <v>9</v>
      </c>
      <c r="D179" s="15" t="s">
        <v>9</v>
      </c>
      <c r="E179" s="15" t="s">
        <v>9</v>
      </c>
      <c r="F179" s="15" t="s">
        <v>9</v>
      </c>
      <c r="G179" s="15" t="s">
        <v>9</v>
      </c>
      <c r="H179" s="8"/>
      <c r="I179" s="9"/>
      <c r="J179" s="10"/>
    </row>
    <row r="180" spans="1:10" ht="14.45" customHeight="1">
      <c r="A180" s="14" t="s">
        <v>40</v>
      </c>
      <c r="B180" s="21">
        <v>2022</v>
      </c>
      <c r="C180" s="16">
        <f>1939744/3600</f>
        <v>538.81777777777779</v>
      </c>
      <c r="D180" s="15">
        <f>344000</f>
        <v>344000</v>
      </c>
      <c r="E180" s="15">
        <v>131000</v>
      </c>
      <c r="F180" s="15" t="s">
        <v>9</v>
      </c>
      <c r="G180" s="15" t="s">
        <v>9</v>
      </c>
      <c r="H180" s="8"/>
      <c r="I180" s="9"/>
      <c r="J180" s="10"/>
    </row>
    <row r="181" spans="1:10" ht="14.45" customHeight="1">
      <c r="A181" s="17" t="s">
        <v>40</v>
      </c>
      <c r="B181" s="22">
        <v>2023</v>
      </c>
      <c r="C181" s="19">
        <f>2265952/3600</f>
        <v>629.43111111111114</v>
      </c>
      <c r="D181" s="18">
        <f>257000</f>
        <v>257000</v>
      </c>
      <c r="E181" s="18">
        <f>155000</f>
        <v>155000</v>
      </c>
      <c r="F181" s="18" t="s">
        <v>9</v>
      </c>
      <c r="G181" s="20" t="s">
        <v>9</v>
      </c>
      <c r="H181" s="8"/>
      <c r="I181" s="9"/>
      <c r="J181" s="10"/>
    </row>
    <row r="182" spans="1:10" ht="15" customHeight="1">
      <c r="A182" s="14" t="s">
        <v>41</v>
      </c>
      <c r="B182" s="21">
        <v>2015</v>
      </c>
      <c r="C182" s="15" t="s">
        <v>9</v>
      </c>
      <c r="D182" s="15" t="s">
        <v>9</v>
      </c>
      <c r="E182" s="15" t="s">
        <v>9</v>
      </c>
      <c r="F182" s="15" t="s">
        <v>9</v>
      </c>
      <c r="G182" s="15" t="s">
        <v>9</v>
      </c>
      <c r="H182" s="8" t="s">
        <v>29</v>
      </c>
      <c r="I182" s="9"/>
      <c r="J182" s="10"/>
    </row>
    <row r="183" spans="1:10" ht="14.45" customHeight="1">
      <c r="A183" s="14" t="s">
        <v>41</v>
      </c>
      <c r="B183" s="21">
        <v>2016</v>
      </c>
      <c r="C183" s="15" t="s">
        <v>9</v>
      </c>
      <c r="D183" s="15" t="s">
        <v>9</v>
      </c>
      <c r="E183" s="15" t="s">
        <v>9</v>
      </c>
      <c r="F183" s="15" t="s">
        <v>9</v>
      </c>
      <c r="G183" s="15" t="s">
        <v>9</v>
      </c>
      <c r="H183" s="8"/>
      <c r="I183" s="9"/>
      <c r="J183" s="10"/>
    </row>
    <row r="184" spans="1:10" ht="14.45" customHeight="1">
      <c r="A184" s="14" t="s">
        <v>41</v>
      </c>
      <c r="B184" s="21">
        <v>2017</v>
      </c>
      <c r="C184" s="15" t="s">
        <v>9</v>
      </c>
      <c r="D184" s="15" t="s">
        <v>9</v>
      </c>
      <c r="E184" s="15" t="s">
        <v>9</v>
      </c>
      <c r="F184" s="15" t="s">
        <v>9</v>
      </c>
      <c r="G184" s="15" t="s">
        <v>9</v>
      </c>
      <c r="H184" s="8"/>
      <c r="I184" s="9"/>
      <c r="J184" s="10"/>
    </row>
    <row r="185" spans="1:10" ht="14.45" customHeight="1">
      <c r="A185" s="14" t="s">
        <v>41</v>
      </c>
      <c r="B185" s="21">
        <v>2018</v>
      </c>
      <c r="C185" s="15" t="s">
        <v>9</v>
      </c>
      <c r="D185" s="15" t="s">
        <v>9</v>
      </c>
      <c r="E185" s="15" t="s">
        <v>9</v>
      </c>
      <c r="F185" s="15" t="s">
        <v>9</v>
      </c>
      <c r="G185" s="15" t="s">
        <v>9</v>
      </c>
      <c r="H185" s="8"/>
      <c r="I185" s="9"/>
      <c r="J185" s="10"/>
    </row>
    <row r="186" spans="1:10" ht="14.45" customHeight="1">
      <c r="A186" s="14" t="s">
        <v>41</v>
      </c>
      <c r="B186" s="21">
        <v>2019</v>
      </c>
      <c r="C186" s="15" t="s">
        <v>9</v>
      </c>
      <c r="D186" s="15" t="s">
        <v>9</v>
      </c>
      <c r="E186" s="15" t="s">
        <v>9</v>
      </c>
      <c r="F186" s="15" t="s">
        <v>9</v>
      </c>
      <c r="G186" s="15" t="s">
        <v>9</v>
      </c>
      <c r="H186" s="8"/>
      <c r="I186" s="9"/>
      <c r="J186" s="10"/>
    </row>
    <row r="187" spans="1:10" ht="14.45" customHeight="1">
      <c r="A187" s="14" t="s">
        <v>41</v>
      </c>
      <c r="B187" s="21">
        <v>2020</v>
      </c>
      <c r="C187" s="16">
        <f>21600*0.008141</f>
        <v>175.84560000000002</v>
      </c>
      <c r="D187" s="15" t="s">
        <v>9</v>
      </c>
      <c r="E187" s="15" t="s">
        <v>9</v>
      </c>
      <c r="F187" s="15" t="s">
        <v>9</v>
      </c>
      <c r="G187" s="15" t="s">
        <v>9</v>
      </c>
      <c r="H187" s="8"/>
      <c r="I187" s="9"/>
      <c r="J187" s="10"/>
    </row>
    <row r="188" spans="1:10" ht="14.45" customHeight="1">
      <c r="A188" s="14" t="s">
        <v>41</v>
      </c>
      <c r="B188" s="21">
        <v>2021</v>
      </c>
      <c r="C188" s="16">
        <f>50142*0.008141</f>
        <v>408.20602200000002</v>
      </c>
      <c r="D188" s="15" t="s">
        <v>9</v>
      </c>
      <c r="E188" s="15" t="s">
        <v>9</v>
      </c>
      <c r="F188" s="15" t="s">
        <v>9</v>
      </c>
      <c r="G188" s="15" t="s">
        <v>9</v>
      </c>
      <c r="H188" s="8"/>
      <c r="I188" s="9"/>
      <c r="J188" s="10"/>
    </row>
    <row r="189" spans="1:10" ht="14.45" customHeight="1">
      <c r="A189" s="14" t="s">
        <v>41</v>
      </c>
      <c r="B189" s="21">
        <v>2022</v>
      </c>
      <c r="C189" s="16">
        <f>83262*0.008141</f>
        <v>677.83594200000005</v>
      </c>
      <c r="D189" s="16">
        <f>2583.76+55786.63</f>
        <v>58370.39</v>
      </c>
      <c r="E189" s="16">
        <f>181502.72</f>
        <v>181502.72</v>
      </c>
      <c r="F189" s="15" t="s">
        <v>9</v>
      </c>
      <c r="G189" s="15" t="s">
        <v>9</v>
      </c>
      <c r="H189" s="8"/>
      <c r="I189" s="9"/>
      <c r="J189" s="10"/>
    </row>
    <row r="190" spans="1:10" ht="14.45" customHeight="1">
      <c r="A190" s="17" t="s">
        <v>41</v>
      </c>
      <c r="B190" s="22">
        <v>2023</v>
      </c>
      <c r="C190" s="18" t="s">
        <v>9</v>
      </c>
      <c r="D190" s="19">
        <f>2358.21 + 59947.96</f>
        <v>62306.17</v>
      </c>
      <c r="E190" s="19">
        <f>174435.62</f>
        <v>174435.62</v>
      </c>
      <c r="F190" s="18" t="s">
        <v>9</v>
      </c>
      <c r="G190" s="20" t="s">
        <v>9</v>
      </c>
      <c r="H190" s="8"/>
      <c r="I190" s="9"/>
      <c r="J190" s="10"/>
    </row>
    <row r="191" spans="1:10" ht="15" customHeight="1">
      <c r="A191" s="14" t="s">
        <v>42</v>
      </c>
      <c r="B191" s="21">
        <v>2015</v>
      </c>
      <c r="C191" s="16">
        <f>5478177/3600</f>
        <v>1521.7158333333334</v>
      </c>
      <c r="D191" s="15">
        <f>793498</f>
        <v>793498</v>
      </c>
      <c r="E191" s="15">
        <v>770000</v>
      </c>
      <c r="F191" s="15" t="s">
        <v>9</v>
      </c>
      <c r="G191" s="15">
        <v>52000</v>
      </c>
      <c r="H191" s="8" t="s">
        <v>43</v>
      </c>
      <c r="I191" s="9"/>
      <c r="J191" s="10"/>
    </row>
    <row r="192" spans="1:10" ht="14.45" customHeight="1">
      <c r="A192" s="14" t="s">
        <v>42</v>
      </c>
      <c r="B192" s="21">
        <v>2016</v>
      </c>
      <c r="C192" s="16">
        <f>5489275/3600</f>
        <v>1524.7986111111111</v>
      </c>
      <c r="D192" s="15">
        <f>651653</f>
        <v>651653</v>
      </c>
      <c r="E192" s="15">
        <v>760000</v>
      </c>
      <c r="F192" s="15" t="s">
        <v>9</v>
      </c>
      <c r="G192" s="15">
        <v>50000</v>
      </c>
      <c r="H192" s="8"/>
      <c r="I192" s="9"/>
      <c r="J192" s="10"/>
    </row>
    <row r="193" spans="1:36" ht="14.45" customHeight="1">
      <c r="A193" s="14" t="s">
        <v>42</v>
      </c>
      <c r="B193" s="21">
        <v>2017</v>
      </c>
      <c r="C193" s="16">
        <f>5494235/3600</f>
        <v>1526.1763888888888</v>
      </c>
      <c r="D193" s="15">
        <f>602190</f>
        <v>602190</v>
      </c>
      <c r="E193" s="15">
        <v>740000</v>
      </c>
      <c r="F193" s="15" t="s">
        <v>9</v>
      </c>
      <c r="G193" s="15">
        <v>41000</v>
      </c>
      <c r="H193" s="8"/>
      <c r="I193" s="9"/>
      <c r="J193" s="10"/>
    </row>
    <row r="194" spans="1:36" ht="14.45" customHeight="1">
      <c r="A194" s="14" t="s">
        <v>42</v>
      </c>
      <c r="B194" s="21">
        <v>2018</v>
      </c>
      <c r="C194" s="16">
        <f>5573326/3600</f>
        <v>1548.1461111111112</v>
      </c>
      <c r="D194" s="15">
        <f>594499</f>
        <v>594499</v>
      </c>
      <c r="E194" s="15">
        <f>725613</f>
        <v>725613</v>
      </c>
      <c r="F194" s="15" t="s">
        <v>9</v>
      </c>
      <c r="G194" s="15">
        <v>28738</v>
      </c>
      <c r="H194" s="8"/>
      <c r="I194" s="9"/>
      <c r="J194" s="10"/>
    </row>
    <row r="195" spans="1:36" ht="14.45" customHeight="1">
      <c r="A195" s="14" t="s">
        <v>42</v>
      </c>
      <c r="B195" s="21">
        <v>2019</v>
      </c>
      <c r="C195" s="16">
        <f>5539224/3600</f>
        <v>1538.6733333333334</v>
      </c>
      <c r="D195" s="15">
        <f>458518</f>
        <v>458518</v>
      </c>
      <c r="E195" s="15">
        <f>675963</f>
        <v>675963</v>
      </c>
      <c r="F195" s="15" t="s">
        <v>9</v>
      </c>
      <c r="G195" s="15">
        <v>36690</v>
      </c>
      <c r="H195" s="8"/>
      <c r="I195" s="9"/>
      <c r="J195" s="10"/>
    </row>
    <row r="196" spans="1:36" ht="14.45" customHeight="1">
      <c r="A196" s="14" t="s">
        <v>42</v>
      </c>
      <c r="B196" s="21">
        <v>2020</v>
      </c>
      <c r="C196" s="16">
        <f xml:space="preserve"> 6096244/3600</f>
        <v>1693.401111111111</v>
      </c>
      <c r="D196" s="15">
        <f>356462</f>
        <v>356462</v>
      </c>
      <c r="E196" s="15">
        <f xml:space="preserve"> 625661</f>
        <v>625661</v>
      </c>
      <c r="F196" s="15" t="s">
        <v>9</v>
      </c>
      <c r="G196" s="15">
        <v>25835</v>
      </c>
      <c r="H196" s="8"/>
      <c r="I196" s="9"/>
      <c r="J196" s="10"/>
      <c r="O196" s="5" t="s">
        <v>44</v>
      </c>
    </row>
    <row r="197" spans="1:36" ht="14.45" customHeight="1">
      <c r="A197" s="14" t="s">
        <v>42</v>
      </c>
      <c r="B197" s="21">
        <v>2021</v>
      </c>
      <c r="C197" s="16">
        <f>6411583/3600</f>
        <v>1780.9952777777778</v>
      </c>
      <c r="D197" s="15">
        <f>515215</f>
        <v>515215</v>
      </c>
      <c r="E197" s="15">
        <f>664994</f>
        <v>664994</v>
      </c>
      <c r="F197" s="15" t="s">
        <v>9</v>
      </c>
      <c r="G197" s="15">
        <v>21441</v>
      </c>
      <c r="H197" s="8"/>
      <c r="I197" s="9"/>
      <c r="J197" s="10"/>
    </row>
    <row r="198" spans="1:36" ht="14.45" customHeight="1">
      <c r="A198" s="14" t="s">
        <v>42</v>
      </c>
      <c r="B198" s="21">
        <v>2022</v>
      </c>
      <c r="C198" s="16">
        <f>6766117/3600</f>
        <v>1879.4769444444444</v>
      </c>
      <c r="D198" s="15">
        <f>530433</f>
        <v>530433</v>
      </c>
      <c r="E198" s="15">
        <f>639073</f>
        <v>639073</v>
      </c>
      <c r="F198" s="15" t="s">
        <v>9</v>
      </c>
      <c r="G198" s="15">
        <f>18553136</f>
        <v>18553136</v>
      </c>
      <c r="H198" s="8"/>
      <c r="I198" s="9"/>
      <c r="J198" s="10"/>
    </row>
    <row r="199" spans="1:36" ht="14.45" customHeight="1">
      <c r="A199" s="17" t="s">
        <v>42</v>
      </c>
      <c r="B199" s="22">
        <v>2023</v>
      </c>
      <c r="C199" s="19">
        <f>6700545/3600</f>
        <v>1861.2625</v>
      </c>
      <c r="D199" s="18">
        <f>370174</f>
        <v>370174</v>
      </c>
      <c r="E199" s="18">
        <f>527362</f>
        <v>527362</v>
      </c>
      <c r="F199" s="18" t="s">
        <v>9</v>
      </c>
      <c r="G199" s="20">
        <f>11857054</f>
        <v>11857054</v>
      </c>
      <c r="H199" s="8"/>
      <c r="I199" s="9"/>
      <c r="J199" s="28"/>
      <c r="K199" s="29"/>
      <c r="L199" s="29"/>
      <c r="M199" s="29"/>
      <c r="N199" s="29"/>
      <c r="O199" s="29"/>
      <c r="P199" s="29"/>
      <c r="Q199" s="29"/>
      <c r="R199" s="29"/>
      <c r="S199" s="29"/>
      <c r="T199" s="29"/>
      <c r="U199" s="29"/>
      <c r="V199" s="29"/>
      <c r="W199" s="29"/>
      <c r="X199" s="29"/>
      <c r="Y199" s="29"/>
      <c r="Z199" s="29"/>
      <c r="AA199" s="30"/>
    </row>
    <row r="200" spans="1:36" ht="15" customHeight="1">
      <c r="A200" s="14" t="s">
        <v>45</v>
      </c>
      <c r="B200" s="21">
        <v>2015</v>
      </c>
      <c r="C200" s="16">
        <v>16929.986701196103</v>
      </c>
      <c r="D200" s="16">
        <v>2333634.9872218757</v>
      </c>
      <c r="E200" s="16">
        <v>7073521.7632792396</v>
      </c>
      <c r="F200" s="15" t="s">
        <v>9</v>
      </c>
      <c r="G200" s="16">
        <v>2496464.7143078302</v>
      </c>
      <c r="H200" s="8" t="s">
        <v>46</v>
      </c>
      <c r="I200" s="9"/>
      <c r="J200" s="31"/>
      <c r="K200" s="32" t="s">
        <v>47</v>
      </c>
      <c r="L200" s="33"/>
      <c r="M200" s="33"/>
      <c r="N200" s="33"/>
      <c r="O200" s="33"/>
      <c r="P200" s="33"/>
      <c r="Q200" s="33"/>
      <c r="R200" s="33"/>
      <c r="S200" s="33"/>
      <c r="T200" s="33"/>
      <c r="U200" s="33"/>
      <c r="V200" s="33"/>
      <c r="W200" s="33"/>
      <c r="X200" s="33"/>
      <c r="Y200" s="33"/>
      <c r="Z200" s="34"/>
      <c r="AA200" s="35"/>
    </row>
    <row r="201" spans="1:36" ht="14.45" customHeight="1">
      <c r="A201" s="14" t="s">
        <v>45</v>
      </c>
      <c r="B201" s="21">
        <v>2016</v>
      </c>
      <c r="C201" s="16">
        <v>18316.336880290866</v>
      </c>
      <c r="D201" s="16">
        <v>2437670.2484109085</v>
      </c>
      <c r="E201" s="16">
        <v>8259594.4069477217</v>
      </c>
      <c r="F201" s="15" t="s">
        <v>9</v>
      </c>
      <c r="G201" s="16">
        <v>1882993</v>
      </c>
      <c r="H201" s="8"/>
      <c r="I201" s="9"/>
      <c r="J201" s="31"/>
      <c r="K201" s="36"/>
      <c r="L201" s="32" t="s">
        <v>48</v>
      </c>
      <c r="M201" s="33"/>
      <c r="N201" s="34"/>
      <c r="O201" s="32" t="s">
        <v>49</v>
      </c>
      <c r="P201" s="33"/>
      <c r="Q201" s="34"/>
      <c r="R201" s="32" t="s">
        <v>50</v>
      </c>
      <c r="S201" s="33"/>
      <c r="T201" s="34"/>
      <c r="U201" s="32" t="s">
        <v>51</v>
      </c>
      <c r="V201" s="33"/>
      <c r="W201" s="34"/>
      <c r="X201" s="32" t="s">
        <v>52</v>
      </c>
      <c r="Y201" s="33"/>
      <c r="Z201" s="34"/>
      <c r="AA201" s="35"/>
      <c r="AJ201" s="5"/>
    </row>
    <row r="202" spans="1:36" ht="14.45" customHeight="1">
      <c r="A202" s="14" t="s">
        <v>45</v>
      </c>
      <c r="B202" s="21">
        <v>2017</v>
      </c>
      <c r="C202" s="16">
        <v>20355.445043398275</v>
      </c>
      <c r="D202" s="16">
        <v>3500929.706801571</v>
      </c>
      <c r="E202" s="16">
        <v>9045744.1730744056</v>
      </c>
      <c r="F202" s="15" t="s">
        <v>9</v>
      </c>
      <c r="G202" s="16">
        <v>1991728.2710977087</v>
      </c>
      <c r="H202" s="8"/>
      <c r="I202" s="9"/>
      <c r="J202" s="31"/>
      <c r="K202" s="37"/>
      <c r="L202" s="37" t="s">
        <v>53</v>
      </c>
      <c r="M202" s="37" t="s">
        <v>54</v>
      </c>
      <c r="N202" s="37" t="s">
        <v>55</v>
      </c>
      <c r="O202" s="37" t="s">
        <v>53</v>
      </c>
      <c r="P202" s="37" t="s">
        <v>54</v>
      </c>
      <c r="Q202" s="37" t="s">
        <v>55</v>
      </c>
      <c r="R202" s="37" t="s">
        <v>53</v>
      </c>
      <c r="S202" s="37" t="s">
        <v>54</v>
      </c>
      <c r="T202" s="37" t="s">
        <v>55</v>
      </c>
      <c r="U202" s="37" t="s">
        <v>53</v>
      </c>
      <c r="V202" s="37" t="s">
        <v>54</v>
      </c>
      <c r="W202" s="37" t="s">
        <v>56</v>
      </c>
      <c r="X202" s="37" t="s">
        <v>53</v>
      </c>
      <c r="Y202" s="37" t="s">
        <v>54</v>
      </c>
      <c r="Z202" s="37" t="s">
        <v>56</v>
      </c>
      <c r="AA202" s="35"/>
      <c r="AJ202" s="5"/>
    </row>
    <row r="203" spans="1:36" ht="14.45" customHeight="1">
      <c r="A203" s="14" t="s">
        <v>45</v>
      </c>
      <c r="B203" s="21">
        <v>2018</v>
      </c>
      <c r="C203" s="16">
        <v>22623.148878669894</v>
      </c>
      <c r="D203" s="16">
        <v>4633864.1566307601</v>
      </c>
      <c r="E203" s="16">
        <v>9400926.820023628</v>
      </c>
      <c r="F203" s="15" t="s">
        <v>9</v>
      </c>
      <c r="G203" s="16">
        <v>2143445.6322975499</v>
      </c>
      <c r="H203" s="8"/>
      <c r="I203" s="9"/>
      <c r="J203" s="31"/>
      <c r="K203" s="38">
        <v>2015</v>
      </c>
      <c r="L203" s="39">
        <f>M203*N203</f>
        <v>13562.59422135264</v>
      </c>
      <c r="M203" s="40">
        <v>15368</v>
      </c>
      <c r="N203" s="41">
        <v>0.8825217478756272</v>
      </c>
      <c r="O203" s="39">
        <f>P203*Q203</f>
        <v>16929.986701196103</v>
      </c>
      <c r="P203" s="40">
        <v>19478</v>
      </c>
      <c r="Q203" s="41">
        <v>0.86918506526317407</v>
      </c>
      <c r="R203" s="39">
        <f>S203*T203</f>
        <v>2333634.9872218757</v>
      </c>
      <c r="S203" s="40">
        <v>2445000</v>
      </c>
      <c r="T203" s="41">
        <v>0.95445193751405966</v>
      </c>
      <c r="U203" s="39">
        <f>V203*W203</f>
        <v>7073521.7632792396</v>
      </c>
      <c r="V203" s="40">
        <v>7747000</v>
      </c>
      <c r="W203" s="41">
        <v>0.91306593046072537</v>
      </c>
      <c r="X203" s="42">
        <f t="shared" ref="X203:X208" si="0">Y203*Z203</f>
        <v>2496464.7143078302</v>
      </c>
      <c r="Y203" s="40">
        <v>18528000</v>
      </c>
      <c r="Z203" s="43">
        <v>0.13474010763751243</v>
      </c>
      <c r="AA203" s="35"/>
      <c r="AJ203" s="5"/>
    </row>
    <row r="204" spans="1:36" ht="14.45" customHeight="1">
      <c r="A204" s="14" t="s">
        <v>45</v>
      </c>
      <c r="B204" s="21">
        <v>2019</v>
      </c>
      <c r="C204" s="16">
        <v>23380.20907051412</v>
      </c>
      <c r="D204" s="16">
        <v>4836207.9673837405</v>
      </c>
      <c r="E204" s="16">
        <v>7973804.7707135146</v>
      </c>
      <c r="F204" s="15" t="s">
        <v>9</v>
      </c>
      <c r="G204" s="16">
        <v>2237628.9675361691</v>
      </c>
      <c r="H204" s="8"/>
      <c r="I204" s="9"/>
      <c r="J204" s="31"/>
      <c r="K204" s="38">
        <v>2016</v>
      </c>
      <c r="L204" s="39">
        <f t="shared" ref="L204:L207" si="1">M204*N204</f>
        <v>14638.388232013029</v>
      </c>
      <c r="M204" s="40">
        <v>16587</v>
      </c>
      <c r="N204" s="41">
        <v>0.8825217478756272</v>
      </c>
      <c r="O204" s="39">
        <f t="shared" ref="O204:O207" si="2">P204*Q204</f>
        <v>18316.336880290866</v>
      </c>
      <c r="P204" s="40">
        <v>21073</v>
      </c>
      <c r="Q204" s="41">
        <v>0.86918506526317407</v>
      </c>
      <c r="R204" s="39">
        <f t="shared" ref="R204:R207" si="3">S204*T204</f>
        <v>2437670.2484109085</v>
      </c>
      <c r="S204" s="40">
        <v>2554000</v>
      </c>
      <c r="T204" s="41">
        <v>0.95445193751405966</v>
      </c>
      <c r="U204" s="39">
        <f t="shared" ref="U204:U207" si="4">V204*W204</f>
        <v>8259594.4069477217</v>
      </c>
      <c r="V204" s="40">
        <v>9046000</v>
      </c>
      <c r="W204" s="41">
        <v>0.91306593046072537</v>
      </c>
      <c r="X204" s="42">
        <f t="shared" si="0"/>
        <v>1882993.0042342362</v>
      </c>
      <c r="Y204" s="40">
        <f>(6326+7562+87)*1000</f>
        <v>13975000</v>
      </c>
      <c r="Z204" s="43">
        <v>0.13474010763751243</v>
      </c>
      <c r="AA204" s="35"/>
      <c r="AJ204" s="5"/>
    </row>
    <row r="205" spans="1:36" ht="14.45" customHeight="1">
      <c r="A205" s="14" t="s">
        <v>45</v>
      </c>
      <c r="B205" s="21">
        <v>2020</v>
      </c>
      <c r="C205" s="16">
        <v>24556</v>
      </c>
      <c r="D205" s="15">
        <v>5448000</v>
      </c>
      <c r="E205" s="15">
        <v>7546000</v>
      </c>
      <c r="F205" s="15" t="s">
        <v>9</v>
      </c>
      <c r="G205" s="16">
        <v>1984182.8250700079</v>
      </c>
      <c r="H205" s="8"/>
      <c r="I205" s="9"/>
      <c r="J205" s="31"/>
      <c r="K205" s="38">
        <v>2017</v>
      </c>
      <c r="L205" s="39">
        <f t="shared" si="1"/>
        <v>16282.526248305321</v>
      </c>
      <c r="M205" s="40">
        <v>18450</v>
      </c>
      <c r="N205" s="41">
        <v>0.8825217478756272</v>
      </c>
      <c r="O205" s="39">
        <f t="shared" si="2"/>
        <v>20355.445043398275</v>
      </c>
      <c r="P205" s="40">
        <v>23419</v>
      </c>
      <c r="Q205" s="41">
        <v>0.86918506526317407</v>
      </c>
      <c r="R205" s="39">
        <f t="shared" si="3"/>
        <v>3500929.706801571</v>
      </c>
      <c r="S205" s="40">
        <v>3668000</v>
      </c>
      <c r="T205" s="41">
        <v>0.95445193751405966</v>
      </c>
      <c r="U205" s="39">
        <f t="shared" si="4"/>
        <v>9045744.1730744056</v>
      </c>
      <c r="V205" s="40">
        <v>9907000</v>
      </c>
      <c r="W205" s="41">
        <v>0.91306593046072537</v>
      </c>
      <c r="X205" s="42">
        <f t="shared" si="0"/>
        <v>1991728.2710977087</v>
      </c>
      <c r="Y205" s="40">
        <v>14782000</v>
      </c>
      <c r="Z205" s="43">
        <v>0.13474010763751243</v>
      </c>
      <c r="AA205" s="35"/>
      <c r="AJ205" s="5"/>
    </row>
    <row r="206" spans="1:36" ht="14.45" customHeight="1">
      <c r="A206" s="14" t="s">
        <v>45</v>
      </c>
      <c r="B206" s="21">
        <v>2021</v>
      </c>
      <c r="C206" s="16">
        <v>27926</v>
      </c>
      <c r="D206" s="15">
        <v>7341000</v>
      </c>
      <c r="E206" s="15">
        <v>8269000</v>
      </c>
      <c r="F206" s="15" t="s">
        <v>9</v>
      </c>
      <c r="G206" s="16">
        <v>16604697.164708801</v>
      </c>
      <c r="H206" s="8"/>
      <c r="I206" s="9"/>
      <c r="J206" s="31"/>
      <c r="K206" s="38">
        <v>2018</v>
      </c>
      <c r="L206" s="39">
        <f t="shared" si="1"/>
        <v>18142.882092827145</v>
      </c>
      <c r="M206" s="40">
        <v>20558</v>
      </c>
      <c r="N206" s="41">
        <v>0.8825217478756272</v>
      </c>
      <c r="O206" s="39">
        <f t="shared" si="2"/>
        <v>22623.148878669894</v>
      </c>
      <c r="P206" s="40">
        <v>26028</v>
      </c>
      <c r="Q206" s="41">
        <v>0.86918506526317407</v>
      </c>
      <c r="R206" s="39">
        <f t="shared" si="3"/>
        <v>4633864.1566307601</v>
      </c>
      <c r="S206" s="40">
        <v>4855000</v>
      </c>
      <c r="T206" s="41">
        <v>0.95445193751405966</v>
      </c>
      <c r="U206" s="39">
        <f t="shared" si="4"/>
        <v>9400926.820023628</v>
      </c>
      <c r="V206" s="40">
        <v>10296000</v>
      </c>
      <c r="W206" s="41">
        <v>0.91306593046072537</v>
      </c>
      <c r="X206" s="42">
        <f t="shared" si="0"/>
        <v>2143445.6322975475</v>
      </c>
      <c r="Y206" s="40">
        <v>15908000</v>
      </c>
      <c r="Z206" s="43">
        <v>0.13474010763751243</v>
      </c>
      <c r="AA206" s="35"/>
      <c r="AJ206" s="5"/>
    </row>
    <row r="207" spans="1:36" ht="14.45" customHeight="1">
      <c r="A207" s="14" t="s">
        <v>45</v>
      </c>
      <c r="B207" s="21">
        <v>2022</v>
      </c>
      <c r="C207" s="16">
        <v>30850</v>
      </c>
      <c r="D207" s="15">
        <v>5718000</v>
      </c>
      <c r="E207" s="15">
        <v>8969000</v>
      </c>
      <c r="F207" s="15">
        <v>12239000</v>
      </c>
      <c r="G207" s="15">
        <v>14764000</v>
      </c>
      <c r="H207" s="8"/>
      <c r="I207" s="9"/>
      <c r="J207" s="31"/>
      <c r="K207" s="38">
        <v>2019</v>
      </c>
      <c r="L207" s="39">
        <f t="shared" si="1"/>
        <v>18674.160185048273</v>
      </c>
      <c r="M207" s="40">
        <v>21160</v>
      </c>
      <c r="N207" s="41">
        <v>0.8825217478756272</v>
      </c>
      <c r="O207" s="39">
        <f t="shared" si="2"/>
        <v>23380.20907051412</v>
      </c>
      <c r="P207" s="40">
        <v>26899</v>
      </c>
      <c r="Q207" s="41">
        <v>0.86918506526317407</v>
      </c>
      <c r="R207" s="39">
        <f t="shared" si="3"/>
        <v>4836207.9673837405</v>
      </c>
      <c r="S207" s="40">
        <v>5067000</v>
      </c>
      <c r="T207" s="41">
        <v>0.95445193751405966</v>
      </c>
      <c r="U207" s="39">
        <f t="shared" si="4"/>
        <v>7973804.7707135146</v>
      </c>
      <c r="V207" s="40">
        <v>8733000</v>
      </c>
      <c r="W207" s="41">
        <v>0.91306593046072537</v>
      </c>
      <c r="X207" s="42">
        <f t="shared" si="0"/>
        <v>2237628.9675361691</v>
      </c>
      <c r="Y207" s="40">
        <f>(8278+8223+106)*1000</f>
        <v>16607000</v>
      </c>
      <c r="Z207" s="43">
        <v>0.13474010763751243</v>
      </c>
      <c r="AA207" s="35"/>
      <c r="AJ207" s="5"/>
    </row>
    <row r="208" spans="1:36" ht="14.45" customHeight="1">
      <c r="A208" s="17" t="s">
        <v>45</v>
      </c>
      <c r="B208" s="22">
        <v>2023</v>
      </c>
      <c r="C208" s="19">
        <v>32384</v>
      </c>
      <c r="D208" s="18">
        <v>3522000</v>
      </c>
      <c r="E208" s="18">
        <v>9456000</v>
      </c>
      <c r="F208" s="18" t="s">
        <v>9</v>
      </c>
      <c r="G208" s="20">
        <v>18091000</v>
      </c>
      <c r="H208" s="8"/>
      <c r="I208" s="9"/>
      <c r="J208" s="31"/>
      <c r="K208" s="38">
        <v>2020</v>
      </c>
      <c r="L208" s="40">
        <v>19654</v>
      </c>
      <c r="M208" s="40">
        <v>22916</v>
      </c>
      <c r="N208" s="44">
        <f>L208/M208</f>
        <v>0.85765404084482455</v>
      </c>
      <c r="O208" s="40">
        <v>24556</v>
      </c>
      <c r="P208" s="40">
        <v>29024</v>
      </c>
      <c r="Q208" s="44">
        <f>O208/P208</f>
        <v>0.84605843439911799</v>
      </c>
      <c r="R208" s="40">
        <v>5448000</v>
      </c>
      <c r="S208" s="40">
        <v>5726000</v>
      </c>
      <c r="T208" s="44">
        <f>R208/S208</f>
        <v>0.95144952846664343</v>
      </c>
      <c r="U208" s="40">
        <v>7546000</v>
      </c>
      <c r="V208" s="40">
        <v>9079000</v>
      </c>
      <c r="W208" s="44">
        <f>U208/V208</f>
        <v>0.83114880493446419</v>
      </c>
      <c r="X208" s="42">
        <f t="shared" si="0"/>
        <v>1984182.8250700079</v>
      </c>
      <c r="Y208" s="45">
        <f>(8030+6682+14)*1000</f>
        <v>14726000</v>
      </c>
      <c r="Z208" s="43">
        <v>0.13474010763751243</v>
      </c>
      <c r="AA208" s="35"/>
      <c r="AJ208" s="5"/>
    </row>
    <row r="209" spans="1:36" ht="15" customHeight="1">
      <c r="A209" s="14" t="s">
        <v>57</v>
      </c>
      <c r="B209" s="21">
        <v>2015</v>
      </c>
      <c r="C209" s="16" t="s">
        <v>9</v>
      </c>
      <c r="D209" s="15" t="s">
        <v>9</v>
      </c>
      <c r="E209" s="15" t="s">
        <v>9</v>
      </c>
      <c r="F209" s="15" t="s">
        <v>9</v>
      </c>
      <c r="G209" s="15" t="s">
        <v>9</v>
      </c>
      <c r="H209" s="8"/>
      <c r="I209" s="9"/>
      <c r="J209" s="31"/>
      <c r="K209" s="38">
        <v>2021</v>
      </c>
      <c r="L209" s="40">
        <v>22624</v>
      </c>
      <c r="M209" s="40">
        <v>25767</v>
      </c>
      <c r="N209" s="44">
        <f t="shared" ref="N209:N211" si="5">L209/M209</f>
        <v>0.87802227655528386</v>
      </c>
      <c r="O209" s="40">
        <v>27926</v>
      </c>
      <c r="P209" s="40">
        <v>32322</v>
      </c>
      <c r="Q209" s="44">
        <f t="shared" ref="Q209:Q210" si="6">O209/P209</f>
        <v>0.86399356475465627</v>
      </c>
      <c r="R209" s="40">
        <v>7341000</v>
      </c>
      <c r="S209" s="40">
        <v>7604000</v>
      </c>
      <c r="T209" s="44">
        <f t="shared" ref="T209:T210" si="7">R209/S209</f>
        <v>0.9654129405576013</v>
      </c>
      <c r="U209" s="40">
        <v>8269000</v>
      </c>
      <c r="V209" s="40">
        <v>9796000</v>
      </c>
      <c r="W209" s="44">
        <f>U209/V209</f>
        <v>0.8441200489995917</v>
      </c>
      <c r="X209" s="42">
        <f>Y209*Z209</f>
        <v>16604697.164708843</v>
      </c>
      <c r="Y209" s="40">
        <v>123235000</v>
      </c>
      <c r="Z209" s="46">
        <v>0.13474010763751243</v>
      </c>
      <c r="AA209" s="35"/>
      <c r="AJ209" s="5"/>
    </row>
    <row r="210" spans="1:36" ht="14.45" customHeight="1">
      <c r="A210" s="14" t="s">
        <v>57</v>
      </c>
      <c r="B210" s="21">
        <v>2016</v>
      </c>
      <c r="C210" s="16" t="s">
        <v>9</v>
      </c>
      <c r="D210" s="15" t="s">
        <v>9</v>
      </c>
      <c r="E210" s="15" t="s">
        <v>9</v>
      </c>
      <c r="F210" s="15" t="s">
        <v>9</v>
      </c>
      <c r="G210" s="15" t="s">
        <v>9</v>
      </c>
      <c r="H210" s="8"/>
      <c r="I210" s="9"/>
      <c r="J210" s="31"/>
      <c r="K210" s="38">
        <v>2022</v>
      </c>
      <c r="L210" s="40">
        <v>25249</v>
      </c>
      <c r="M210" s="40">
        <v>28316</v>
      </c>
      <c r="N210" s="44">
        <f t="shared" si="5"/>
        <v>0.89168667890945053</v>
      </c>
      <c r="O210" s="40">
        <v>30850</v>
      </c>
      <c r="P210" s="40">
        <v>35177</v>
      </c>
      <c r="Q210" s="44">
        <f t="shared" si="6"/>
        <v>0.87699349006453076</v>
      </c>
      <c r="R210" s="40">
        <v>5718000</v>
      </c>
      <c r="S210" s="40">
        <v>5972000</v>
      </c>
      <c r="T210" s="44">
        <f t="shared" si="7"/>
        <v>0.95746818486269258</v>
      </c>
      <c r="U210" s="40">
        <v>8969000</v>
      </c>
      <c r="V210" s="40">
        <v>9081000</v>
      </c>
      <c r="W210" s="44">
        <f>U210/V210</f>
        <v>0.98766655654663582</v>
      </c>
      <c r="X210" s="47">
        <v>14764000</v>
      </c>
      <c r="Y210" s="40">
        <v>124715000</v>
      </c>
      <c r="Z210" s="48">
        <f>X210/Y210</f>
        <v>0.11838191075652488</v>
      </c>
      <c r="AA210" s="35"/>
      <c r="AJ210" s="5"/>
    </row>
    <row r="211" spans="1:36" ht="14.45" customHeight="1">
      <c r="A211" s="14" t="s">
        <v>57</v>
      </c>
      <c r="B211" s="21">
        <v>2017</v>
      </c>
      <c r="C211" s="16" t="s">
        <v>9</v>
      </c>
      <c r="D211" s="15" t="s">
        <v>9</v>
      </c>
      <c r="E211" s="15" t="s">
        <v>9</v>
      </c>
      <c r="F211" s="15" t="s">
        <v>9</v>
      </c>
      <c r="G211" s="15" t="s">
        <v>9</v>
      </c>
      <c r="H211" s="8"/>
      <c r="I211" s="9"/>
      <c r="J211" s="31"/>
      <c r="K211" s="38">
        <v>2023</v>
      </c>
      <c r="L211" s="40">
        <v>27042</v>
      </c>
      <c r="M211" s="40">
        <v>29956</v>
      </c>
      <c r="N211" s="44">
        <f t="shared" si="5"/>
        <v>0.90272399519294966</v>
      </c>
      <c r="O211" s="40">
        <v>32384</v>
      </c>
      <c r="P211" s="40">
        <v>36399</v>
      </c>
      <c r="Q211" s="44">
        <f>O211/P211</f>
        <v>0.88969477183439105</v>
      </c>
      <c r="R211" s="40">
        <v>3522000</v>
      </c>
      <c r="S211" s="40">
        <v>3733000</v>
      </c>
      <c r="T211" s="44">
        <f>R211/S211</f>
        <v>0.94347709616930087</v>
      </c>
      <c r="U211" s="40">
        <v>9456000</v>
      </c>
      <c r="V211" s="40">
        <v>9558000</v>
      </c>
      <c r="W211" s="44">
        <f t="shared" ref="W211" si="8">U211/V211</f>
        <v>0.98932831136220967</v>
      </c>
      <c r="X211" s="49">
        <v>18091000</v>
      </c>
      <c r="Y211" s="50">
        <v>119730000</v>
      </c>
      <c r="Z211" s="51">
        <f>X211/Y211</f>
        <v>0.15109830451849995</v>
      </c>
      <c r="AA211" s="35"/>
      <c r="AJ211" s="5"/>
    </row>
    <row r="212" spans="1:36" ht="14.45" customHeight="1">
      <c r="A212" s="14" t="s">
        <v>57</v>
      </c>
      <c r="B212" s="21">
        <v>2018</v>
      </c>
      <c r="C212" s="16" t="s">
        <v>9</v>
      </c>
      <c r="D212" s="15" t="s">
        <v>9</v>
      </c>
      <c r="E212" s="15" t="s">
        <v>9</v>
      </c>
      <c r="F212" s="15" t="s">
        <v>9</v>
      </c>
      <c r="G212" s="15" t="s">
        <v>9</v>
      </c>
      <c r="H212" s="8"/>
      <c r="I212" s="9"/>
      <c r="J212" s="31"/>
      <c r="K212" s="38" t="s">
        <v>58</v>
      </c>
      <c r="L212" s="52">
        <f>AVERAGE(N208:N211)</f>
        <v>0.8825217478756272</v>
      </c>
      <c r="M212" s="53"/>
      <c r="N212" s="54"/>
      <c r="O212" s="52">
        <f>AVERAGE(Q208:Q211)</f>
        <v>0.86918506526317407</v>
      </c>
      <c r="P212" s="53"/>
      <c r="Q212" s="54"/>
      <c r="R212" s="52">
        <f>AVERAGE(T208:T211)</f>
        <v>0.95445193751405966</v>
      </c>
      <c r="S212" s="53"/>
      <c r="T212" s="54"/>
      <c r="U212" s="52">
        <f>AVERAGE(W208:W211)</f>
        <v>0.91306593046072537</v>
      </c>
      <c r="V212" s="53"/>
      <c r="W212" s="54"/>
      <c r="X212" s="52">
        <f>AVERAGE(Z210:Z211)</f>
        <v>0.13474010763751243</v>
      </c>
      <c r="Y212" s="53"/>
      <c r="Z212" s="54"/>
      <c r="AA212" s="35"/>
      <c r="AJ212" s="5"/>
    </row>
    <row r="213" spans="1:36" ht="14.45" customHeight="1">
      <c r="A213" s="14" t="s">
        <v>57</v>
      </c>
      <c r="B213" s="21">
        <v>2019</v>
      </c>
      <c r="C213" s="16" t="s">
        <v>9</v>
      </c>
      <c r="D213" s="15" t="s">
        <v>9</v>
      </c>
      <c r="E213" s="15" t="s">
        <v>9</v>
      </c>
      <c r="F213" s="15" t="s">
        <v>9</v>
      </c>
      <c r="G213" s="15" t="s">
        <v>9</v>
      </c>
      <c r="H213" s="8"/>
      <c r="I213" s="9"/>
      <c r="J213" s="31"/>
      <c r="AA213" s="35"/>
      <c r="AJ213" s="5"/>
    </row>
    <row r="214" spans="1:36" ht="14.45" customHeight="1">
      <c r="A214" s="14" t="s">
        <v>57</v>
      </c>
      <c r="B214" s="21">
        <v>2020</v>
      </c>
      <c r="C214" s="16">
        <v>899.3</v>
      </c>
      <c r="D214" s="15">
        <v>51700</v>
      </c>
      <c r="E214" s="15">
        <v>264100</v>
      </c>
      <c r="F214" s="15">
        <v>332300</v>
      </c>
      <c r="G214" s="15">
        <f xml:space="preserve"> 1071300 + 54100 + 54500 + 4000</f>
        <v>1183900</v>
      </c>
      <c r="H214" s="8"/>
      <c r="I214" s="9"/>
      <c r="J214" s="31"/>
      <c r="K214" s="55" t="s">
        <v>59</v>
      </c>
      <c r="L214" s="56"/>
      <c r="M214" s="56"/>
      <c r="N214" s="57"/>
      <c r="AA214" s="35"/>
      <c r="AJ214" s="5"/>
    </row>
    <row r="215" spans="1:36" ht="14.45" customHeight="1">
      <c r="A215" s="14" t="s">
        <v>57</v>
      </c>
      <c r="B215" s="21">
        <v>2021</v>
      </c>
      <c r="C215" s="16">
        <v>892.4</v>
      </c>
      <c r="D215" s="15">
        <v>46600</v>
      </c>
      <c r="E215" s="15">
        <v>261700</v>
      </c>
      <c r="F215" s="15">
        <v>321400</v>
      </c>
      <c r="G215" s="15">
        <f>1106400 + 76800 + 59700 + 2600</f>
        <v>1245500</v>
      </c>
      <c r="H215" s="8"/>
      <c r="I215" s="9"/>
      <c r="J215" s="31"/>
      <c r="K215" s="58" t="s">
        <v>60</v>
      </c>
      <c r="L215" s="59"/>
      <c r="M215" s="59"/>
      <c r="N215" s="60"/>
      <c r="AA215" s="35"/>
    </row>
    <row r="216" spans="1:36" ht="14.45" customHeight="1">
      <c r="A216" s="14" t="s">
        <v>57</v>
      </c>
      <c r="B216" s="21">
        <v>2022</v>
      </c>
      <c r="C216" s="16">
        <v>830.4</v>
      </c>
      <c r="D216" s="15">
        <v>65500</v>
      </c>
      <c r="E216" s="15">
        <v>230500</v>
      </c>
      <c r="F216" s="15">
        <v>291000</v>
      </c>
      <c r="G216" s="15">
        <f>1119800 + 199100 + 47400 + 7200</f>
        <v>1373500</v>
      </c>
      <c r="H216" s="8"/>
      <c r="I216" s="9"/>
      <c r="J216" s="31"/>
      <c r="K216" s="32" t="s">
        <v>61</v>
      </c>
      <c r="L216" s="33"/>
      <c r="M216" s="33"/>
      <c r="N216" s="34"/>
      <c r="AA216" s="35"/>
    </row>
    <row r="217" spans="1:36" ht="14.45" customHeight="1">
      <c r="A217" s="17" t="s">
        <v>57</v>
      </c>
      <c r="B217" s="22">
        <v>2023</v>
      </c>
      <c r="C217" s="19">
        <v>785.4</v>
      </c>
      <c r="D217" s="18">
        <v>51700</v>
      </c>
      <c r="E217" s="18">
        <v>229400</v>
      </c>
      <c r="F217" s="18">
        <v>292900</v>
      </c>
      <c r="G217" s="20">
        <f>718300+301200+42200+5400</f>
        <v>1067100</v>
      </c>
      <c r="H217" s="8"/>
      <c r="I217" s="9"/>
      <c r="J217" s="61"/>
      <c r="K217" s="62"/>
      <c r="L217" s="62"/>
      <c r="M217" s="62"/>
      <c r="N217" s="62"/>
      <c r="O217" s="62"/>
      <c r="P217" s="62"/>
      <c r="Q217" s="62"/>
      <c r="R217" s="62"/>
      <c r="S217" s="62"/>
      <c r="T217" s="62"/>
      <c r="U217" s="62"/>
      <c r="V217" s="62"/>
      <c r="W217" s="62"/>
      <c r="X217" s="62"/>
      <c r="Y217" s="62"/>
      <c r="Z217" s="62"/>
      <c r="AA217" s="63"/>
    </row>
    <row r="218" spans="1:36" ht="15" customHeight="1">
      <c r="A218" s="14" t="s">
        <v>62</v>
      </c>
      <c r="B218" s="21">
        <v>2015</v>
      </c>
      <c r="C218" s="16" t="s">
        <v>9</v>
      </c>
      <c r="D218" s="16" t="s">
        <v>9</v>
      </c>
      <c r="E218" s="16" t="s">
        <v>9</v>
      </c>
      <c r="F218" s="15" t="s">
        <v>9</v>
      </c>
      <c r="G218" s="15">
        <v>6989</v>
      </c>
      <c r="H218" s="8" t="s">
        <v>63</v>
      </c>
      <c r="I218" s="9"/>
      <c r="J218" s="10"/>
    </row>
    <row r="219" spans="1:36" ht="14.45" customHeight="1">
      <c r="A219" s="14" t="s">
        <v>62</v>
      </c>
      <c r="B219" s="21">
        <v>2016</v>
      </c>
      <c r="C219" s="16" t="s">
        <v>9</v>
      </c>
      <c r="D219" s="16" t="s">
        <v>9</v>
      </c>
      <c r="E219" s="16" t="s">
        <v>9</v>
      </c>
      <c r="F219" s="15" t="s">
        <v>9</v>
      </c>
      <c r="G219" s="15">
        <v>7939</v>
      </c>
      <c r="H219" s="8"/>
      <c r="I219" s="9"/>
      <c r="J219" s="10"/>
    </row>
    <row r="220" spans="1:36" ht="14.45" customHeight="1">
      <c r="A220" s="14" t="s">
        <v>62</v>
      </c>
      <c r="B220" s="21">
        <v>2017</v>
      </c>
      <c r="C220" s="16" t="s">
        <v>9</v>
      </c>
      <c r="D220" s="16" t="s">
        <v>9</v>
      </c>
      <c r="E220" s="16" t="s">
        <v>9</v>
      </c>
      <c r="F220" s="15" t="s">
        <v>9</v>
      </c>
      <c r="G220" s="15">
        <v>9616</v>
      </c>
      <c r="H220" s="8"/>
      <c r="I220" s="9"/>
      <c r="J220" s="10"/>
    </row>
    <row r="221" spans="1:36" ht="14.45" customHeight="1">
      <c r="A221" s="14" t="s">
        <v>62</v>
      </c>
      <c r="B221" s="21">
        <v>2018</v>
      </c>
      <c r="C221" s="16" t="s">
        <v>9</v>
      </c>
      <c r="D221" s="16" t="s">
        <v>9</v>
      </c>
      <c r="E221" s="16" t="s">
        <v>9</v>
      </c>
      <c r="F221" s="15" t="s">
        <v>9</v>
      </c>
      <c r="G221" s="15">
        <v>4578</v>
      </c>
      <c r="H221" s="8"/>
      <c r="I221" s="9"/>
      <c r="J221" s="10"/>
    </row>
    <row r="222" spans="1:36" ht="14.45" customHeight="1">
      <c r="A222" s="14" t="s">
        <v>62</v>
      </c>
      <c r="B222" s="21">
        <v>2019</v>
      </c>
      <c r="C222" s="16" t="s">
        <v>9</v>
      </c>
      <c r="D222" s="15">
        <v>162740</v>
      </c>
      <c r="E222" s="15">
        <v>179902</v>
      </c>
      <c r="F222" s="15" t="s">
        <v>9</v>
      </c>
      <c r="G222" s="15">
        <v>7174</v>
      </c>
      <c r="H222" s="8"/>
      <c r="I222" s="9"/>
      <c r="J222" s="10"/>
    </row>
    <row r="223" spans="1:36" ht="14.45" customHeight="1">
      <c r="A223" s="14" t="s">
        <v>62</v>
      </c>
      <c r="B223" s="21">
        <v>2020</v>
      </c>
      <c r="C223" s="16" t="s">
        <v>9</v>
      </c>
      <c r="D223" s="15">
        <v>168487</v>
      </c>
      <c r="E223" s="15">
        <v>186987</v>
      </c>
      <c r="F223" s="15" t="s">
        <v>9</v>
      </c>
      <c r="G223" s="15">
        <v>1586</v>
      </c>
      <c r="H223" s="8"/>
      <c r="I223" s="9"/>
      <c r="J223" s="10"/>
    </row>
    <row r="224" spans="1:36" ht="14.45" customHeight="1">
      <c r="A224" s="14" t="s">
        <v>62</v>
      </c>
      <c r="B224" s="21">
        <v>2021</v>
      </c>
      <c r="C224" s="16" t="s">
        <v>9</v>
      </c>
      <c r="D224" s="15">
        <v>167937</v>
      </c>
      <c r="E224" s="15">
        <v>182187</v>
      </c>
      <c r="F224" s="15" t="s">
        <v>9</v>
      </c>
      <c r="G224" s="15" t="s">
        <v>9</v>
      </c>
      <c r="H224" s="8"/>
      <c r="I224" s="9"/>
      <c r="J224" s="10"/>
    </row>
    <row r="225" spans="1:10" ht="14.45" customHeight="1">
      <c r="A225" s="14" t="s">
        <v>62</v>
      </c>
      <c r="B225" s="21">
        <v>2022</v>
      </c>
      <c r="C225" s="16">
        <f>103+583+271+266+44</f>
        <v>1267</v>
      </c>
      <c r="D225" s="15">
        <v>176000</v>
      </c>
      <c r="E225" s="15">
        <v>149000</v>
      </c>
      <c r="F225" s="15" t="s">
        <v>9</v>
      </c>
      <c r="G225" s="15">
        <v>2654000</v>
      </c>
      <c r="H225" s="8"/>
      <c r="I225" s="9"/>
      <c r="J225" s="10"/>
    </row>
    <row r="226" spans="1:10" ht="14.45" customHeight="1">
      <c r="A226" s="14" t="s">
        <v>62</v>
      </c>
      <c r="B226" s="21">
        <v>2023</v>
      </c>
      <c r="C226" s="16">
        <f>4716000/3600</f>
        <v>1310</v>
      </c>
      <c r="D226" s="15">
        <v>138000</v>
      </c>
      <c r="E226" s="15">
        <v>140000</v>
      </c>
      <c r="F226" s="15" t="s">
        <v>9</v>
      </c>
      <c r="G226" s="20">
        <v>2343000</v>
      </c>
      <c r="H226" s="8"/>
      <c r="I226" s="9"/>
      <c r="J226" s="10"/>
    </row>
    <row r="227" spans="1:10" ht="15" customHeight="1">
      <c r="A227" s="64" t="s">
        <v>64</v>
      </c>
      <c r="B227" s="65">
        <v>2015</v>
      </c>
      <c r="C227" s="66">
        <v>705.31799999999998</v>
      </c>
      <c r="D227" s="67">
        <v>192600</v>
      </c>
      <c r="E227" s="65" t="s">
        <v>9</v>
      </c>
      <c r="F227" s="65">
        <v>435000</v>
      </c>
      <c r="G227" s="15" t="s">
        <v>9</v>
      </c>
      <c r="H227" s="8"/>
      <c r="I227" s="9"/>
      <c r="J227" s="10"/>
    </row>
    <row r="228" spans="1:10" ht="14.45" customHeight="1">
      <c r="A228" s="68" t="s">
        <v>64</v>
      </c>
      <c r="B228" s="15">
        <v>2016</v>
      </c>
      <c r="C228" s="69">
        <v>713.35400000000004</v>
      </c>
      <c r="D228" s="16">
        <v>272000</v>
      </c>
      <c r="E228" s="15" t="s">
        <v>9</v>
      </c>
      <c r="F228" s="15">
        <v>449100</v>
      </c>
      <c r="G228" s="15" t="s">
        <v>9</v>
      </c>
      <c r="H228" s="8"/>
      <c r="I228" s="9"/>
      <c r="J228" s="10"/>
    </row>
    <row r="229" spans="1:10" ht="14.45" customHeight="1">
      <c r="A229" s="68" t="s">
        <v>64</v>
      </c>
      <c r="B229" s="15">
        <v>2017</v>
      </c>
      <c r="C229" s="69">
        <v>709.35699999999997</v>
      </c>
      <c r="D229" s="16">
        <v>273142</v>
      </c>
      <c r="E229" s="15" t="s">
        <v>9</v>
      </c>
      <c r="F229" s="15">
        <v>438022</v>
      </c>
      <c r="G229" s="16">
        <v>214001.09</v>
      </c>
      <c r="H229" s="8"/>
      <c r="I229" s="9"/>
      <c r="J229" s="10"/>
    </row>
    <row r="230" spans="1:10" ht="14.45" customHeight="1">
      <c r="A230" s="68" t="s">
        <v>64</v>
      </c>
      <c r="B230" s="15">
        <v>2018</v>
      </c>
      <c r="C230" s="69">
        <v>714.13099999999997</v>
      </c>
      <c r="D230" s="16">
        <v>331108</v>
      </c>
      <c r="E230" s="15" t="s">
        <v>9</v>
      </c>
      <c r="F230" s="15">
        <v>456471</v>
      </c>
      <c r="G230" s="16">
        <v>235512.57500000001</v>
      </c>
      <c r="H230" s="8"/>
      <c r="I230" s="9"/>
      <c r="J230" s="10"/>
    </row>
    <row r="231" spans="1:10" ht="14.45" customHeight="1">
      <c r="A231" s="68" t="s">
        <v>64</v>
      </c>
      <c r="B231" s="15">
        <v>2019</v>
      </c>
      <c r="C231" s="69">
        <v>695.88400000000001</v>
      </c>
      <c r="D231" s="16">
        <v>286831.8847</v>
      </c>
      <c r="E231" s="15" t="s">
        <v>9</v>
      </c>
      <c r="F231" s="16">
        <v>440694.33199999999</v>
      </c>
      <c r="G231" s="16" t="s">
        <v>9</v>
      </c>
      <c r="H231" s="8"/>
      <c r="I231" s="9"/>
      <c r="J231" s="10"/>
    </row>
    <row r="232" spans="1:10" ht="14.45" customHeight="1">
      <c r="A232" s="68" t="s">
        <v>64</v>
      </c>
      <c r="B232" s="15">
        <v>2020</v>
      </c>
      <c r="C232" s="69">
        <v>882.26400000000001</v>
      </c>
      <c r="D232" s="16">
        <v>337466.34</v>
      </c>
      <c r="E232" s="15" t="s">
        <v>9</v>
      </c>
      <c r="F232" s="16">
        <v>506591.23</v>
      </c>
      <c r="G232" s="16">
        <v>249704.06299999999</v>
      </c>
      <c r="H232" s="8"/>
      <c r="I232" s="9"/>
      <c r="J232" s="10"/>
    </row>
    <row r="233" spans="1:10" ht="14.45" customHeight="1">
      <c r="A233" s="68" t="s">
        <v>64</v>
      </c>
      <c r="B233" s="15">
        <v>2021</v>
      </c>
      <c r="C233" s="69">
        <v>902.20799999999997</v>
      </c>
      <c r="D233" s="16">
        <v>424442.54</v>
      </c>
      <c r="E233" s="15" t="s">
        <v>9</v>
      </c>
      <c r="F233" s="16">
        <v>521171.67</v>
      </c>
      <c r="G233" s="16">
        <v>278141.53999999998</v>
      </c>
      <c r="H233" s="8"/>
      <c r="I233" s="9"/>
      <c r="J233" s="10"/>
    </row>
    <row r="234" spans="1:10" ht="14.45" customHeight="1">
      <c r="A234" s="68" t="s">
        <v>64</v>
      </c>
      <c r="B234" s="15">
        <v>2022</v>
      </c>
      <c r="C234" s="69">
        <f>3501936/3600</f>
        <v>972.76</v>
      </c>
      <c r="D234" s="16">
        <v>341018.57</v>
      </c>
      <c r="E234" s="15" t="s">
        <v>9</v>
      </c>
      <c r="F234" s="16">
        <v>570769.49</v>
      </c>
      <c r="G234" s="16">
        <v>287264.03000000003</v>
      </c>
      <c r="H234" s="8"/>
      <c r="I234" s="9"/>
      <c r="J234" s="10"/>
    </row>
    <row r="235" spans="1:10" ht="14.45" customHeight="1">
      <c r="A235" s="70" t="s">
        <v>64</v>
      </c>
      <c r="B235" s="18">
        <v>2023</v>
      </c>
      <c r="C235" s="71">
        <f>3513269/3600</f>
        <v>975.90805555555551</v>
      </c>
      <c r="D235" s="19">
        <v>203200.27</v>
      </c>
      <c r="E235" s="18" t="s">
        <v>9</v>
      </c>
      <c r="F235" s="19">
        <v>545390.84</v>
      </c>
      <c r="G235" s="19">
        <v>271586.76</v>
      </c>
      <c r="H235" s="8"/>
      <c r="I235" s="9"/>
      <c r="J235" s="10"/>
    </row>
    <row r="236" spans="1:10">
      <c r="A236" s="68" t="s">
        <v>65</v>
      </c>
      <c r="B236" s="15">
        <v>2015</v>
      </c>
      <c r="C236" s="69">
        <f>1543097/3600</f>
        <v>428.63805555555558</v>
      </c>
      <c r="D236" s="15">
        <v>51725</v>
      </c>
      <c r="E236" s="15">
        <v>200861</v>
      </c>
      <c r="F236" s="15" t="s">
        <v>9</v>
      </c>
      <c r="G236" s="15" t="s">
        <v>9</v>
      </c>
      <c r="H236" s="8" t="s">
        <v>29</v>
      </c>
      <c r="I236" s="9"/>
      <c r="J236" s="10"/>
    </row>
    <row r="237" spans="1:10" ht="14.45" customHeight="1">
      <c r="A237" s="68" t="s">
        <v>65</v>
      </c>
      <c r="B237" s="15">
        <v>2016</v>
      </c>
      <c r="C237" s="69">
        <f xml:space="preserve"> 1589623/3600</f>
        <v>441.56194444444446</v>
      </c>
      <c r="D237" s="15">
        <v>63672</v>
      </c>
      <c r="E237" s="15">
        <v>206302</v>
      </c>
      <c r="F237" s="15" t="s">
        <v>9</v>
      </c>
      <c r="G237" s="15" t="s">
        <v>9</v>
      </c>
      <c r="H237" s="8"/>
      <c r="I237" s="9"/>
      <c r="J237" s="10"/>
    </row>
    <row r="238" spans="1:10" ht="14.45" customHeight="1">
      <c r="A238" s="68" t="s">
        <v>65</v>
      </c>
      <c r="B238" s="15">
        <v>2017</v>
      </c>
      <c r="C238" s="69">
        <f>1836336/3600</f>
        <v>510.09333333333331</v>
      </c>
      <c r="D238" s="15">
        <v>62318</v>
      </c>
      <c r="E238" s="15">
        <v>250859</v>
      </c>
      <c r="F238" s="15" t="s">
        <v>9</v>
      </c>
      <c r="G238" s="15" t="s">
        <v>9</v>
      </c>
      <c r="H238" s="8"/>
      <c r="I238" s="9"/>
      <c r="J238" s="10"/>
    </row>
    <row r="239" spans="1:10" ht="14.45" customHeight="1">
      <c r="A239" s="68" t="s">
        <v>65</v>
      </c>
      <c r="B239" s="15">
        <v>2018</v>
      </c>
      <c r="C239" s="69">
        <f>2024278/3600</f>
        <v>562.29944444444448</v>
      </c>
      <c r="D239" s="15">
        <v>64510</v>
      </c>
      <c r="E239" s="15">
        <v>265596</v>
      </c>
      <c r="F239" s="15" t="s">
        <v>9</v>
      </c>
      <c r="G239" s="15" t="s">
        <v>9</v>
      </c>
      <c r="H239" s="8"/>
      <c r="I239" s="9"/>
      <c r="J239" s="10"/>
    </row>
    <row r="240" spans="1:10" ht="14.45" customHeight="1">
      <c r="A240" s="68" t="s">
        <v>65</v>
      </c>
      <c r="B240" s="15">
        <v>2019</v>
      </c>
      <c r="C240" s="69">
        <f>2119538/3600</f>
        <v>588.76055555555558</v>
      </c>
      <c r="D240" s="15">
        <v>65749</v>
      </c>
      <c r="E240" s="15">
        <v>268947</v>
      </c>
      <c r="F240" s="15" t="s">
        <v>9</v>
      </c>
      <c r="G240" s="15" t="s">
        <v>9</v>
      </c>
      <c r="H240" s="8"/>
      <c r="I240" s="9"/>
      <c r="J240" s="10"/>
    </row>
    <row r="241" spans="1:10" ht="14.45" customHeight="1">
      <c r="A241" s="68" t="s">
        <v>65</v>
      </c>
      <c r="B241" s="15">
        <v>2020</v>
      </c>
      <c r="C241" s="69">
        <f>2207442/3600</f>
        <v>613.17833333333328</v>
      </c>
      <c r="D241" s="15">
        <v>53271</v>
      </c>
      <c r="E241" s="15">
        <v>278046</v>
      </c>
      <c r="F241" s="15" t="s">
        <v>9</v>
      </c>
      <c r="G241" s="15" t="s">
        <v>9</v>
      </c>
      <c r="H241" s="8"/>
      <c r="I241" s="9"/>
      <c r="J241" s="10"/>
    </row>
    <row r="242" spans="1:10" ht="14.45" customHeight="1">
      <c r="A242" s="68" t="s">
        <v>65</v>
      </c>
      <c r="B242" s="15">
        <v>2021</v>
      </c>
      <c r="C242" s="69">
        <f>2234839/3600</f>
        <v>620.78861111111109</v>
      </c>
      <c r="D242" s="15">
        <v>38760</v>
      </c>
      <c r="E242" s="15">
        <v>277284</v>
      </c>
      <c r="F242" s="15" t="s">
        <v>9</v>
      </c>
      <c r="G242" s="15" t="s">
        <v>9</v>
      </c>
      <c r="H242" s="8"/>
      <c r="I242" s="9"/>
      <c r="J242" s="10"/>
    </row>
    <row r="243" spans="1:10" ht="14.45" customHeight="1">
      <c r="A243" s="68" t="s">
        <v>65</v>
      </c>
      <c r="B243" s="15">
        <v>2022</v>
      </c>
      <c r="C243" s="69">
        <f>(2807178)/3600</f>
        <v>779.77166666666665</v>
      </c>
      <c r="D243" s="15">
        <v>44373</v>
      </c>
      <c r="E243" s="15">
        <v>353523</v>
      </c>
      <c r="F243" s="15" t="s">
        <v>9</v>
      </c>
      <c r="G243" s="15">
        <f>443204</f>
        <v>443204</v>
      </c>
      <c r="H243" s="8"/>
      <c r="I243" s="9"/>
      <c r="J243" s="10"/>
    </row>
    <row r="244" spans="1:10" ht="14.45" customHeight="1">
      <c r="A244" s="72" t="s">
        <v>65</v>
      </c>
      <c r="B244" s="20">
        <v>2023</v>
      </c>
      <c r="C244" s="73">
        <f>(269202+2958834)/3600</f>
        <v>896.67666666666662</v>
      </c>
      <c r="D244" s="20">
        <f>44149+ 18835</f>
        <v>62984</v>
      </c>
      <c r="E244" s="20">
        <f>356535+35567</f>
        <v>392102</v>
      </c>
      <c r="F244" s="20" t="s">
        <v>9</v>
      </c>
      <c r="G244" s="20">
        <f>454221</f>
        <v>454221</v>
      </c>
      <c r="H244" s="8"/>
      <c r="I244" s="9"/>
      <c r="J244" s="10"/>
    </row>
    <row r="245" spans="1:10" ht="15" customHeight="1">
      <c r="A245" s="68" t="s">
        <v>66</v>
      </c>
      <c r="B245" s="15">
        <v>2015</v>
      </c>
      <c r="C245" s="69">
        <f>(1.449*10^9+7.034*10^5+8.969*10^7)/3600000</f>
        <v>427.60927777777778</v>
      </c>
      <c r="D245" s="16">
        <v>50668.686999999998</v>
      </c>
      <c r="E245" s="16">
        <v>221557.796</v>
      </c>
      <c r="F245" s="15" t="s">
        <v>9</v>
      </c>
      <c r="G245" s="15" t="s">
        <v>9</v>
      </c>
      <c r="H245" s="8"/>
      <c r="I245" s="9"/>
      <c r="J245" s="10"/>
    </row>
    <row r="246" spans="1:10" ht="14.45" customHeight="1">
      <c r="A246" s="68" t="s">
        <v>66</v>
      </c>
      <c r="B246" s="15">
        <v>2016</v>
      </c>
      <c r="C246" s="69">
        <f>(1.547*10^9+8.575*10^7+7.034*10^5)/3600000</f>
        <v>453.73705555555557</v>
      </c>
      <c r="D246" s="16">
        <v>51584.826999999997</v>
      </c>
      <c r="E246" s="16">
        <v>238436.6</v>
      </c>
      <c r="F246" s="15" t="s">
        <v>9</v>
      </c>
      <c r="G246" s="15" t="s">
        <v>9</v>
      </c>
      <c r="H246" s="8"/>
      <c r="I246" s="9"/>
      <c r="J246" s="10"/>
    </row>
    <row r="247" spans="1:10" ht="14.45" customHeight="1">
      <c r="A247" s="68" t="s">
        <v>66</v>
      </c>
      <c r="B247" s="15">
        <v>2017</v>
      </c>
      <c r="C247" s="69">
        <f>(2.073*10^9+1.371*10^8+2.462*10^6)/3600000</f>
        <v>614.6005555555555</v>
      </c>
      <c r="D247" s="15">
        <v>61287</v>
      </c>
      <c r="E247" s="15">
        <v>315141</v>
      </c>
      <c r="F247" s="15" t="s">
        <v>9</v>
      </c>
      <c r="G247" s="15" t="s">
        <v>9</v>
      </c>
      <c r="H247" s="8"/>
      <c r="I247" s="9"/>
      <c r="J247" s="10"/>
    </row>
    <row r="248" spans="1:10" ht="14.45" customHeight="1">
      <c r="A248" s="68" t="s">
        <v>66</v>
      </c>
      <c r="B248" s="15">
        <v>2018</v>
      </c>
      <c r="C248" s="69">
        <v>689.53800000000001</v>
      </c>
      <c r="D248" s="15">
        <v>78312</v>
      </c>
      <c r="E248" s="15">
        <v>369904</v>
      </c>
      <c r="F248" s="15">
        <f>369904</f>
        <v>369904</v>
      </c>
      <c r="G248" s="15">
        <f>271507+226+113+1058+2294+20570+114291</f>
        <v>410059</v>
      </c>
      <c r="H248" s="8"/>
      <c r="I248" s="9"/>
      <c r="J248" s="10"/>
    </row>
    <row r="249" spans="1:10" ht="14.45" customHeight="1">
      <c r="A249" s="68" t="s">
        <v>66</v>
      </c>
      <c r="B249" s="15">
        <v>2019</v>
      </c>
      <c r="C249" s="69">
        <v>794.68100000000004</v>
      </c>
      <c r="D249" s="15">
        <v>88701</v>
      </c>
      <c r="E249" s="15">
        <v>390021</v>
      </c>
      <c r="F249" s="15">
        <f>478722-D249</f>
        <v>390021</v>
      </c>
      <c r="G249" s="15">
        <f>659064+185+131+1307+2147+120552+118907</f>
        <v>902293</v>
      </c>
      <c r="H249" s="8"/>
      <c r="I249" s="9"/>
      <c r="J249" s="10"/>
    </row>
    <row r="250" spans="1:10" ht="14.45" customHeight="1">
      <c r="A250" s="68" t="s">
        <v>66</v>
      </c>
      <c r="B250" s="15">
        <v>2020</v>
      </c>
      <c r="C250" s="69">
        <v>812.71199999999999</v>
      </c>
      <c r="D250" s="15">
        <v>90327</v>
      </c>
      <c r="E250" s="15">
        <v>379417</v>
      </c>
      <c r="F250" s="15">
        <f>469744-D250</f>
        <v>379417</v>
      </c>
      <c r="G250" s="15">
        <f>1151865</f>
        <v>1151865</v>
      </c>
      <c r="H250" s="8"/>
      <c r="I250" s="9"/>
      <c r="J250" s="10"/>
    </row>
    <row r="251" spans="1:10" ht="14.45" customHeight="1">
      <c r="A251" s="68" t="s">
        <v>66</v>
      </c>
      <c r="B251" s="15">
        <v>2021</v>
      </c>
      <c r="C251" s="69">
        <v>826.279</v>
      </c>
      <c r="D251" s="15">
        <v>56409</v>
      </c>
      <c r="E251" s="15">
        <v>373639</v>
      </c>
      <c r="F251" s="15">
        <f>431353-D251</f>
        <v>374944</v>
      </c>
      <c r="G251" s="15">
        <v>1221991</v>
      </c>
      <c r="H251" s="8"/>
      <c r="I251" s="9"/>
      <c r="J251" s="10"/>
    </row>
    <row r="252" spans="1:10" ht="14.45" customHeight="1">
      <c r="A252" s="14" t="s">
        <v>66</v>
      </c>
      <c r="B252" s="15">
        <v>2022</v>
      </c>
      <c r="C252" s="69">
        <v>831.86199999999997</v>
      </c>
      <c r="D252" s="15">
        <v>59788</v>
      </c>
      <c r="E252" s="15">
        <v>381166</v>
      </c>
      <c r="F252" s="15">
        <f>444965-D252</f>
        <v>385177</v>
      </c>
      <c r="G252" s="15">
        <v>940525</v>
      </c>
      <c r="H252" s="8"/>
      <c r="I252" s="9"/>
      <c r="J252" s="10"/>
    </row>
    <row r="253" spans="1:10" ht="14.45" customHeight="1">
      <c r="A253" s="72" t="s">
        <v>66</v>
      </c>
      <c r="B253" s="20">
        <v>2023</v>
      </c>
      <c r="C253" s="73">
        <f>857.068</f>
        <v>857.06799999999998</v>
      </c>
      <c r="D253" s="20">
        <v>56654</v>
      </c>
      <c r="E253" s="20">
        <f>373670</f>
        <v>373670</v>
      </c>
      <c r="F253" s="20">
        <f>442354-D253</f>
        <v>385700</v>
      </c>
      <c r="G253" s="20">
        <v>816878</v>
      </c>
      <c r="H253" s="8"/>
      <c r="I253" s="9"/>
      <c r="J253" s="10"/>
    </row>
    <row r="254" spans="1:10"/>
    <row r="255" spans="1:10"/>
    <row r="256" spans="1:10"/>
    <row r="257"/>
    <row r="258"/>
    <row r="259"/>
    <row r="260"/>
    <row r="261"/>
    <row r="262"/>
    <row r="263"/>
  </sheetData>
  <autoFilter ref="A1:G253" xr:uid="{00000000-0009-0000-0000-000000000000}"/>
  <mergeCells count="42">
    <mergeCell ref="H218:H226"/>
    <mergeCell ref="H227:H235"/>
    <mergeCell ref="H236:H244"/>
    <mergeCell ref="H245:H253"/>
    <mergeCell ref="X201:Z201"/>
    <mergeCell ref="H209:H217"/>
    <mergeCell ref="L212:N212"/>
    <mergeCell ref="O212:Q212"/>
    <mergeCell ref="R212:T212"/>
    <mergeCell ref="U212:W212"/>
    <mergeCell ref="X212:Z212"/>
    <mergeCell ref="K214:N214"/>
    <mergeCell ref="K215:N215"/>
    <mergeCell ref="K216:N216"/>
    <mergeCell ref="H164:H172"/>
    <mergeCell ref="H173:H181"/>
    <mergeCell ref="H182:H190"/>
    <mergeCell ref="H191:H199"/>
    <mergeCell ref="H200:H208"/>
    <mergeCell ref="K200:Z200"/>
    <mergeCell ref="L201:N201"/>
    <mergeCell ref="O201:Q201"/>
    <mergeCell ref="R201:T201"/>
    <mergeCell ref="U201:W201"/>
    <mergeCell ref="H110:H118"/>
    <mergeCell ref="H119:H127"/>
    <mergeCell ref="H128:H136"/>
    <mergeCell ref="H137:H145"/>
    <mergeCell ref="H146:H154"/>
    <mergeCell ref="H155:H163"/>
    <mergeCell ref="H56:H64"/>
    <mergeCell ref="H65:H73"/>
    <mergeCell ref="H74:H82"/>
    <mergeCell ref="H83:H91"/>
    <mergeCell ref="H92:H100"/>
    <mergeCell ref="H101:H109"/>
    <mergeCell ref="H2:H10"/>
    <mergeCell ref="H11:H19"/>
    <mergeCell ref="H20:H28"/>
    <mergeCell ref="H29:H37"/>
    <mergeCell ref="H38:H46"/>
    <mergeCell ref="H47:H55"/>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2025-03-12T18:13:31Z</dcterms:created>
  <dcterms:modified xsi:type="dcterms:W3CDTF">2025-03-12T18:14:27Z</dcterms:modified>
  <cp:category/>
  <cp:contentStatus/>
</cp:coreProperties>
</file>